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Personal\FA Stock\"/>
    </mc:Choice>
  </mc:AlternateContent>
  <xr:revisionPtr revIDLastSave="0" documentId="13_ncr:1_{F6966430-D9AE-40DA-B555-687ED9E42790}" xr6:coauthVersionLast="45" xr6:coauthVersionMax="45" xr10:uidLastSave="{00000000-0000-0000-0000-000000000000}"/>
  <bookViews>
    <workbookView xWindow="-110" yWindow="-110" windowWidth="19420" windowHeight="10420" xr2:uid="{2CDC221D-92F1-4B1A-A16D-18914FC28254}"/>
  </bookViews>
  <sheets>
    <sheet name="P&amp;L" sheetId="3" r:id="rId1"/>
    <sheet name="Balance Sheet" sheetId="5" r:id="rId2"/>
    <sheet name="FCF, UCFF" sheetId="6" r:id="rId3"/>
    <sheet name="Discounted Cash Flow, Valuation" sheetId="8" r:id="rId4"/>
    <sheet name="Net Worth" sheetId="9" r:id="rId5"/>
    <sheet name="PPE" sheetId="4" r:id="rId6"/>
    <sheet name="Key Ratios"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8" l="1"/>
  <c r="C21" i="6" l="1"/>
  <c r="C22" i="6"/>
  <c r="B26" i="4"/>
  <c r="J8" i="9" l="1"/>
  <c r="I8" i="9"/>
  <c r="H8" i="9"/>
  <c r="G8" i="9"/>
  <c r="F8" i="9"/>
  <c r="E8" i="9"/>
  <c r="D8" i="9"/>
  <c r="C8" i="9"/>
  <c r="C17" i="8"/>
  <c r="C18" i="8" s="1"/>
  <c r="G8" i="8" s="1"/>
  <c r="H10" i="8"/>
  <c r="H15" i="5"/>
  <c r="I15" i="5" s="1"/>
  <c r="J15" i="5" s="1"/>
  <c r="J25" i="5"/>
  <c r="I25" i="5"/>
  <c r="H25" i="5"/>
  <c r="J24" i="5"/>
  <c r="I24" i="5"/>
  <c r="H24" i="5"/>
  <c r="J26" i="5"/>
  <c r="I26" i="5"/>
  <c r="H26" i="5"/>
  <c r="J19" i="3"/>
  <c r="I19" i="3"/>
  <c r="H19" i="3"/>
  <c r="K18" i="4"/>
  <c r="K17" i="4"/>
  <c r="K16" i="4"/>
  <c r="K15" i="4"/>
  <c r="K14" i="4"/>
  <c r="K11" i="4"/>
  <c r="K10" i="4"/>
  <c r="K9" i="4"/>
  <c r="K8" i="4"/>
  <c r="K7" i="4"/>
  <c r="K6" i="4"/>
  <c r="K5" i="4"/>
  <c r="I18" i="4"/>
  <c r="I17" i="4"/>
  <c r="I15" i="4"/>
  <c r="I14" i="4"/>
  <c r="G18" i="4"/>
  <c r="G17" i="4"/>
  <c r="G16" i="4"/>
  <c r="G19" i="4" s="1"/>
  <c r="H10" i="4"/>
  <c r="H9" i="4"/>
  <c r="H8" i="4"/>
  <c r="H7" i="4"/>
  <c r="D10" i="4"/>
  <c r="D9" i="4"/>
  <c r="D8" i="4"/>
  <c r="D7" i="4"/>
  <c r="D6" i="4"/>
  <c r="F8" i="8" l="1"/>
  <c r="C8" i="8"/>
  <c r="D8" i="8"/>
  <c r="E8" i="8"/>
  <c r="H8" i="8"/>
  <c r="I16" i="4"/>
  <c r="C11" i="6" l="1"/>
  <c r="C10" i="6"/>
  <c r="G10" i="6"/>
  <c r="F10" i="6"/>
  <c r="E10" i="6"/>
  <c r="D10" i="6"/>
  <c r="G11" i="6"/>
  <c r="F11" i="6"/>
  <c r="E11" i="6"/>
  <c r="D11" i="6"/>
  <c r="G8" i="6" l="1"/>
  <c r="G17" i="6" s="1"/>
  <c r="F8" i="6"/>
  <c r="F17" i="6" s="1"/>
  <c r="E8" i="6"/>
  <c r="E17" i="6" s="1"/>
  <c r="D8" i="6"/>
  <c r="D17" i="6" s="1"/>
  <c r="C8" i="6"/>
  <c r="C17" i="6" s="1"/>
  <c r="G6" i="6"/>
  <c r="G23" i="6" s="1"/>
  <c r="F6" i="6"/>
  <c r="F23" i="6" s="1"/>
  <c r="E6" i="6"/>
  <c r="E23" i="6" s="1"/>
  <c r="D6" i="6"/>
  <c r="D23" i="6" s="1"/>
  <c r="C6" i="6"/>
  <c r="C23" i="6" s="1"/>
  <c r="J5" i="6"/>
  <c r="J31" i="6" s="1"/>
  <c r="J31" i="8" s="1"/>
  <c r="I5" i="6"/>
  <c r="I31" i="6" s="1"/>
  <c r="I31" i="8" s="1"/>
  <c r="H5" i="6"/>
  <c r="H31" i="6" s="1"/>
  <c r="H31" i="8" s="1"/>
  <c r="G5" i="6"/>
  <c r="G31" i="6" s="1"/>
  <c r="G31" i="8" s="1"/>
  <c r="F5" i="6"/>
  <c r="F31" i="6" s="1"/>
  <c r="F31" i="8" s="1"/>
  <c r="E5" i="6"/>
  <c r="E31" i="6" s="1"/>
  <c r="E31" i="8" s="1"/>
  <c r="D5" i="6"/>
  <c r="D31" i="6" s="1"/>
  <c r="D31" i="8" s="1"/>
  <c r="C5" i="6"/>
  <c r="C31" i="6" s="1"/>
  <c r="C31" i="8" s="1"/>
  <c r="G32" i="6"/>
  <c r="G32" i="8" s="1"/>
  <c r="F32" i="6"/>
  <c r="F32" i="8" s="1"/>
  <c r="E32" i="6"/>
  <c r="E32" i="8" s="1"/>
  <c r="D32" i="6"/>
  <c r="D32" i="8" s="1"/>
  <c r="C32" i="6"/>
  <c r="C32" i="8" s="1"/>
  <c r="C24" i="6" l="1"/>
  <c r="R34" i="5" l="1"/>
  <c r="Q34" i="5"/>
  <c r="P34" i="5"/>
  <c r="O34" i="5"/>
  <c r="N34" i="5"/>
  <c r="R20" i="5"/>
  <c r="Q20" i="5"/>
  <c r="P20" i="5"/>
  <c r="O20" i="5"/>
  <c r="N20" i="5"/>
  <c r="S20" i="5" l="1"/>
  <c r="G36" i="5"/>
  <c r="F36" i="5"/>
  <c r="E36" i="5"/>
  <c r="D36" i="5"/>
  <c r="C36" i="5"/>
  <c r="J31" i="5"/>
  <c r="I31" i="5"/>
  <c r="H31" i="5"/>
  <c r="J30" i="5"/>
  <c r="I30" i="5"/>
  <c r="H30" i="5"/>
  <c r="J29" i="5"/>
  <c r="I29" i="5"/>
  <c r="H29" i="5"/>
  <c r="G28" i="5"/>
  <c r="G32" i="5" s="1"/>
  <c r="F28" i="5"/>
  <c r="F32" i="5" s="1"/>
  <c r="E28" i="5"/>
  <c r="E32" i="5" s="1"/>
  <c r="D28" i="5"/>
  <c r="D32" i="5" s="1"/>
  <c r="C28" i="5"/>
  <c r="C32" i="5" s="1"/>
  <c r="J27" i="5"/>
  <c r="I27" i="5"/>
  <c r="H27" i="5"/>
  <c r="G19" i="5"/>
  <c r="F19" i="5"/>
  <c r="E19" i="5"/>
  <c r="D19" i="5"/>
  <c r="C19" i="5"/>
  <c r="C9" i="8" s="1"/>
  <c r="H18" i="5"/>
  <c r="I18" i="5" s="1"/>
  <c r="J18" i="5" s="1"/>
  <c r="H17" i="5"/>
  <c r="I17" i="5" s="1"/>
  <c r="J17" i="5" s="1"/>
  <c r="H16" i="5"/>
  <c r="I16" i="5" s="1"/>
  <c r="J16" i="5" s="1"/>
  <c r="I13" i="5"/>
  <c r="J13" i="5" s="1"/>
  <c r="G12" i="5"/>
  <c r="F12" i="5"/>
  <c r="E12" i="5"/>
  <c r="E6" i="8" s="1"/>
  <c r="E7" i="8" s="1"/>
  <c r="D12" i="5"/>
  <c r="D6" i="8" s="1"/>
  <c r="D7" i="8" s="1"/>
  <c r="C12" i="5"/>
  <c r="C6" i="8" s="1"/>
  <c r="H10" i="5"/>
  <c r="I10" i="5" s="1"/>
  <c r="E18" i="4"/>
  <c r="E17" i="4"/>
  <c r="E16" i="4"/>
  <c r="E15" i="4"/>
  <c r="E14" i="4"/>
  <c r="H19" i="4"/>
  <c r="F19" i="4"/>
  <c r="C19" i="4"/>
  <c r="C20" i="4" s="1"/>
  <c r="B19" i="4"/>
  <c r="K12" i="4"/>
  <c r="B12" i="4"/>
  <c r="I11" i="4"/>
  <c r="I10" i="4"/>
  <c r="I9" i="4"/>
  <c r="I8" i="4"/>
  <c r="I7" i="4"/>
  <c r="I6" i="4"/>
  <c r="I5" i="4"/>
  <c r="E11" i="4"/>
  <c r="M11" i="4" s="1"/>
  <c r="E10" i="4"/>
  <c r="M10" i="4" s="1"/>
  <c r="E9" i="4"/>
  <c r="M9" i="4" s="1"/>
  <c r="E8" i="4"/>
  <c r="M8" i="4" s="1"/>
  <c r="E7" i="4"/>
  <c r="M7" i="4" s="1"/>
  <c r="E6" i="4"/>
  <c r="M6" i="4" s="1"/>
  <c r="E5" i="4"/>
  <c r="M5" i="4" s="1"/>
  <c r="H12" i="4"/>
  <c r="G12" i="4"/>
  <c r="G20" i="4" s="1"/>
  <c r="F12" i="4"/>
  <c r="D12" i="4"/>
  <c r="C12" i="4"/>
  <c r="J28" i="4"/>
  <c r="J29" i="4" s="1"/>
  <c r="J16" i="6" s="1"/>
  <c r="I28" i="4"/>
  <c r="I29" i="4" s="1"/>
  <c r="I16" i="6" s="1"/>
  <c r="H28" i="4"/>
  <c r="H29" i="4" s="1"/>
  <c r="H16" i="6" s="1"/>
  <c r="G28" i="4"/>
  <c r="G29" i="4" s="1"/>
  <c r="G16" i="6" s="1"/>
  <c r="F28" i="4"/>
  <c r="F29" i="4" s="1"/>
  <c r="F16" i="6" s="1"/>
  <c r="E28" i="4"/>
  <c r="E29" i="4" s="1"/>
  <c r="E16" i="6" s="1"/>
  <c r="D28" i="4"/>
  <c r="D29" i="4" s="1"/>
  <c r="D16" i="6" s="1"/>
  <c r="C28" i="4"/>
  <c r="B28" i="4"/>
  <c r="F16" i="3"/>
  <c r="F22" i="3" s="1"/>
  <c r="G16" i="3"/>
  <c r="G30" i="3"/>
  <c r="G30" i="6" s="1"/>
  <c r="G30" i="8" s="1"/>
  <c r="F30" i="3"/>
  <c r="F30" i="6" s="1"/>
  <c r="F30" i="8" s="1"/>
  <c r="E30" i="3"/>
  <c r="E30" i="6" s="1"/>
  <c r="E30" i="8" s="1"/>
  <c r="D30" i="3"/>
  <c r="D30" i="6" s="1"/>
  <c r="D30" i="8" s="1"/>
  <c r="C30" i="3"/>
  <c r="C30" i="6" s="1"/>
  <c r="C30" i="8" s="1"/>
  <c r="J21" i="3"/>
  <c r="I21" i="3"/>
  <c r="H21" i="3"/>
  <c r="S18" i="3"/>
  <c r="H18" i="3" s="1"/>
  <c r="H6" i="6" s="1"/>
  <c r="H23" i="6" s="1"/>
  <c r="I18" i="3"/>
  <c r="I6" i="6" s="1"/>
  <c r="I23" i="6" s="1"/>
  <c r="R17" i="3"/>
  <c r="Q17" i="3"/>
  <c r="P17" i="3"/>
  <c r="O17" i="3"/>
  <c r="E16" i="3"/>
  <c r="E22" i="3" s="1"/>
  <c r="D16" i="3"/>
  <c r="O16" i="3" s="1"/>
  <c r="C16" i="3"/>
  <c r="C22" i="3" s="1"/>
  <c r="S9" i="3"/>
  <c r="J9" i="3" s="1"/>
  <c r="J8" i="6" s="1"/>
  <c r="J17" i="6" s="1"/>
  <c r="J18" i="3" l="1"/>
  <c r="J6" i="6" s="1"/>
  <c r="J23" i="6" s="1"/>
  <c r="F6" i="8"/>
  <c r="F7" i="8" s="1"/>
  <c r="D22" i="6"/>
  <c r="D9" i="8"/>
  <c r="G6" i="8"/>
  <c r="G7" i="8" s="1"/>
  <c r="H7" i="8" s="1"/>
  <c r="E22" i="6"/>
  <c r="E9" i="8"/>
  <c r="G9" i="8"/>
  <c r="G22" i="6"/>
  <c r="F21" i="5"/>
  <c r="F22" i="6"/>
  <c r="F9" i="8"/>
  <c r="H33" i="6"/>
  <c r="H33" i="8" s="1"/>
  <c r="I33" i="6"/>
  <c r="I33" i="8" s="1"/>
  <c r="J33" i="6"/>
  <c r="J33" i="8" s="1"/>
  <c r="J18" i="6"/>
  <c r="D33" i="6"/>
  <c r="D18" i="6"/>
  <c r="E33" i="6"/>
  <c r="E18" i="6"/>
  <c r="F33" i="6"/>
  <c r="F18" i="6"/>
  <c r="G33" i="6"/>
  <c r="G18" i="6"/>
  <c r="K19" i="4"/>
  <c r="K20" i="4" s="1"/>
  <c r="M14" i="4"/>
  <c r="J14" i="4"/>
  <c r="J5" i="4"/>
  <c r="M15" i="4"/>
  <c r="J15" i="4"/>
  <c r="M17" i="4"/>
  <c r="J17" i="4"/>
  <c r="M18" i="4"/>
  <c r="J18" i="4"/>
  <c r="F20" i="4"/>
  <c r="I19" i="4"/>
  <c r="B20" i="4"/>
  <c r="M16" i="4"/>
  <c r="J16" i="4"/>
  <c r="E19" i="4"/>
  <c r="J11" i="4"/>
  <c r="I12" i="4"/>
  <c r="H20" i="4"/>
  <c r="J10" i="4"/>
  <c r="O10" i="4" s="1"/>
  <c r="P10" i="4" s="1"/>
  <c r="R10" i="4" s="1"/>
  <c r="S10" i="4" s="1"/>
  <c r="J9" i="4"/>
  <c r="O9" i="4" s="1"/>
  <c r="P9" i="4" s="1"/>
  <c r="R9" i="4" s="1"/>
  <c r="S9" i="4" s="1"/>
  <c r="J8" i="4"/>
  <c r="O8" i="4" s="1"/>
  <c r="P8" i="4" s="1"/>
  <c r="R8" i="4" s="1"/>
  <c r="S8" i="4" s="1"/>
  <c r="J7" i="4"/>
  <c r="O7" i="4" s="1"/>
  <c r="P7" i="4" s="1"/>
  <c r="R7" i="4" s="1"/>
  <c r="S7" i="4" s="1"/>
  <c r="U7" i="4" s="1"/>
  <c r="V7" i="4" s="1"/>
  <c r="C37" i="5"/>
  <c r="C21" i="5"/>
  <c r="D37" i="5"/>
  <c r="D21" i="5"/>
  <c r="E21" i="5"/>
  <c r="J19" i="5"/>
  <c r="I19" i="5"/>
  <c r="G21" i="5"/>
  <c r="G37" i="5"/>
  <c r="S34" i="5"/>
  <c r="H28" i="5"/>
  <c r="H32" i="5" s="1"/>
  <c r="J28" i="5"/>
  <c r="J32" i="5" s="1"/>
  <c r="I28" i="5"/>
  <c r="I32" i="5" s="1"/>
  <c r="E37" i="5"/>
  <c r="F37" i="5"/>
  <c r="F38" i="5" s="1"/>
  <c r="J10" i="5"/>
  <c r="H19" i="5"/>
  <c r="H22" i="6" s="1"/>
  <c r="D20" i="4"/>
  <c r="J6" i="4"/>
  <c r="O6" i="4" s="1"/>
  <c r="P6" i="4" s="1"/>
  <c r="R6" i="4" s="1"/>
  <c r="S6" i="4" s="1"/>
  <c r="V6" i="4" s="1"/>
  <c r="O5" i="4"/>
  <c r="P5" i="4" s="1"/>
  <c r="O11" i="4"/>
  <c r="P11" i="4" s="1"/>
  <c r="R11" i="4" s="1"/>
  <c r="S11" i="4" s="1"/>
  <c r="E12" i="4"/>
  <c r="C29" i="4"/>
  <c r="C16" i="6" s="1"/>
  <c r="S17" i="3"/>
  <c r="H17" i="3" s="1"/>
  <c r="I17" i="3" s="1"/>
  <c r="J17" i="3" s="1"/>
  <c r="H9" i="3"/>
  <c r="H8" i="6" s="1"/>
  <c r="H17" i="6" s="1"/>
  <c r="H18" i="6" s="1"/>
  <c r="D22" i="3"/>
  <c r="I9" i="3"/>
  <c r="I8" i="6" s="1"/>
  <c r="I17" i="6" s="1"/>
  <c r="I18" i="6" s="1"/>
  <c r="R16" i="3"/>
  <c r="Q20" i="3"/>
  <c r="Q8" i="3"/>
  <c r="F10" i="3"/>
  <c r="F24" i="3" s="1"/>
  <c r="R20" i="3"/>
  <c r="G10" i="3"/>
  <c r="R8" i="3"/>
  <c r="N20" i="3"/>
  <c r="C10" i="3"/>
  <c r="C24" i="3" s="1"/>
  <c r="C26" i="3" s="1"/>
  <c r="O20" i="3"/>
  <c r="D10" i="3"/>
  <c r="O8" i="3"/>
  <c r="P20" i="3"/>
  <c r="P8" i="3"/>
  <c r="E10" i="3"/>
  <c r="E24" i="3" s="1"/>
  <c r="E26" i="3" s="1"/>
  <c r="G22" i="3"/>
  <c r="N16" i="3"/>
  <c r="P16" i="3"/>
  <c r="Q16" i="3"/>
  <c r="S8" i="3" l="1"/>
  <c r="H8" i="3" s="1"/>
  <c r="H20" i="5" s="1"/>
  <c r="H11" i="6" s="1"/>
  <c r="E31" i="3"/>
  <c r="E29" i="6"/>
  <c r="E29" i="8" s="1"/>
  <c r="C31" i="3"/>
  <c r="C29" i="6"/>
  <c r="C29" i="8" s="1"/>
  <c r="I22" i="6"/>
  <c r="H9" i="8"/>
  <c r="J22" i="6"/>
  <c r="D33" i="8"/>
  <c r="C33" i="6"/>
  <c r="C18" i="6"/>
  <c r="G33" i="8"/>
  <c r="F33" i="8"/>
  <c r="E33" i="8"/>
  <c r="E34" i="6"/>
  <c r="E34" i="8" s="1"/>
  <c r="O17" i="4"/>
  <c r="P17" i="4" s="1"/>
  <c r="R17" i="4" s="1"/>
  <c r="S17" i="4" s="1"/>
  <c r="U17" i="4" s="1"/>
  <c r="V17" i="4" s="1"/>
  <c r="O16" i="4"/>
  <c r="P16" i="4" s="1"/>
  <c r="R16" i="4" s="1"/>
  <c r="S16" i="4" s="1"/>
  <c r="U16" i="4" s="1"/>
  <c r="V16" i="4" s="1"/>
  <c r="J19" i="4"/>
  <c r="I20" i="4"/>
  <c r="O14" i="4"/>
  <c r="P14" i="4" s="1"/>
  <c r="O15" i="4"/>
  <c r="P15" i="4" s="1"/>
  <c r="R15" i="4" s="1"/>
  <c r="S15" i="4" s="1"/>
  <c r="U15" i="4" s="1"/>
  <c r="V15" i="4" s="1"/>
  <c r="J12" i="4"/>
  <c r="J20" i="4" s="1"/>
  <c r="E20" i="4"/>
  <c r="C38" i="5"/>
  <c r="D38" i="5"/>
  <c r="E38" i="5"/>
  <c r="G38" i="5"/>
  <c r="O12" i="4"/>
  <c r="U10" i="4"/>
  <c r="V10" i="4" s="1"/>
  <c r="U8" i="4"/>
  <c r="V8" i="4" s="1"/>
  <c r="U11" i="4"/>
  <c r="V11" i="4" s="1"/>
  <c r="U9" i="4"/>
  <c r="V9" i="4" s="1"/>
  <c r="R5" i="4"/>
  <c r="R12" i="4" s="1"/>
  <c r="P12" i="4"/>
  <c r="F26" i="3"/>
  <c r="N30" i="3"/>
  <c r="P30" i="3"/>
  <c r="S16" i="3"/>
  <c r="D24" i="3"/>
  <c r="D26" i="3" s="1"/>
  <c r="G24" i="3"/>
  <c r="G26" i="3" s="1"/>
  <c r="G29" i="6" s="1"/>
  <c r="G29" i="8" s="1"/>
  <c r="S20" i="3"/>
  <c r="H34" i="5" l="1"/>
  <c r="H10" i="6" s="1"/>
  <c r="H32" i="6" s="1"/>
  <c r="H32" i="8" s="1"/>
  <c r="E9" i="9"/>
  <c r="E10" i="9" s="1"/>
  <c r="E11" i="9" s="1"/>
  <c r="E21" i="6" s="1"/>
  <c r="E24" i="6" s="1"/>
  <c r="E3" i="6"/>
  <c r="E13" i="6" s="1"/>
  <c r="F31" i="3"/>
  <c r="F29" i="6"/>
  <c r="Q30" i="3"/>
  <c r="G34" i="6"/>
  <c r="G34" i="8" s="1"/>
  <c r="D31" i="3"/>
  <c r="D29" i="6"/>
  <c r="C9" i="9"/>
  <c r="C10" i="9" s="1"/>
  <c r="C3" i="6"/>
  <c r="C13" i="6" s="1"/>
  <c r="C25" i="6" s="1"/>
  <c r="H11" i="5"/>
  <c r="C33" i="8"/>
  <c r="C34" i="6"/>
  <c r="C34" i="8" s="1"/>
  <c r="P19" i="4"/>
  <c r="P20" i="4" s="1"/>
  <c r="R14" i="4"/>
  <c r="R19" i="4" s="1"/>
  <c r="R20" i="4" s="1"/>
  <c r="O19" i="4"/>
  <c r="O20" i="4" s="1"/>
  <c r="S5" i="4"/>
  <c r="O30" i="3"/>
  <c r="H20" i="3"/>
  <c r="G31" i="3"/>
  <c r="R30" i="3"/>
  <c r="H10" i="3"/>
  <c r="I8" i="3"/>
  <c r="H16" i="3"/>
  <c r="I20" i="3" l="1"/>
  <c r="I20" i="5"/>
  <c r="I34" i="5"/>
  <c r="I11" i="5"/>
  <c r="H12" i="5"/>
  <c r="F29" i="8"/>
  <c r="F34" i="6"/>
  <c r="F34" i="8" s="1"/>
  <c r="F9" i="9"/>
  <c r="F10" i="9" s="1"/>
  <c r="F11" i="9" s="1"/>
  <c r="F21" i="6" s="1"/>
  <c r="F24" i="6" s="1"/>
  <c r="F3" i="6"/>
  <c r="F13" i="6" s="1"/>
  <c r="E25" i="6"/>
  <c r="D29" i="8"/>
  <c r="D34" i="6"/>
  <c r="D34" i="8" s="1"/>
  <c r="G9" i="9"/>
  <c r="G10" i="9" s="1"/>
  <c r="G11" i="9" s="1"/>
  <c r="G21" i="6" s="1"/>
  <c r="G24" i="6" s="1"/>
  <c r="G3" i="6"/>
  <c r="G13" i="6" s="1"/>
  <c r="D9" i="9"/>
  <c r="D10" i="9" s="1"/>
  <c r="D11" i="9" s="1"/>
  <c r="D21" i="6" s="1"/>
  <c r="D24" i="6" s="1"/>
  <c r="D3" i="6"/>
  <c r="D13" i="6" s="1"/>
  <c r="S14" i="4"/>
  <c r="S19" i="4" s="1"/>
  <c r="S12" i="4"/>
  <c r="U5" i="4"/>
  <c r="U12" i="4" s="1"/>
  <c r="S30" i="3"/>
  <c r="H22" i="3"/>
  <c r="H24" i="3" s="1"/>
  <c r="H26" i="3" s="1"/>
  <c r="H29" i="6" s="1"/>
  <c r="H29" i="8" s="1"/>
  <c r="I10" i="3"/>
  <c r="J8" i="3"/>
  <c r="I16" i="3"/>
  <c r="I22" i="3" l="1"/>
  <c r="D25" i="6"/>
  <c r="H6" i="8"/>
  <c r="C11" i="8" s="1"/>
  <c r="H21" i="5"/>
  <c r="J11" i="5"/>
  <c r="J12" i="5" s="1"/>
  <c r="I12" i="5"/>
  <c r="I21" i="5" s="1"/>
  <c r="G25" i="6"/>
  <c r="I36" i="5"/>
  <c r="I37" i="5" s="1"/>
  <c r="I10" i="6"/>
  <c r="I11" i="6"/>
  <c r="J20" i="5"/>
  <c r="J34" i="5"/>
  <c r="J36" i="5" s="1"/>
  <c r="J37" i="5" s="1"/>
  <c r="F25" i="6"/>
  <c r="U14" i="4"/>
  <c r="U19" i="4" s="1"/>
  <c r="U20" i="4" s="1"/>
  <c r="V5" i="4"/>
  <c r="V12" i="4" s="1"/>
  <c r="S20" i="4"/>
  <c r="V14" i="4"/>
  <c r="V19" i="4" s="1"/>
  <c r="I24" i="3"/>
  <c r="I26" i="3" s="1"/>
  <c r="J10" i="3"/>
  <c r="J16" i="3"/>
  <c r="J20" i="3"/>
  <c r="H30" i="3"/>
  <c r="I32" i="6" l="1"/>
  <c r="I32" i="8" s="1"/>
  <c r="J10" i="6"/>
  <c r="I38" i="5"/>
  <c r="J11" i="6"/>
  <c r="J21" i="5"/>
  <c r="J38" i="5" s="1"/>
  <c r="D22" i="8"/>
  <c r="E22" i="8"/>
  <c r="C49" i="8"/>
  <c r="C22" i="8"/>
  <c r="F22" i="8"/>
  <c r="F23" i="8" s="1"/>
  <c r="I30" i="3"/>
  <c r="I30" i="6" s="1"/>
  <c r="I30" i="8" s="1"/>
  <c r="I29" i="6"/>
  <c r="H31" i="3"/>
  <c r="H30" i="6"/>
  <c r="V20" i="4"/>
  <c r="J22" i="3"/>
  <c r="J24" i="3" s="1"/>
  <c r="J26" i="3" s="1"/>
  <c r="J29" i="6" s="1"/>
  <c r="J29" i="8" s="1"/>
  <c r="J32" i="6" l="1"/>
  <c r="J32" i="8" s="1"/>
  <c r="C23" i="8"/>
  <c r="C37" i="8"/>
  <c r="D23" i="8"/>
  <c r="C41" i="8"/>
  <c r="E23" i="8"/>
  <c r="C45" i="8"/>
  <c r="I31" i="3"/>
  <c r="I3" i="6" s="1"/>
  <c r="I13" i="6" s="1"/>
  <c r="H3" i="6"/>
  <c r="H13" i="6" s="1"/>
  <c r="H9" i="9"/>
  <c r="H10" i="9" s="1"/>
  <c r="H11" i="9" s="1"/>
  <c r="H21" i="6" s="1"/>
  <c r="H24" i="6" s="1"/>
  <c r="I34" i="6"/>
  <c r="I34" i="8" s="1"/>
  <c r="I29" i="8"/>
  <c r="H34" i="6"/>
  <c r="H34" i="8" s="1"/>
  <c r="H30" i="8"/>
  <c r="J30" i="3"/>
  <c r="I9" i="9" l="1"/>
  <c r="I10" i="9" s="1"/>
  <c r="I11" i="9" s="1"/>
  <c r="I21" i="6" s="1"/>
  <c r="I24" i="6" s="1"/>
  <c r="I25" i="6" s="1"/>
  <c r="H25" i="6"/>
  <c r="J31" i="3"/>
  <c r="J30" i="6"/>
  <c r="J3" i="6" l="1"/>
  <c r="J13" i="6" s="1"/>
  <c r="J9" i="9"/>
  <c r="J10" i="9" s="1"/>
  <c r="J11" i="9" s="1"/>
  <c r="J21" i="6" s="1"/>
  <c r="J24" i="6" s="1"/>
  <c r="J34" i="6"/>
  <c r="J34" i="8" s="1"/>
  <c r="F24" i="8" s="1"/>
  <c r="C50" i="8" s="1"/>
  <c r="C53" i="8" s="1"/>
  <c r="J30" i="8"/>
  <c r="J25" i="6" l="1"/>
  <c r="C24" i="8"/>
  <c r="C38" i="8" s="1"/>
  <c r="E24" i="8"/>
  <c r="C46" i="8" s="1"/>
  <c r="D24" i="8"/>
  <c r="C42" i="8" s="1"/>
  <c r="H36" i="5" l="1"/>
  <c r="H37" i="5" s="1"/>
  <c r="H38" i="5" s="1"/>
</calcChain>
</file>

<file path=xl/sharedStrings.xml><?xml version="1.0" encoding="utf-8"?>
<sst xmlns="http://schemas.openxmlformats.org/spreadsheetml/2006/main" count="299" uniqueCount="216">
  <si>
    <t>Standalone Profit &amp; Loss account</t>
  </si>
  <si>
    <t>Year</t>
  </si>
  <si>
    <t>14-15</t>
  </si>
  <si>
    <t>15-16</t>
  </si>
  <si>
    <t>16-17</t>
  </si>
  <si>
    <t>17-18</t>
  </si>
  <si>
    <t>18-19</t>
  </si>
  <si>
    <t>19-20 (Forecasted)</t>
  </si>
  <si>
    <t>20-21 (Forecasted)</t>
  </si>
  <si>
    <t>21-22 (Forecasted)</t>
  </si>
  <si>
    <t>Reasons</t>
  </si>
  <si>
    <t>INCOME</t>
  </si>
  <si>
    <t>Operating Revenues</t>
  </si>
  <si>
    <t>Other Income</t>
  </si>
  <si>
    <t>Average</t>
  </si>
  <si>
    <t>Total Revenue</t>
  </si>
  <si>
    <t>EXPENSES</t>
  </si>
  <si>
    <t>Cost Of Materials Consumed</t>
  </si>
  <si>
    <t>Purchase Of Stock-In Trade</t>
  </si>
  <si>
    <t>Changes In Inventories Of FG,WIP And Stock-In Trade</t>
  </si>
  <si>
    <t>Cost of goods sold</t>
  </si>
  <si>
    <t xml:space="preserve">Average of cost of goods sold to sales ratio  </t>
  </si>
  <si>
    <t>Employee Benefit Expenses</t>
  </si>
  <si>
    <t>Average Growth</t>
  </si>
  <si>
    <t>Finance Costs</t>
  </si>
  <si>
    <t>Constant</t>
  </si>
  <si>
    <t>Depreciation And Amortisation Expenses</t>
  </si>
  <si>
    <t>Refer PPE Sheet</t>
  </si>
  <si>
    <t>Operating cost and other Expense</t>
  </si>
  <si>
    <t xml:space="preserve">Average of Operating  Expense to sales ratio  </t>
  </si>
  <si>
    <t>Less: Transfer to / From Investment / Fixed Assets / Others</t>
  </si>
  <si>
    <t>Total Expenses</t>
  </si>
  <si>
    <t>Profit/Loss Before Exceptional, ExtraOrdinary Items And Tax</t>
  </si>
  <si>
    <t>Exceptional Items</t>
  </si>
  <si>
    <t>Profit/Loss Before Tax</t>
  </si>
  <si>
    <t>Tax Expenses-Continued Operations</t>
  </si>
  <si>
    <t>Current Tax</t>
  </si>
  <si>
    <t>Deferred Tax</t>
  </si>
  <si>
    <t>Total Tax Expenses</t>
  </si>
  <si>
    <t>Average of Tax / EBIT</t>
  </si>
  <si>
    <t>Profit/Loss For The Period</t>
  </si>
  <si>
    <r>
      <rPr>
        <b/>
        <sz val="9"/>
        <color rgb="FF383434"/>
        <rFont val="Arial"/>
        <family val="2"/>
      </rPr>
      <t>Description</t>
    </r>
  </si>
  <si>
    <r>
      <rPr>
        <b/>
        <sz val="9"/>
        <color rgb="FF383434"/>
        <rFont val="Arial"/>
        <family val="2"/>
      </rPr>
      <t>As at 01-04-2018</t>
    </r>
  </si>
  <si>
    <r>
      <rPr>
        <b/>
        <sz val="9"/>
        <color rgb="FF383434"/>
        <rFont val="Arial"/>
        <family val="2"/>
      </rPr>
      <t>As at 31-03-2019</t>
    </r>
  </si>
  <si>
    <r>
      <rPr>
        <b/>
        <sz val="9"/>
        <color rgb="FF383434"/>
        <rFont val="Arial"/>
        <family val="2"/>
      </rPr>
      <t>As at 31-03-2018</t>
    </r>
  </si>
  <si>
    <t>Depreciation Rates</t>
  </si>
  <si>
    <t>Depreciation and Amortization for 19-20</t>
  </si>
  <si>
    <t>Net Block as on 31-3-20</t>
  </si>
  <si>
    <t>Depreciation and Amortization for 20-21</t>
  </si>
  <si>
    <t>Net Block as on 31-3-21</t>
  </si>
  <si>
    <r>
      <rPr>
        <b/>
        <sz val="9"/>
        <color rgb="FF231F1F"/>
        <rFont val="Arial"/>
        <family val="2"/>
      </rPr>
      <t>PROPERTY, PLANT AND EQUIPMENT</t>
    </r>
  </si>
  <si>
    <r>
      <rPr>
        <b/>
        <sz val="9"/>
        <color rgb="FF64489E"/>
        <rFont val="Arial"/>
        <family val="2"/>
      </rPr>
      <t>Own Assets :</t>
    </r>
  </si>
  <si>
    <r>
      <rPr>
        <sz val="9"/>
        <color rgb="FF383434"/>
        <rFont val="Arial"/>
        <family val="2"/>
      </rPr>
      <t>Buildings</t>
    </r>
  </si>
  <si>
    <r>
      <rPr>
        <sz val="9"/>
        <color rgb="FF383434"/>
        <rFont val="Arial"/>
        <family val="2"/>
      </rPr>
      <t>Vehicles</t>
    </r>
  </si>
  <si>
    <r>
      <rPr>
        <b/>
        <sz val="9"/>
        <color rgb="FF231F1F"/>
        <rFont val="Arial"/>
        <family val="2"/>
      </rPr>
      <t>Total (A)</t>
    </r>
  </si>
  <si>
    <r>
      <rPr>
        <b/>
        <sz val="9"/>
        <color rgb="FF231F1F"/>
        <rFont val="Arial"/>
        <family val="2"/>
      </rPr>
      <t xml:space="preserve">INTANGIBLE ASSETS </t>
    </r>
    <r>
      <rPr>
        <sz val="9"/>
        <color rgb="FF231F1F"/>
        <rFont val="Arial"/>
        <family val="2"/>
      </rPr>
      <t>*</t>
    </r>
  </si>
  <si>
    <r>
      <rPr>
        <b/>
        <sz val="9"/>
        <color rgb="FF231F1F"/>
        <rFont val="Arial"/>
        <family val="2"/>
      </rPr>
      <t>Total (B)</t>
    </r>
  </si>
  <si>
    <r>
      <rPr>
        <b/>
        <sz val="9"/>
        <color rgb="FF231F1F"/>
        <rFont val="Arial"/>
        <family val="2"/>
      </rPr>
      <t>Total (A + B)</t>
    </r>
  </si>
  <si>
    <t>Fixed Assets</t>
  </si>
  <si>
    <t>Depreciation</t>
  </si>
  <si>
    <t>Change in PPE</t>
  </si>
  <si>
    <t>Plant and Equipment</t>
  </si>
  <si>
    <t>Furniture and Fixtures</t>
  </si>
  <si>
    <t>Office Equipments</t>
  </si>
  <si>
    <t>Freehold Land</t>
  </si>
  <si>
    <t>Leasehold Land</t>
  </si>
  <si>
    <t>As at 01-04-2018</t>
  </si>
  <si>
    <t>As at 31-03-2019</t>
  </si>
  <si>
    <t>Sofware</t>
  </si>
  <si>
    <t>Marketing Intangibles</t>
  </si>
  <si>
    <t>Technical Know How</t>
  </si>
  <si>
    <t>Trademarks</t>
  </si>
  <si>
    <t>Brands</t>
  </si>
  <si>
    <t>Standalone Balance Sheet</t>
  </si>
  <si>
    <t>Date</t>
  </si>
  <si>
    <t>Forecasted</t>
  </si>
  <si>
    <t>EQUITIES AND LIABILITIES</t>
  </si>
  <si>
    <t>SHAREHOLDER'S FUNDS</t>
  </si>
  <si>
    <t>Equity Share Capital</t>
  </si>
  <si>
    <t>Reserves and Surplus</t>
  </si>
  <si>
    <t>Adding all the profit to Reserves and Surplus</t>
  </si>
  <si>
    <t>Total Shareholders Funds</t>
  </si>
  <si>
    <t>Equity Share Application Money</t>
  </si>
  <si>
    <t>NON-CURRENT LIABILITIES</t>
  </si>
  <si>
    <t>Other Long Term Liabilities</t>
  </si>
  <si>
    <t>Long Term Provisions</t>
  </si>
  <si>
    <t>Total Non-Current Liabilities</t>
  </si>
  <si>
    <t>CURRENT LIABILITIES</t>
  </si>
  <si>
    <t>Based on current liabilities to sales ratio</t>
  </si>
  <si>
    <t>Total Capital And Liabilities</t>
  </si>
  <si>
    <t>ASSETS</t>
  </si>
  <si>
    <t>NON-CURRENT ASSETS</t>
  </si>
  <si>
    <t>Tangible Assets</t>
  </si>
  <si>
    <t>Refer PPE</t>
  </si>
  <si>
    <t>Intangible Assets</t>
  </si>
  <si>
    <t>Capital Work-In-Progress</t>
  </si>
  <si>
    <t>Intangible Assets Under Development</t>
  </si>
  <si>
    <t>Non-Current Investments</t>
  </si>
  <si>
    <t>Long Term Loans And Advances</t>
  </si>
  <si>
    <t>Other Non-Current Assets</t>
  </si>
  <si>
    <t>Total Non-Current Assets</t>
  </si>
  <si>
    <t>CURRENT ASSETS</t>
  </si>
  <si>
    <t>Current Assets</t>
  </si>
  <si>
    <t>Based on current assets to sales ratio</t>
  </si>
  <si>
    <t>Cash and Cash Equivalents</t>
  </si>
  <si>
    <t>Total Current Assets</t>
  </si>
  <si>
    <t>Total Assets</t>
  </si>
  <si>
    <t>Deferred Tax Liabilities</t>
  </si>
  <si>
    <t>FCF (in Cr.)</t>
  </si>
  <si>
    <t>Net Profit</t>
  </si>
  <si>
    <t>Add:</t>
  </si>
  <si>
    <t>Finance cost</t>
  </si>
  <si>
    <t>Less:</t>
  </si>
  <si>
    <t>Interest income</t>
  </si>
  <si>
    <t>Adjusted for:</t>
  </si>
  <si>
    <t>Change in Current Assets</t>
  </si>
  <si>
    <t>Change in Current Liabilities</t>
  </si>
  <si>
    <t>Cash Flow from Operations</t>
  </si>
  <si>
    <t>Cash Flow from Investing</t>
  </si>
  <si>
    <t>Purchase or Disposal of PPE</t>
  </si>
  <si>
    <t>Interest income earned</t>
  </si>
  <si>
    <t>Total CFI</t>
  </si>
  <si>
    <t>Cash flow from financing activities</t>
  </si>
  <si>
    <t>Money received from equity share holders</t>
  </si>
  <si>
    <t>Payment / Borrowing of Loans</t>
  </si>
  <si>
    <t>Refer Net Worth</t>
  </si>
  <si>
    <t>Financing Costs</t>
  </si>
  <si>
    <t>Total CFF</t>
  </si>
  <si>
    <t>Free Cash Flow (FCF)</t>
  </si>
  <si>
    <t>UCFF or FCFF (in Cr.)</t>
  </si>
  <si>
    <t>EBIT</t>
  </si>
  <si>
    <t>Tax</t>
  </si>
  <si>
    <t>Change in NWC</t>
  </si>
  <si>
    <t>Capital Expenditure</t>
  </si>
  <si>
    <t>Unlevered Free Cash Flow</t>
  </si>
  <si>
    <t>Gross Block</t>
  </si>
  <si>
    <t>Net Block</t>
  </si>
  <si>
    <t>Financial liabilities</t>
  </si>
  <si>
    <t>DISCOUNTED CASH FLOW</t>
  </si>
  <si>
    <t>WACC</t>
  </si>
  <si>
    <t>Weight of Equity</t>
  </si>
  <si>
    <t>Weight of Debt</t>
  </si>
  <si>
    <t>Cost of Equity (CAPM)</t>
  </si>
  <si>
    <t>Cost of Debt</t>
  </si>
  <si>
    <t>Tax Rate</t>
  </si>
  <si>
    <t>Calculation of Cost of Equity as per CAPM</t>
  </si>
  <si>
    <t xml:space="preserve">Risk free rate </t>
  </si>
  <si>
    <t>Beta</t>
  </si>
  <si>
    <t>Rm</t>
  </si>
  <si>
    <t>Market Risk Premium</t>
  </si>
  <si>
    <t xml:space="preserve">Cost of Equity </t>
  </si>
  <si>
    <t>Terminal Value</t>
  </si>
  <si>
    <t>Growth</t>
  </si>
  <si>
    <t>Rate</t>
  </si>
  <si>
    <t>Rate - Growth</t>
  </si>
  <si>
    <t>Terminal value using Perpetual Growth (in Cr.)</t>
  </si>
  <si>
    <t>Best Case Scenario</t>
  </si>
  <si>
    <t>Discount Rate (WACC + 1.5%)</t>
  </si>
  <si>
    <t>NPV of the company</t>
  </si>
  <si>
    <t>Average Case Scenario</t>
  </si>
  <si>
    <t>Discount Rate (WACC + 3%)</t>
  </si>
  <si>
    <t>Worst Case Scenario</t>
  </si>
  <si>
    <t>Discount Rate (WACC + 5%)</t>
  </si>
  <si>
    <t>Calculation of Intrinsic Value</t>
  </si>
  <si>
    <t>in crores</t>
  </si>
  <si>
    <t>No. of Shares</t>
  </si>
  <si>
    <t>Intrinsic Value of shares</t>
  </si>
  <si>
    <t>Market Value of Share</t>
  </si>
  <si>
    <t>NET WORTH</t>
  </si>
  <si>
    <t>Net Worth</t>
  </si>
  <si>
    <t>Profit After Tax</t>
  </si>
  <si>
    <t>Net Worth - Profit</t>
  </si>
  <si>
    <t>Actual money received from Shareholders</t>
  </si>
  <si>
    <t>As Intrinsic Value is lesser than Market Value, Market Price is Overvalued</t>
  </si>
  <si>
    <t>Assumptions</t>
  </si>
  <si>
    <t>Reason</t>
  </si>
  <si>
    <t>Assuming no equity shares will be issued in future.</t>
  </si>
  <si>
    <t>Assuming no dividends are paid, no capital profit is earned</t>
  </si>
  <si>
    <t>Assuming that new liabilities of same amount will be taken or old liabilities will be renewed on date of maturity of existing liabilities.</t>
  </si>
  <si>
    <t>Assuming current liabilities are comparable to sales</t>
  </si>
  <si>
    <t>Working has been done as per rate of depreciation used by company in past. It is assumed that company is underutilising the fixed assets and hence no fixed assets will be purchased.</t>
  </si>
  <si>
    <t>Assuming that new loans and advances of same amount will be granted or old loans  will be renewed on date of maturity of existing liabilities.</t>
  </si>
  <si>
    <t>Assuming that cash conversion cycle will remain constant</t>
  </si>
  <si>
    <t>Assumptions for Forecast</t>
  </si>
  <si>
    <t>Assumption for Forecasting</t>
  </si>
  <si>
    <t>Weighted Average Growth</t>
  </si>
  <si>
    <t>A trend of increase in profit is observed, so weighted average is used</t>
  </si>
  <si>
    <t>Assuming average investment, and thus average returns</t>
  </si>
  <si>
    <t>COGS and sales have positive correlation. It is assumed that cost of goods will proportionally affected with change in sales.</t>
  </si>
  <si>
    <t>The employee cost will increase due to inflation over the years. Therefore it is assumed to grow at past rates.</t>
  </si>
  <si>
    <t>Assume that interest expenses will not change in future.</t>
  </si>
  <si>
    <t>Operating Expense and sales have positive correlation. It is assumed that operating expense will proportionally affected with change in sales.</t>
  </si>
  <si>
    <t>It is assumed that tax rate in future will be same as previous year</t>
  </si>
  <si>
    <t>1. The risk free rate is assumed to be same as RBI Bond rate issued.</t>
  </si>
  <si>
    <t>2. It is assumed that the tax rate of 30% is constant</t>
  </si>
  <si>
    <t>3. Growth rate of company is assumed to be 2%</t>
  </si>
  <si>
    <t>Book Value Per Share Annual Rs</t>
  </si>
  <si>
    <t>BV per share is incresing. This is because the company is earning and retaining profits.  Company is not levered too great extent therefore the a lot of profit is not apportioned to debt holders</t>
  </si>
  <si>
    <t>ROCE Annual %</t>
  </si>
  <si>
    <t>Return on Capital Employed is more for the years with less debt as for the company cost of debt is higher than cost of equity.</t>
  </si>
  <si>
    <t>Net Profit Margin Annual %</t>
  </si>
  <si>
    <t>Current Ratio Annual</t>
  </si>
  <si>
    <t>Current ratio is decreasing due to decreasing current liabilities. It implies that company has suffient current assets to cover the current liabilities.</t>
  </si>
  <si>
    <t>Total Debt to Total Equity Annual</t>
  </si>
  <si>
    <t>The debt to equity ratio is less. It implies that leverage of the company is less. Therefore company has less fixed commitments of principal and interest. Therefore it has less risk.</t>
  </si>
  <si>
    <t>Net profit ration has decreasing trend. COGS and Operating cost per unit is more or less constant. However profit pere unit is reducing due to growth in employee cost.</t>
  </si>
  <si>
    <t>2014-15</t>
  </si>
  <si>
    <t>2015-16</t>
  </si>
  <si>
    <t>2016-17</t>
  </si>
  <si>
    <t>2017-18</t>
  </si>
  <si>
    <t>2018-19</t>
  </si>
  <si>
    <t>Cipla</t>
  </si>
  <si>
    <t>For the Year</t>
  </si>
  <si>
    <t>Deductions / Adjustments</t>
  </si>
  <si>
    <t>Additions / Adjustments</t>
  </si>
  <si>
    <t>Deductions  / Adjustments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</si>
</sst>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 #,##0;[Red]&quot;₹&quot;\ \-#,##0"/>
    <numFmt numFmtId="43" formatCode="_ * #,##0.00_ ;_ * \-#,##0.00_ ;_ * &quot;-&quot;??_ ;_ @_ "/>
    <numFmt numFmtId="164" formatCode="[$-F800]dddd\,\ mmmm\ dd\,\ yyyy"/>
    <numFmt numFmtId="165" formatCode="_ * #,##0_ ;_ * \-#,##0_ ;_ * &quot;-&quot;??_ ;_ @_ "/>
    <numFmt numFmtId="166" formatCode="&quot;₹&quot;\ #,##0"/>
    <numFmt numFmtId="167" formatCode="0.000000000000000%"/>
    <numFmt numFmtId="168" formatCode="_ * #,##0.000_ ;_ * \-#,##0.000_ ;_ * &quot;-&quot;??_ ;_ @_ "/>
  </numFmts>
  <fonts count="32" x14ac:knownFonts="1">
    <font>
      <sz val="11"/>
      <color theme="1"/>
      <name val="Calibri"/>
      <family val="2"/>
      <scheme val="minor"/>
    </font>
    <font>
      <sz val="11"/>
      <color theme="1"/>
      <name val="Calibri"/>
      <family val="2"/>
      <scheme val="minor"/>
    </font>
    <font>
      <b/>
      <sz val="14"/>
      <color theme="1"/>
      <name val="Arial"/>
      <family val="2"/>
    </font>
    <font>
      <sz val="9"/>
      <color theme="1"/>
      <name val="Arial"/>
      <family val="2"/>
    </font>
    <font>
      <b/>
      <sz val="9"/>
      <color theme="1"/>
      <name val="Arial"/>
      <family val="2"/>
    </font>
    <font>
      <b/>
      <sz val="9"/>
      <color rgb="FF000000"/>
      <name val="Arial"/>
      <family val="2"/>
    </font>
    <font>
      <sz val="9"/>
      <color rgb="FF000000"/>
      <name val="Arial"/>
      <family val="2"/>
    </font>
    <font>
      <sz val="10"/>
      <color rgb="FF000000"/>
      <name val="Times New Roman"/>
      <family val="1"/>
    </font>
    <font>
      <b/>
      <sz val="9"/>
      <name val="Arial"/>
      <family val="2"/>
    </font>
    <font>
      <b/>
      <sz val="9"/>
      <color rgb="FF383434"/>
      <name val="Arial"/>
      <family val="2"/>
    </font>
    <font>
      <b/>
      <sz val="9"/>
      <color rgb="FF231F1F"/>
      <name val="Arial"/>
      <family val="2"/>
    </font>
    <font>
      <b/>
      <sz val="9"/>
      <color rgb="FF64489E"/>
      <name val="Arial"/>
      <family val="2"/>
    </font>
    <font>
      <sz val="9"/>
      <name val="Arial"/>
      <family val="2"/>
    </font>
    <font>
      <sz val="9"/>
      <color rgb="FF383434"/>
      <name val="Arial"/>
      <family val="2"/>
    </font>
    <font>
      <sz val="9"/>
      <color rgb="FF231F1F"/>
      <name val="Arial"/>
      <family val="2"/>
    </font>
    <font>
      <b/>
      <sz val="9"/>
      <color rgb="FF0000FF"/>
      <name val="Arial"/>
      <family val="2"/>
    </font>
    <font>
      <b/>
      <sz val="13"/>
      <color theme="3"/>
      <name val="Calibri"/>
      <family val="2"/>
      <scheme val="minor"/>
    </font>
    <font>
      <sz val="11"/>
      <color rgb="FF3F3F76"/>
      <name val="Calibri"/>
      <family val="2"/>
      <scheme val="minor"/>
    </font>
    <font>
      <b/>
      <sz val="11"/>
      <color theme="1"/>
      <name val="Calibri"/>
      <family val="2"/>
      <scheme val="minor"/>
    </font>
    <font>
      <b/>
      <sz val="15"/>
      <color theme="3"/>
      <name val="Calibri"/>
      <family val="2"/>
      <scheme val="minor"/>
    </font>
    <font>
      <b/>
      <sz val="11"/>
      <color theme="3"/>
      <name val="Calibri"/>
      <family val="2"/>
      <scheme val="minor"/>
    </font>
    <font>
      <sz val="11"/>
      <color rgb="FFFF0000"/>
      <name val="Calibri"/>
      <family val="2"/>
      <scheme val="minor"/>
    </font>
    <font>
      <b/>
      <sz val="9"/>
      <color theme="3"/>
      <name val="Arial"/>
      <family val="2"/>
    </font>
    <font>
      <sz val="9"/>
      <color rgb="FF333333"/>
      <name val="Arial"/>
      <family val="2"/>
    </font>
    <font>
      <sz val="9"/>
      <color rgb="FFFF0000"/>
      <name val="Arial"/>
      <family val="2"/>
    </font>
    <font>
      <u/>
      <sz val="11"/>
      <color theme="10"/>
      <name val="Calibri"/>
      <family val="2"/>
      <scheme val="minor"/>
    </font>
    <font>
      <u/>
      <sz val="9"/>
      <color theme="10"/>
      <name val="Arial"/>
      <family val="2"/>
    </font>
    <font>
      <sz val="9"/>
      <color rgb="FF3F3F76"/>
      <name val="Arial"/>
      <family val="2"/>
    </font>
    <font>
      <b/>
      <sz val="9"/>
      <color rgb="FF3F3F76"/>
      <name val="Arial"/>
      <family val="2"/>
    </font>
    <font>
      <sz val="11"/>
      <color theme="1"/>
      <name val="Arial"/>
      <family val="2"/>
    </font>
    <font>
      <b/>
      <sz val="11"/>
      <color theme="1"/>
      <name val="Arial"/>
      <family val="2"/>
    </font>
    <font>
      <b/>
      <sz val="17"/>
      <color theme="1"/>
      <name val="Arial"/>
      <family val="2"/>
    </font>
  </fonts>
  <fills count="6">
    <fill>
      <patternFill patternType="none"/>
    </fill>
    <fill>
      <patternFill patternType="gray125"/>
    </fill>
    <fill>
      <patternFill patternType="solid">
        <fgColor rgb="FFFFFF00"/>
        <bgColor indexed="64"/>
      </patternFill>
    </fill>
    <fill>
      <patternFill patternType="solid">
        <fgColor rgb="FFEDF0F2"/>
      </patternFill>
    </fill>
    <fill>
      <patternFill patternType="solid">
        <fgColor rgb="FFD3C6E2"/>
      </patternFill>
    </fill>
    <fill>
      <patternFill patternType="solid">
        <fgColor rgb="FFFFCC99"/>
      </patternFill>
    </fill>
  </fills>
  <borders count="48">
    <border>
      <left/>
      <right/>
      <top/>
      <bottom/>
      <diagonal/>
    </border>
    <border>
      <left style="medium">
        <color rgb="FFEEEEEE"/>
      </left>
      <right/>
      <top/>
      <bottom/>
      <diagonal/>
    </border>
    <border>
      <left style="medium">
        <color rgb="FFEEEEEE"/>
      </left>
      <right style="medium">
        <color rgb="FFEEEEEE"/>
      </right>
      <top/>
      <bottom/>
      <diagonal/>
    </border>
    <border>
      <left style="thin">
        <color indexed="64"/>
      </left>
      <right style="thin">
        <color indexed="64"/>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thick">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16" fillId="0" borderId="4" applyNumberFormat="0" applyFill="0" applyAlignment="0" applyProtection="0"/>
    <xf numFmtId="0" fontId="17" fillId="5" borderId="5" applyNumberFormat="0" applyAlignment="0" applyProtection="0"/>
    <xf numFmtId="0" fontId="18" fillId="0" borderId="6" applyNumberFormat="0" applyFill="0" applyAlignment="0" applyProtection="0"/>
    <xf numFmtId="0" fontId="19" fillId="0" borderId="7" applyNumberFormat="0" applyFill="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5" fillId="0" borderId="0" applyNumberFormat="0" applyFill="0" applyBorder="0" applyAlignment="0" applyProtection="0"/>
  </cellStyleXfs>
  <cellXfs count="390">
    <xf numFmtId="0" fontId="0" fillId="0" borderId="0" xfId="0"/>
    <xf numFmtId="0" fontId="3" fillId="0" borderId="0" xfId="0" applyFont="1"/>
    <xf numFmtId="0" fontId="4" fillId="0" borderId="0" xfId="0" applyFont="1" applyAlignment="1">
      <alignment horizontal="center" vertical="center" wrapText="1"/>
    </xf>
    <xf numFmtId="0" fontId="4" fillId="0" borderId="2" xfId="0" applyFont="1" applyBorder="1" applyAlignment="1">
      <alignment vertical="center" wrapText="1"/>
    </xf>
    <xf numFmtId="17" fontId="5" fillId="0" borderId="0" xfId="0" applyNumberFormat="1" applyFont="1" applyAlignment="1">
      <alignment horizontal="right" vertical="center" wrapText="1"/>
    </xf>
    <xf numFmtId="0" fontId="4" fillId="0" borderId="0" xfId="0" applyFont="1"/>
    <xf numFmtId="0" fontId="5" fillId="0" borderId="0" xfId="0" applyFont="1" applyAlignment="1">
      <alignment vertical="center" wrapText="1"/>
    </xf>
    <xf numFmtId="0" fontId="5" fillId="0" borderId="3"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horizontal="right" vertical="center" wrapText="1"/>
    </xf>
    <xf numFmtId="4" fontId="5" fillId="0" borderId="0" xfId="0" applyNumberFormat="1" applyFont="1" applyAlignment="1">
      <alignment horizontal="right" vertical="center" wrapText="1"/>
    </xf>
    <xf numFmtId="10" fontId="3" fillId="0" borderId="0" xfId="0" applyNumberFormat="1" applyFont="1"/>
    <xf numFmtId="4" fontId="3" fillId="2" borderId="3" xfId="0" applyNumberFormat="1" applyFont="1" applyFill="1" applyBorder="1" applyAlignment="1">
      <alignment horizontal="right" vertical="center" wrapText="1"/>
    </xf>
    <xf numFmtId="4" fontId="6" fillId="2" borderId="3" xfId="0" applyNumberFormat="1" applyFont="1" applyFill="1" applyBorder="1" applyAlignment="1">
      <alignment horizontal="right" vertical="center" wrapText="1"/>
    </xf>
    <xf numFmtId="4" fontId="6" fillId="0" borderId="0" xfId="0" applyNumberFormat="1" applyFont="1" applyAlignment="1">
      <alignment horizontal="right" vertical="center" wrapText="1"/>
    </xf>
    <xf numFmtId="4" fontId="5" fillId="0" borderId="3" xfId="0" applyNumberFormat="1" applyFont="1" applyBorder="1" applyAlignment="1">
      <alignment horizontal="right" vertical="center" wrapText="1"/>
    </xf>
    <xf numFmtId="4" fontId="3" fillId="0" borderId="3" xfId="0" applyNumberFormat="1" applyFont="1" applyBorder="1" applyAlignment="1">
      <alignment horizontal="right" vertical="center" wrapText="1"/>
    </xf>
    <xf numFmtId="4" fontId="6" fillId="0" borderId="3" xfId="0" applyNumberFormat="1" applyFont="1" applyBorder="1" applyAlignment="1">
      <alignment horizontal="right" vertical="center" wrapText="1"/>
    </xf>
    <xf numFmtId="4" fontId="4" fillId="0" borderId="3" xfId="0" applyNumberFormat="1" applyFont="1" applyBorder="1" applyAlignment="1">
      <alignment horizontal="right" vertical="center" wrapText="1"/>
    </xf>
    <xf numFmtId="0" fontId="6" fillId="0" borderId="3" xfId="0" applyFont="1" applyBorder="1" applyAlignment="1">
      <alignment horizontal="right" vertical="center" wrapText="1"/>
    </xf>
    <xf numFmtId="0" fontId="6" fillId="0" borderId="0" xfId="0" applyFont="1" applyAlignment="1">
      <alignment horizontal="right" vertical="center" wrapText="1"/>
    </xf>
    <xf numFmtId="0" fontId="3" fillId="0" borderId="3" xfId="0" applyFont="1" applyBorder="1"/>
    <xf numFmtId="0" fontId="3" fillId="2" borderId="3" xfId="0" applyFont="1" applyFill="1" applyBorder="1" applyAlignment="1">
      <alignment horizontal="right" vertical="center" wrapText="1"/>
    </xf>
    <xf numFmtId="0" fontId="6" fillId="2" borderId="3" xfId="0" applyFont="1" applyFill="1" applyBorder="1" applyAlignment="1">
      <alignment horizontal="right" vertical="center" wrapText="1"/>
    </xf>
    <xf numFmtId="43" fontId="5" fillId="0" borderId="0" xfId="1" applyFont="1" applyAlignment="1">
      <alignment horizontal="left" vertical="top" wrapText="1"/>
    </xf>
    <xf numFmtId="43" fontId="5" fillId="0" borderId="0" xfId="1" applyFont="1" applyFill="1" applyBorder="1" applyAlignment="1">
      <alignment horizontal="left" vertical="top" wrapText="1"/>
    </xf>
    <xf numFmtId="43" fontId="6" fillId="0" borderId="0" xfId="1" applyFont="1" applyAlignment="1">
      <alignment horizontal="left" vertical="top" wrapText="1"/>
    </xf>
    <xf numFmtId="43" fontId="6" fillId="0" borderId="0" xfId="1" applyFont="1" applyFill="1" applyBorder="1" applyAlignment="1">
      <alignment horizontal="left" vertical="top" wrapText="1"/>
    </xf>
    <xf numFmtId="43" fontId="5" fillId="0" borderId="0" xfId="1" applyFont="1" applyFill="1" applyBorder="1" applyAlignment="1">
      <alignment horizontal="left" vertical="center" wrapText="1"/>
    </xf>
    <xf numFmtId="43" fontId="3" fillId="0" borderId="3" xfId="1" applyFont="1" applyBorder="1" applyAlignment="1">
      <alignment horizontal="right" vertical="center" wrapText="1"/>
    </xf>
    <xf numFmtId="10" fontId="6" fillId="0" borderId="0" xfId="2" applyNumberFormat="1" applyFont="1" applyFill="1" applyBorder="1" applyAlignment="1">
      <alignment horizontal="left" vertical="top" wrapText="1"/>
    </xf>
    <xf numFmtId="10" fontId="5" fillId="0" borderId="0" xfId="2" applyNumberFormat="1" applyFont="1" applyFill="1" applyBorder="1" applyAlignment="1">
      <alignment horizontal="left" vertical="top" wrapText="1"/>
    </xf>
    <xf numFmtId="43" fontId="3" fillId="0" borderId="0" xfId="1" applyFont="1" applyFill="1"/>
    <xf numFmtId="0" fontId="4" fillId="0" borderId="0" xfId="0" applyFont="1" applyAlignment="1">
      <alignment vertical="center" wrapText="1"/>
    </xf>
    <xf numFmtId="0" fontId="15" fillId="0" borderId="0" xfId="0" applyFont="1" applyAlignment="1">
      <alignment horizontal="right" vertical="center" wrapText="1"/>
    </xf>
    <xf numFmtId="0" fontId="4" fillId="0" borderId="2" xfId="0" applyFont="1" applyBorder="1" applyAlignment="1">
      <alignment horizontal="center" vertical="center" wrapText="1"/>
    </xf>
    <xf numFmtId="0" fontId="4" fillId="0" borderId="3" xfId="0" applyFont="1" applyBorder="1" applyAlignment="1">
      <alignment horizontal="right" vertical="center" wrapText="1"/>
    </xf>
    <xf numFmtId="43" fontId="3" fillId="0" borderId="3" xfId="1" applyFont="1" applyFill="1" applyBorder="1"/>
    <xf numFmtId="0" fontId="3" fillId="0" borderId="3" xfId="0" applyFont="1" applyBorder="1" applyAlignment="1">
      <alignment vertical="center"/>
    </xf>
    <xf numFmtId="0" fontId="4" fillId="0" borderId="0" xfId="0" applyFont="1" applyAlignment="1">
      <alignment wrapText="1"/>
    </xf>
    <xf numFmtId="43" fontId="4" fillId="0" borderId="3" xfId="1" applyFont="1" applyFill="1" applyBorder="1" applyAlignment="1">
      <alignment horizontal="right" vertical="center" wrapText="1"/>
    </xf>
    <xf numFmtId="0" fontId="3" fillId="0" borderId="3" xfId="0" applyFont="1" applyBorder="1" applyAlignment="1">
      <alignment horizontal="right" vertical="center" wrapText="1"/>
    </xf>
    <xf numFmtId="43" fontId="4" fillId="0" borderId="3" xfId="1" applyFont="1" applyFill="1" applyBorder="1" applyAlignment="1">
      <alignment vertical="center"/>
    </xf>
    <xf numFmtId="43" fontId="3" fillId="0" borderId="0" xfId="0" applyNumberFormat="1" applyFont="1"/>
    <xf numFmtId="43" fontId="3" fillId="0" borderId="3" xfId="1" applyFont="1" applyFill="1" applyBorder="1" applyAlignment="1">
      <alignment horizontal="right" vertical="center" wrapText="1"/>
    </xf>
    <xf numFmtId="10" fontId="3" fillId="0" borderId="0" xfId="2" applyNumberFormat="1" applyFont="1" applyFill="1" applyAlignment="1">
      <alignment wrapText="1"/>
    </xf>
    <xf numFmtId="10" fontId="3" fillId="0" borderId="0" xfId="0" applyNumberFormat="1" applyFont="1" applyAlignment="1">
      <alignment wrapText="1"/>
    </xf>
    <xf numFmtId="43" fontId="4" fillId="0" borderId="0" xfId="0" applyNumberFormat="1" applyFont="1"/>
    <xf numFmtId="43" fontId="3" fillId="0" borderId="3" xfId="1" applyFont="1" applyFill="1" applyBorder="1" applyAlignment="1">
      <alignment vertical="center"/>
    </xf>
    <xf numFmtId="0" fontId="3" fillId="0" borderId="0" xfId="0" applyFont="1" applyAlignment="1">
      <alignment vertical="center"/>
    </xf>
    <xf numFmtId="0" fontId="12" fillId="0" borderId="0" xfId="0" applyFont="1"/>
    <xf numFmtId="0" fontId="8" fillId="0" borderId="0" xfId="0" applyFont="1" applyAlignment="1">
      <alignment horizontal="center" wrapText="1"/>
    </xf>
    <xf numFmtId="43" fontId="12" fillId="0" borderId="3" xfId="1" applyFont="1" applyFill="1" applyBorder="1"/>
    <xf numFmtId="0" fontId="8" fillId="0" borderId="0" xfId="0" applyFont="1" applyAlignment="1">
      <alignment horizontal="center"/>
    </xf>
    <xf numFmtId="43" fontId="8" fillId="0" borderId="3" xfId="1" applyFont="1" applyFill="1" applyBorder="1"/>
    <xf numFmtId="0" fontId="8" fillId="0" borderId="0" xfId="0" applyFont="1"/>
    <xf numFmtId="0" fontId="12" fillId="0" borderId="3" xfId="0" applyFont="1" applyBorder="1"/>
    <xf numFmtId="14" fontId="6" fillId="0" borderId="0" xfId="1" applyNumberFormat="1" applyFont="1" applyAlignment="1">
      <alignment horizontal="left" vertical="top" wrapText="1"/>
    </xf>
    <xf numFmtId="14" fontId="6" fillId="0" borderId="0" xfId="2"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3" fillId="0" borderId="8" xfId="0" applyFont="1" applyBorder="1"/>
    <xf numFmtId="0" fontId="3" fillId="0" borderId="11" xfId="0" applyFont="1" applyBorder="1"/>
    <xf numFmtId="0" fontId="22" fillId="0" borderId="0" xfId="9" applyFont="1" applyFill="1" applyBorder="1" applyAlignment="1"/>
    <xf numFmtId="0" fontId="3" fillId="0" borderId="19" xfId="0" applyFont="1" applyBorder="1"/>
    <xf numFmtId="17" fontId="3" fillId="0" borderId="19" xfId="0" applyNumberFormat="1" applyFont="1" applyBorder="1"/>
    <xf numFmtId="0" fontId="3" fillId="0" borderId="3" xfId="0" applyFont="1" applyBorder="1" applyAlignment="1">
      <alignment horizontal="right"/>
    </xf>
    <xf numFmtId="43" fontId="3" fillId="0" borderId="3" xfId="1" applyFont="1" applyFill="1" applyBorder="1" applyAlignment="1">
      <alignment horizontal="right"/>
    </xf>
    <xf numFmtId="10" fontId="23" fillId="0" borderId="3" xfId="1" applyNumberFormat="1" applyFont="1" applyBorder="1"/>
    <xf numFmtId="10" fontId="3" fillId="0" borderId="3" xfId="2" applyNumberFormat="1" applyFont="1" applyFill="1" applyBorder="1"/>
    <xf numFmtId="43" fontId="3" fillId="0" borderId="0" xfId="1" applyFont="1" applyFill="1" applyBorder="1"/>
    <xf numFmtId="10" fontId="3" fillId="0" borderId="3" xfId="2" applyNumberFormat="1" applyFont="1" applyFill="1" applyBorder="1" applyAlignment="1">
      <alignment horizontal="right"/>
    </xf>
    <xf numFmtId="10" fontId="3" fillId="0" borderId="0" xfId="2" applyNumberFormat="1" applyFont="1" applyFill="1" applyBorder="1"/>
    <xf numFmtId="9" fontId="3" fillId="0" borderId="3" xfId="1" applyNumberFormat="1" applyFont="1" applyFill="1" applyBorder="1"/>
    <xf numFmtId="10" fontId="4" fillId="0" borderId="3" xfId="2" applyNumberFormat="1" applyFont="1" applyFill="1" applyBorder="1" applyAlignment="1">
      <alignment horizontal="right"/>
    </xf>
    <xf numFmtId="10" fontId="4" fillId="0" borderId="0" xfId="2" applyNumberFormat="1" applyFont="1" applyFill="1" applyBorder="1"/>
    <xf numFmtId="0" fontId="24" fillId="0" borderId="0" xfId="11" applyFont="1" applyFill="1" applyBorder="1" applyAlignment="1">
      <alignment horizontal="center"/>
    </xf>
    <xf numFmtId="10" fontId="3" fillId="0" borderId="12" xfId="0" applyNumberFormat="1" applyFont="1" applyBorder="1"/>
    <xf numFmtId="10" fontId="3" fillId="0" borderId="11" xfId="2" applyNumberFormat="1" applyFont="1" applyFill="1" applyBorder="1"/>
    <xf numFmtId="10" fontId="3" fillId="0" borderId="12" xfId="2" applyNumberFormat="1" applyFont="1" applyFill="1" applyBorder="1"/>
    <xf numFmtId="10" fontId="3" fillId="0" borderId="13" xfId="2" applyNumberFormat="1" applyFont="1" applyFill="1" applyBorder="1"/>
    <xf numFmtId="10" fontId="3" fillId="0" borderId="15" xfId="2" applyNumberFormat="1" applyFont="1" applyFill="1" applyBorder="1"/>
    <xf numFmtId="9" fontId="3" fillId="0" borderId="9" xfId="0" applyNumberFormat="1" applyFont="1" applyBorder="1"/>
    <xf numFmtId="9" fontId="3" fillId="0" borderId="10" xfId="0" applyNumberFormat="1" applyFont="1" applyBorder="1"/>
    <xf numFmtId="17" fontId="3" fillId="0" borderId="0" xfId="0" applyNumberFormat="1" applyFont="1"/>
    <xf numFmtId="0" fontId="26" fillId="0" borderId="0" xfId="12" applyFont="1" applyFill="1" applyBorder="1"/>
    <xf numFmtId="0" fontId="4" fillId="0" borderId="11" xfId="0" applyFont="1" applyBorder="1"/>
    <xf numFmtId="10" fontId="4" fillId="0" borderId="3" xfId="2" applyNumberFormat="1" applyFont="1" applyFill="1" applyBorder="1" applyAlignment="1"/>
    <xf numFmtId="10" fontId="4" fillId="0" borderId="12" xfId="2" applyNumberFormat="1" applyFont="1" applyFill="1" applyBorder="1" applyAlignment="1"/>
    <xf numFmtId="0" fontId="4" fillId="0" borderId="13" xfId="0" applyFont="1" applyBorder="1" applyAlignment="1">
      <alignment vertical="center" wrapText="1"/>
    </xf>
    <xf numFmtId="43" fontId="4" fillId="0" borderId="14" xfId="1" applyFont="1" applyFill="1" applyBorder="1" applyAlignment="1">
      <alignment horizontal="center" vertical="center"/>
    </xf>
    <xf numFmtId="43" fontId="4" fillId="0" borderId="15" xfId="1" applyFont="1" applyFill="1" applyBorder="1" applyAlignment="1">
      <alignment horizontal="center" vertical="center"/>
    </xf>
    <xf numFmtId="0" fontId="3" fillId="0" borderId="0" xfId="0" applyFont="1" applyAlignment="1">
      <alignment horizontal="center"/>
    </xf>
    <xf numFmtId="10" fontId="3" fillId="0" borderId="0" xfId="0" applyNumberFormat="1" applyFont="1" applyAlignment="1">
      <alignment horizontal="center"/>
    </xf>
    <xf numFmtId="0" fontId="22" fillId="0" borderId="0" xfId="10" applyFont="1" applyFill="1" applyBorder="1" applyAlignment="1">
      <alignment vertical="center" wrapText="1"/>
    </xf>
    <xf numFmtId="166" fontId="4" fillId="0" borderId="0" xfId="1" applyNumberFormat="1" applyFont="1" applyFill="1" applyBorder="1" applyAlignment="1">
      <alignment vertical="center"/>
    </xf>
    <xf numFmtId="43" fontId="3" fillId="0" borderId="0" xfId="1" applyFont="1" applyFill="1" applyBorder="1" applyAlignment="1">
      <alignment vertical="center"/>
    </xf>
    <xf numFmtId="0" fontId="22" fillId="0" borderId="8" xfId="6" applyFont="1" applyFill="1" applyBorder="1" applyAlignment="1">
      <alignment horizontal="center"/>
    </xf>
    <xf numFmtId="17" fontId="4" fillId="0" borderId="9" xfId="0" applyNumberFormat="1" applyFont="1" applyBorder="1"/>
    <xf numFmtId="17" fontId="4" fillId="0" borderId="10" xfId="0" applyNumberFormat="1" applyFont="1" applyBorder="1"/>
    <xf numFmtId="0" fontId="27" fillId="0" borderId="11" xfId="7" applyFont="1" applyFill="1" applyBorder="1"/>
    <xf numFmtId="0" fontId="4" fillId="0" borderId="13" xfId="8" applyFont="1" applyFill="1" applyBorder="1"/>
    <xf numFmtId="0" fontId="27" fillId="0" borderId="0" xfId="7" applyFont="1" applyFill="1" applyBorder="1"/>
    <xf numFmtId="165" fontId="3" fillId="0" borderId="0" xfId="1" applyNumberFormat="1" applyFont="1" applyFill="1" applyBorder="1"/>
    <xf numFmtId="6" fontId="3" fillId="0" borderId="0" xfId="0" applyNumberFormat="1" applyFont="1"/>
    <xf numFmtId="0" fontId="27" fillId="0" borderId="23" xfId="7" applyFont="1" applyFill="1" applyBorder="1"/>
    <xf numFmtId="10" fontId="3" fillId="0" borderId="24" xfId="0" applyNumberFormat="1" applyFont="1" applyBorder="1"/>
    <xf numFmtId="0" fontId="4" fillId="0" borderId="25" xfId="0" applyFont="1" applyBorder="1"/>
    <xf numFmtId="43" fontId="3" fillId="0" borderId="26" xfId="1" applyFont="1" applyFill="1" applyBorder="1"/>
    <xf numFmtId="0" fontId="3" fillId="0" borderId="25" xfId="0" applyFont="1" applyBorder="1"/>
    <xf numFmtId="165" fontId="3" fillId="0" borderId="26" xfId="1" applyNumberFormat="1" applyFont="1" applyFill="1" applyBorder="1"/>
    <xf numFmtId="43" fontId="4" fillId="0" borderId="26" xfId="1" applyFont="1" applyFill="1" applyBorder="1"/>
    <xf numFmtId="0" fontId="4" fillId="0" borderId="27" xfId="0" applyFont="1" applyBorder="1"/>
    <xf numFmtId="43" fontId="4" fillId="0" borderId="28" xfId="1" applyFont="1" applyFill="1" applyBorder="1"/>
    <xf numFmtId="0" fontId="29" fillId="0" borderId="0" xfId="0" applyFont="1"/>
    <xf numFmtId="0" fontId="2" fillId="0" borderId="0" xfId="0" applyFont="1"/>
    <xf numFmtId="0" fontId="4" fillId="0" borderId="8" xfId="0" applyFont="1" applyBorder="1" applyAlignment="1">
      <alignment vertical="center"/>
    </xf>
    <xf numFmtId="164" fontId="4" fillId="0" borderId="9" xfId="0" applyNumberFormat="1" applyFont="1" applyBorder="1" applyAlignment="1">
      <alignment horizontal="right" vertical="center" wrapText="1"/>
    </xf>
    <xf numFmtId="164" fontId="4" fillId="0" borderId="10" xfId="0" applyNumberFormat="1" applyFont="1" applyBorder="1" applyAlignment="1">
      <alignment horizontal="right" vertical="center" wrapText="1"/>
    </xf>
    <xf numFmtId="0" fontId="4" fillId="0" borderId="11" xfId="0" applyFont="1" applyBorder="1" applyAlignment="1">
      <alignment vertical="center"/>
    </xf>
    <xf numFmtId="164" fontId="4" fillId="0" borderId="3" xfId="0" applyNumberFormat="1" applyFont="1" applyBorder="1" applyAlignment="1">
      <alignment horizontal="right" vertical="center" wrapText="1"/>
    </xf>
    <xf numFmtId="43" fontId="4" fillId="0" borderId="3" xfId="1" applyFont="1" applyFill="1" applyBorder="1"/>
    <xf numFmtId="43" fontId="4" fillId="0" borderId="12" xfId="1" applyFont="1" applyFill="1" applyBorder="1"/>
    <xf numFmtId="0" fontId="3" fillId="0" borderId="11" xfId="0" applyFont="1" applyBorder="1" applyAlignment="1">
      <alignment vertical="center"/>
    </xf>
    <xf numFmtId="4" fontId="4" fillId="0" borderId="3" xfId="0" applyNumberFormat="1" applyFont="1" applyBorder="1"/>
    <xf numFmtId="4" fontId="4" fillId="0" borderId="12" xfId="0" applyNumberFormat="1" applyFont="1" applyBorder="1"/>
    <xf numFmtId="0" fontId="30" fillId="0" borderId="0" xfId="0" applyFont="1"/>
    <xf numFmtId="4" fontId="3" fillId="0" borderId="3" xfId="0" applyNumberFormat="1" applyFont="1" applyBorder="1"/>
    <xf numFmtId="4" fontId="3" fillId="0" borderId="12" xfId="0" applyNumberFormat="1" applyFont="1" applyBorder="1"/>
    <xf numFmtId="4" fontId="4" fillId="0" borderId="14" xfId="0" applyNumberFormat="1" applyFont="1" applyBorder="1" applyAlignment="1">
      <alignment vertical="center"/>
    </xf>
    <xf numFmtId="4" fontId="4" fillId="0" borderId="15" xfId="0" applyNumberFormat="1" applyFont="1" applyBorder="1" applyAlignment="1">
      <alignment vertical="center"/>
    </xf>
    <xf numFmtId="0" fontId="30" fillId="0" borderId="0" xfId="0" applyFont="1" applyAlignment="1">
      <alignment vertical="center"/>
    </xf>
    <xf numFmtId="4" fontId="29" fillId="0" borderId="0" xfId="0" applyNumberFormat="1" applyFont="1"/>
    <xf numFmtId="167" fontId="3" fillId="0" borderId="0" xfId="0" applyNumberFormat="1" applyFont="1"/>
    <xf numFmtId="43" fontId="3" fillId="0" borderId="12" xfId="1" applyFont="1" applyBorder="1"/>
    <xf numFmtId="0" fontId="4" fillId="0" borderId="0" xfId="0" applyFont="1" applyAlignment="1">
      <alignment horizontal="center" vertical="center"/>
    </xf>
    <xf numFmtId="0" fontId="4" fillId="0" borderId="0" xfId="0" applyFont="1" applyAlignment="1">
      <alignment vertical="center"/>
    </xf>
    <xf numFmtId="0" fontId="4" fillId="0" borderId="0" xfId="0" applyFont="1" applyFill="1"/>
    <xf numFmtId="0" fontId="4" fillId="0" borderId="0" xfId="0" applyFont="1" applyFill="1" applyAlignment="1">
      <alignment horizontal="center" vertical="center"/>
    </xf>
    <xf numFmtId="0" fontId="0" fillId="0" borderId="0" xfId="0" applyAlignment="1">
      <alignment wrapText="1"/>
    </xf>
    <xf numFmtId="0" fontId="0" fillId="0" borderId="0" xfId="0" applyAlignment="1">
      <alignment vertical="top" wrapText="1"/>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vertical="center" wrapText="1"/>
    </xf>
    <xf numFmtId="168" fontId="0" fillId="0" borderId="0" xfId="1" applyNumberFormat="1" applyFont="1"/>
    <xf numFmtId="0" fontId="0" fillId="0" borderId="0" xfId="0" applyAlignment="1">
      <alignment horizontal="right"/>
    </xf>
    <xf numFmtId="0" fontId="0" fillId="0" borderId="3" xfId="0" applyBorder="1"/>
    <xf numFmtId="0" fontId="0" fillId="0" borderId="3" xfId="0" applyBorder="1" applyAlignment="1">
      <alignment horizontal="right" wrapText="1"/>
    </xf>
    <xf numFmtId="0" fontId="0" fillId="0" borderId="12" xfId="0" applyBorder="1"/>
    <xf numFmtId="0" fontId="0" fillId="0" borderId="11" xfId="0" applyBorder="1"/>
    <xf numFmtId="0" fontId="0" fillId="0" borderId="11" xfId="0" applyBorder="1" applyAlignment="1">
      <alignment horizontal="left" vertical="center" wrapText="1"/>
    </xf>
    <xf numFmtId="0" fontId="0" fillId="0" borderId="12" xfId="0" applyBorder="1" applyAlignment="1">
      <alignment horizontal="right" wrapText="1"/>
    </xf>
    <xf numFmtId="0" fontId="0" fillId="0" borderId="13" xfId="0" applyBorder="1"/>
    <xf numFmtId="168" fontId="0" fillId="0" borderId="14" xfId="1" applyNumberFormat="1" applyFont="1" applyBorder="1"/>
    <xf numFmtId="168" fontId="0" fillId="0" borderId="15" xfId="1" applyNumberFormat="1" applyFont="1" applyBorder="1"/>
    <xf numFmtId="0" fontId="0" fillId="0" borderId="33" xfId="0" applyBorder="1" applyAlignment="1">
      <alignment vertical="center" wrapText="1"/>
    </xf>
    <xf numFmtId="0" fontId="0" fillId="0" borderId="19" xfId="0" applyBorder="1"/>
    <xf numFmtId="0" fontId="0" fillId="0" borderId="35" xfId="0" applyBorder="1"/>
    <xf numFmtId="0" fontId="0" fillId="0" borderId="32" xfId="0" applyBorder="1"/>
    <xf numFmtId="0" fontId="0" fillId="0" borderId="36" xfId="0" applyBorder="1"/>
    <xf numFmtId="0" fontId="0" fillId="0" borderId="37" xfId="0" applyBorder="1"/>
    <xf numFmtId="0" fontId="2" fillId="0" borderId="0" xfId="0" applyFont="1" applyAlignment="1">
      <alignment horizontal="center" vertical="center" wrapText="1"/>
    </xf>
    <xf numFmtId="0" fontId="22" fillId="0" borderId="16" xfId="9" applyFont="1" applyFill="1" applyBorder="1" applyAlignment="1">
      <alignment horizontal="center"/>
    </xf>
    <xf numFmtId="0" fontId="22" fillId="0" borderId="17" xfId="9" applyFont="1" applyFill="1" applyBorder="1" applyAlignment="1">
      <alignment horizontal="center"/>
    </xf>
    <xf numFmtId="0" fontId="22" fillId="0" borderId="18" xfId="9" applyFont="1" applyFill="1" applyBorder="1" applyAlignment="1">
      <alignment horizontal="center"/>
    </xf>
    <xf numFmtId="0" fontId="2" fillId="0" borderId="0" xfId="0" applyFont="1" applyAlignment="1">
      <alignment horizontal="center"/>
    </xf>
    <xf numFmtId="0" fontId="22" fillId="0" borderId="16" xfId="9" applyFont="1" applyFill="1" applyBorder="1" applyAlignment="1">
      <alignment horizontal="center" vertical="center"/>
    </xf>
    <xf numFmtId="0" fontId="22" fillId="0" borderId="17" xfId="9" applyFont="1" applyFill="1" applyBorder="1" applyAlignment="1">
      <alignment horizontal="center" vertical="center"/>
    </xf>
    <xf numFmtId="0" fontId="22" fillId="0" borderId="18" xfId="9" applyFont="1" applyFill="1" applyBorder="1" applyAlignment="1">
      <alignment horizontal="center" vertical="center"/>
    </xf>
    <xf numFmtId="10" fontId="4" fillId="0" borderId="20" xfId="2" applyNumberFormat="1" applyFont="1" applyFill="1" applyBorder="1" applyAlignment="1">
      <alignment horizontal="right"/>
    </xf>
    <xf numFmtId="10" fontId="4" fillId="0" borderId="21" xfId="2" applyNumberFormat="1" applyFont="1" applyFill="1" applyBorder="1" applyAlignment="1">
      <alignment horizontal="right"/>
    </xf>
    <xf numFmtId="10" fontId="4" fillId="0" borderId="22" xfId="2" applyNumberFormat="1" applyFont="1" applyFill="1" applyBorder="1" applyAlignment="1">
      <alignment horizontal="right"/>
    </xf>
    <xf numFmtId="0" fontId="24" fillId="0" borderId="0" xfId="11" applyFont="1" applyFill="1" applyBorder="1" applyAlignment="1">
      <alignment horizontal="center"/>
    </xf>
    <xf numFmtId="0" fontId="4" fillId="0" borderId="8" xfId="0" applyFont="1" applyBorder="1" applyAlignment="1">
      <alignment horizontal="center" vertical="center"/>
    </xf>
    <xf numFmtId="0" fontId="4" fillId="0" borderId="10" xfId="0" applyFont="1" applyBorder="1" applyAlignment="1">
      <alignment horizontal="center" vertical="center"/>
    </xf>
    <xf numFmtId="0" fontId="28" fillId="0" borderId="0" xfId="7" applyFont="1" applyFill="1" applyBorder="1" applyAlignment="1">
      <alignment horizontal="center"/>
    </xf>
    <xf numFmtId="0" fontId="4" fillId="2" borderId="0" xfId="0" applyFont="1" applyFill="1" applyAlignment="1">
      <alignment horizontal="center" vertical="center"/>
    </xf>
    <xf numFmtId="0" fontId="5" fillId="0" borderId="11" xfId="0" applyFont="1" applyBorder="1" applyAlignment="1">
      <alignment vertical="center" wrapText="1"/>
    </xf>
    <xf numFmtId="0" fontId="5" fillId="0" borderId="12" xfId="0" applyFont="1" applyBorder="1" applyAlignment="1">
      <alignment vertical="center" wrapText="1"/>
    </xf>
    <xf numFmtId="4" fontId="5" fillId="0" borderId="12" xfId="0" applyNumberFormat="1" applyFont="1" applyBorder="1" applyAlignment="1">
      <alignment horizontal="right" vertical="center" wrapText="1"/>
    </xf>
    <xf numFmtId="0" fontId="6" fillId="0" borderId="11" xfId="0" applyFont="1" applyBorder="1" applyAlignment="1">
      <alignment vertical="center" wrapText="1"/>
    </xf>
    <xf numFmtId="4" fontId="6" fillId="0" borderId="12" xfId="0" applyNumberFormat="1" applyFont="1" applyBorder="1" applyAlignment="1">
      <alignment horizontal="right" vertical="center" wrapText="1"/>
    </xf>
    <xf numFmtId="4" fontId="4" fillId="0" borderId="12" xfId="0" applyNumberFormat="1" applyFont="1" applyBorder="1" applyAlignment="1">
      <alignment horizontal="right" vertical="center" wrapText="1"/>
    </xf>
    <xf numFmtId="0" fontId="6" fillId="2" borderId="11" xfId="0" applyFont="1" applyFill="1" applyBorder="1" applyAlignment="1">
      <alignment vertical="center" wrapText="1"/>
    </xf>
    <xf numFmtId="4" fontId="6" fillId="2" borderId="12" xfId="0" applyNumberFormat="1" applyFont="1" applyFill="1" applyBorder="1" applyAlignment="1">
      <alignment horizontal="right" vertical="center" wrapText="1"/>
    </xf>
    <xf numFmtId="4" fontId="3" fillId="0" borderId="12" xfId="0" applyNumberFormat="1" applyFont="1" applyBorder="1" applyAlignment="1">
      <alignment horizontal="right" vertical="center" wrapText="1"/>
    </xf>
    <xf numFmtId="0" fontId="6" fillId="0" borderId="12" xfId="0" applyFont="1" applyBorder="1" applyAlignment="1">
      <alignment horizontal="right" vertical="center" wrapText="1"/>
    </xf>
    <xf numFmtId="0" fontId="5" fillId="0" borderId="13" xfId="0" applyFont="1" applyBorder="1" applyAlignment="1">
      <alignment vertical="center" wrapText="1"/>
    </xf>
    <xf numFmtId="4" fontId="4" fillId="0" borderId="14" xfId="0" applyNumberFormat="1" applyFont="1" applyBorder="1" applyAlignment="1">
      <alignment horizontal="right" vertical="center" wrapText="1"/>
    </xf>
    <xf numFmtId="4" fontId="4" fillId="0" borderId="15" xfId="0" applyNumberFormat="1" applyFont="1" applyBorder="1" applyAlignment="1">
      <alignment horizontal="right" vertical="center" wrapText="1"/>
    </xf>
    <xf numFmtId="0" fontId="5" fillId="0" borderId="33" xfId="0" applyFont="1" applyBorder="1" applyAlignment="1">
      <alignment vertical="center" wrapText="1"/>
    </xf>
    <xf numFmtId="0" fontId="4" fillId="0" borderId="19" xfId="0" applyFont="1" applyBorder="1" applyAlignment="1">
      <alignment vertical="center" wrapText="1"/>
    </xf>
    <xf numFmtId="0" fontId="5" fillId="0" borderId="19" xfId="0" applyFont="1" applyBorder="1" applyAlignment="1">
      <alignment horizontal="right" vertical="center" wrapText="1"/>
    </xf>
    <xf numFmtId="0" fontId="5" fillId="0" borderId="19" xfId="0" applyFont="1" applyBorder="1" applyAlignment="1">
      <alignment vertical="center" wrapText="1"/>
    </xf>
    <xf numFmtId="0" fontId="5" fillId="0" borderId="35" xfId="0" applyFont="1" applyBorder="1" applyAlignment="1">
      <alignment vertical="center" wrapText="1"/>
    </xf>
    <xf numFmtId="0" fontId="5" fillId="0" borderId="32" xfId="0" applyFont="1" applyBorder="1" applyAlignment="1">
      <alignment vertical="center" wrapText="1"/>
    </xf>
    <xf numFmtId="17" fontId="4" fillId="0" borderId="36" xfId="0" applyNumberFormat="1" applyFont="1" applyBorder="1" applyAlignment="1">
      <alignment horizontal="right" vertical="center" wrapText="1"/>
    </xf>
    <xf numFmtId="17" fontId="5" fillId="0" borderId="36" xfId="0" applyNumberFormat="1" applyFont="1" applyBorder="1" applyAlignment="1">
      <alignment horizontal="right" vertical="center" wrapText="1"/>
    </xf>
    <xf numFmtId="17" fontId="5" fillId="0" borderId="37" xfId="0" applyNumberFormat="1" applyFont="1" applyBorder="1" applyAlignment="1">
      <alignment horizontal="right" vertical="center" wrapText="1"/>
    </xf>
    <xf numFmtId="10" fontId="3" fillId="0" borderId="3" xfId="0" applyNumberFormat="1" applyFont="1" applyBorder="1"/>
    <xf numFmtId="0" fontId="3" fillId="0" borderId="12" xfId="0" applyFont="1" applyBorder="1"/>
    <xf numFmtId="10" fontId="3" fillId="0" borderId="14" xfId="2" applyNumberFormat="1" applyFont="1" applyFill="1" applyBorder="1"/>
    <xf numFmtId="10" fontId="3" fillId="0" borderId="15" xfId="0" applyNumberFormat="1" applyFont="1" applyBorder="1"/>
    <xf numFmtId="0" fontId="3" fillId="0" borderId="35" xfId="0" applyFont="1" applyBorder="1"/>
    <xf numFmtId="0" fontId="4" fillId="0" borderId="36" xfId="0" applyFont="1" applyBorder="1" applyAlignment="1">
      <alignment vertical="center"/>
    </xf>
    <xf numFmtId="0" fontId="4" fillId="0" borderId="37" xfId="0" applyFont="1" applyBorder="1" applyAlignment="1">
      <alignment vertical="center"/>
    </xf>
    <xf numFmtId="0" fontId="4" fillId="0" borderId="32" xfId="0" applyFont="1" applyBorder="1" applyAlignment="1">
      <alignment vertical="center"/>
    </xf>
    <xf numFmtId="0" fontId="3" fillId="0" borderId="33" xfId="0" applyFont="1" applyBorder="1"/>
    <xf numFmtId="9" fontId="3" fillId="0" borderId="11" xfId="2" applyFont="1" applyFill="1" applyBorder="1"/>
    <xf numFmtId="0" fontId="2" fillId="0" borderId="1" xfId="0" applyFont="1" applyBorder="1" applyAlignment="1">
      <alignment horizontal="center" vertical="center" wrapText="1"/>
    </xf>
    <xf numFmtId="0" fontId="31" fillId="0" borderId="0" xfId="0" applyFont="1" applyAlignment="1">
      <alignment horizontal="center" vertical="center" wrapText="1"/>
    </xf>
    <xf numFmtId="0" fontId="2" fillId="0" borderId="0" xfId="0" applyFont="1" applyBorder="1" applyAlignment="1">
      <alignment horizontal="center" vertical="center" wrapText="1"/>
    </xf>
    <xf numFmtId="43" fontId="13" fillId="0" borderId="3" xfId="4" applyFont="1" applyFill="1" applyBorder="1" applyAlignment="1">
      <alignment vertical="top" shrinkToFit="1"/>
    </xf>
    <xf numFmtId="43" fontId="3" fillId="0" borderId="12" xfId="1" applyFont="1" applyFill="1" applyBorder="1"/>
    <xf numFmtId="43" fontId="3" fillId="0" borderId="12" xfId="1" applyFont="1" applyFill="1" applyBorder="1" applyAlignment="1">
      <alignment vertical="center"/>
    </xf>
    <xf numFmtId="43" fontId="4" fillId="0" borderId="12" xfId="1" applyFont="1" applyFill="1" applyBorder="1" applyAlignment="1">
      <alignment horizontal="right" vertical="center" wrapText="1"/>
    </xf>
    <xf numFmtId="43" fontId="4" fillId="0" borderId="12" xfId="1" applyFont="1" applyFill="1" applyBorder="1" applyAlignment="1">
      <alignment vertical="center"/>
    </xf>
    <xf numFmtId="0" fontId="4" fillId="0" borderId="11" xfId="0" applyFont="1" applyBorder="1" applyAlignment="1">
      <alignment vertical="center" wrapText="1"/>
    </xf>
    <xf numFmtId="0" fontId="3" fillId="0" borderId="11" xfId="0" applyFont="1" applyBorder="1" applyAlignment="1">
      <alignment vertical="center" wrapText="1"/>
    </xf>
    <xf numFmtId="43" fontId="3" fillId="0" borderId="12" xfId="1" applyFont="1" applyFill="1" applyBorder="1" applyAlignment="1">
      <alignment horizontal="right" vertical="center" wrapText="1"/>
    </xf>
    <xf numFmtId="43" fontId="3" fillId="0" borderId="14" xfId="1" applyFont="1" applyFill="1" applyBorder="1"/>
    <xf numFmtId="43" fontId="3" fillId="0" borderId="15" xfId="1" applyFont="1" applyFill="1" applyBorder="1"/>
    <xf numFmtId="0" fontId="4" fillId="0" borderId="33" xfId="0" applyFont="1" applyBorder="1" applyAlignment="1">
      <alignment vertical="center"/>
    </xf>
    <xf numFmtId="0" fontId="4" fillId="0" borderId="19" xfId="0" applyFont="1" applyBorder="1" applyAlignment="1">
      <alignment horizontal="right" vertical="center" wrapText="1"/>
    </xf>
    <xf numFmtId="43" fontId="3" fillId="0" borderId="19" xfId="1" applyFont="1" applyFill="1" applyBorder="1"/>
    <xf numFmtId="43" fontId="3" fillId="0" borderId="35" xfId="1" applyFont="1" applyFill="1" applyBorder="1"/>
    <xf numFmtId="0" fontId="4" fillId="0" borderId="13" xfId="0" applyFont="1" applyBorder="1" applyAlignment="1">
      <alignment vertical="center"/>
    </xf>
    <xf numFmtId="164" fontId="4" fillId="0" borderId="14" xfId="0" applyNumberFormat="1" applyFont="1" applyBorder="1" applyAlignment="1">
      <alignment horizontal="right" vertical="center" wrapText="1"/>
    </xf>
    <xf numFmtId="0" fontId="4" fillId="0" borderId="39" xfId="0" applyFont="1" applyBorder="1" applyAlignment="1">
      <alignment vertical="center"/>
    </xf>
    <xf numFmtId="4" fontId="4" fillId="0" borderId="31" xfId="0" applyNumberFormat="1" applyFont="1" applyBorder="1" applyAlignment="1">
      <alignment horizontal="right" vertical="center" wrapText="1"/>
    </xf>
    <xf numFmtId="4" fontId="4" fillId="0" borderId="40" xfId="0" applyNumberFormat="1" applyFont="1" applyBorder="1" applyAlignment="1">
      <alignment horizontal="right" vertical="center" wrapText="1"/>
    </xf>
    <xf numFmtId="0" fontId="3" fillId="0" borderId="32" xfId="0" applyFont="1" applyBorder="1"/>
    <xf numFmtId="4" fontId="3" fillId="0" borderId="36" xfId="0" applyNumberFormat="1" applyFont="1" applyBorder="1"/>
    <xf numFmtId="43" fontId="3" fillId="0" borderId="36" xfId="1" applyFont="1" applyFill="1" applyBorder="1"/>
    <xf numFmtId="43" fontId="3" fillId="0" borderId="37" xfId="1" applyFont="1" applyFill="1" applyBorder="1"/>
    <xf numFmtId="10" fontId="3" fillId="0" borderId="3" xfId="2" applyNumberFormat="1" applyFont="1" applyFill="1" applyBorder="1" applyAlignment="1">
      <alignment vertical="center"/>
    </xf>
    <xf numFmtId="43" fontId="3" fillId="0" borderId="3" xfId="0" applyNumberFormat="1" applyFont="1" applyBorder="1"/>
    <xf numFmtId="0" fontId="3" fillId="0" borderId="12" xfId="0" applyFont="1" applyBorder="1" applyAlignment="1">
      <alignment vertical="center"/>
    </xf>
    <xf numFmtId="10" fontId="3" fillId="0" borderId="12" xfId="0" applyNumberFormat="1" applyFont="1" applyBorder="1" applyAlignment="1">
      <alignment vertical="center"/>
    </xf>
    <xf numFmtId="4" fontId="3" fillId="0" borderId="3" xfId="0" applyNumberFormat="1" applyFont="1" applyBorder="1" applyAlignment="1">
      <alignment horizontal="center" vertical="center" wrapText="1"/>
    </xf>
    <xf numFmtId="43" fontId="3" fillId="0" borderId="3" xfId="1" applyFont="1" applyFill="1" applyBorder="1" applyAlignment="1">
      <alignment horizontal="center" vertical="center"/>
    </xf>
    <xf numFmtId="43" fontId="3" fillId="0" borderId="12" xfId="1" applyFont="1" applyFill="1" applyBorder="1" applyAlignment="1">
      <alignment horizontal="center" vertical="center"/>
    </xf>
    <xf numFmtId="0" fontId="3" fillId="0" borderId="0" xfId="0" applyFont="1" applyAlignment="1">
      <alignment horizontal="center" vertical="center"/>
    </xf>
    <xf numFmtId="0" fontId="3" fillId="0" borderId="3"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left" vertical="center"/>
    </xf>
    <xf numFmtId="0" fontId="4" fillId="0" borderId="29" xfId="0" applyFont="1" applyBorder="1" applyAlignment="1">
      <alignment vertical="center"/>
    </xf>
    <xf numFmtId="0" fontId="3" fillId="0" borderId="30" xfId="0" applyFont="1" applyBorder="1"/>
    <xf numFmtId="0" fontId="3" fillId="0" borderId="22" xfId="0" applyFont="1" applyBorder="1"/>
    <xf numFmtId="0" fontId="3" fillId="0" borderId="22" xfId="0" applyFont="1" applyBorder="1" applyAlignment="1">
      <alignment horizontal="center" vertical="center"/>
    </xf>
    <xf numFmtId="0" fontId="3" fillId="0" borderId="22" xfId="0" applyFont="1" applyBorder="1" applyAlignment="1">
      <alignment vertical="center"/>
    </xf>
    <xf numFmtId="10" fontId="3" fillId="0" borderId="22" xfId="2" applyNumberFormat="1" applyFont="1" applyFill="1" applyBorder="1" applyAlignment="1">
      <alignment vertical="center"/>
    </xf>
    <xf numFmtId="9" fontId="3" fillId="0" borderId="22" xfId="2" applyFont="1" applyFill="1" applyBorder="1"/>
    <xf numFmtId="43" fontId="3" fillId="0" borderId="22" xfId="0" applyNumberFormat="1" applyFont="1" applyBorder="1"/>
    <xf numFmtId="10" fontId="3" fillId="0" borderId="34" xfId="2" applyNumberFormat="1" applyFont="1" applyFill="1" applyBorder="1"/>
    <xf numFmtId="0" fontId="4" fillId="0" borderId="18" xfId="0" applyFont="1" applyBorder="1" applyAlignment="1">
      <alignment horizontal="center" vertical="center"/>
    </xf>
    <xf numFmtId="0" fontId="4" fillId="0" borderId="41" xfId="0" applyFont="1" applyBorder="1"/>
    <xf numFmtId="0" fontId="4" fillId="0" borderId="42" xfId="0" applyFont="1" applyBorder="1"/>
    <xf numFmtId="0" fontId="4" fillId="0" borderId="42" xfId="0" applyFont="1" applyBorder="1" applyAlignment="1">
      <alignment horizontal="center" vertical="center" wrapText="1"/>
    </xf>
    <xf numFmtId="0" fontId="4" fillId="0" borderId="42" xfId="0" applyFont="1" applyBorder="1" applyAlignment="1">
      <alignment wrapText="1"/>
    </xf>
    <xf numFmtId="0" fontId="4" fillId="0" borderId="42" xfId="0" applyFont="1" applyBorder="1" applyAlignment="1">
      <alignment horizontal="left" vertical="center" wrapText="1"/>
    </xf>
    <xf numFmtId="0" fontId="5" fillId="0" borderId="42" xfId="3" applyFont="1" applyBorder="1" applyAlignment="1">
      <alignment wrapText="1"/>
    </xf>
    <xf numFmtId="0" fontId="4" fillId="0" borderId="42" xfId="0" applyFont="1" applyBorder="1" applyAlignment="1">
      <alignment horizontal="left" vertical="top" wrapText="1"/>
    </xf>
    <xf numFmtId="0" fontId="4" fillId="0" borderId="42" xfId="0" applyFont="1" applyBorder="1" applyAlignment="1">
      <alignment horizontal="center" wrapText="1"/>
    </xf>
    <xf numFmtId="0" fontId="5" fillId="0" borderId="43" xfId="3" applyFont="1" applyBorder="1" applyAlignment="1">
      <alignment wrapText="1"/>
    </xf>
    <xf numFmtId="0" fontId="4" fillId="0" borderId="38" xfId="0" applyFont="1" applyBorder="1" applyAlignment="1">
      <alignment vertical="center"/>
    </xf>
    <xf numFmtId="0" fontId="4" fillId="0" borderId="44" xfId="0" applyFont="1" applyBorder="1"/>
    <xf numFmtId="0" fontId="4" fillId="0" borderId="45" xfId="0" applyFont="1" applyBorder="1"/>
    <xf numFmtId="0" fontId="4" fillId="0" borderId="45" xfId="0" applyFont="1" applyBorder="1" applyAlignment="1">
      <alignment horizontal="center" vertical="center"/>
    </xf>
    <xf numFmtId="0" fontId="4" fillId="0" borderId="45" xfId="0" applyFont="1" applyBorder="1" applyAlignment="1">
      <alignment wrapText="1"/>
    </xf>
    <xf numFmtId="0" fontId="5" fillId="0" borderId="45" xfId="3" applyFont="1" applyBorder="1" applyAlignment="1">
      <alignment wrapText="1"/>
    </xf>
    <xf numFmtId="0" fontId="4" fillId="0" borderId="46" xfId="0" applyFont="1" applyBorder="1" applyAlignment="1">
      <alignment wrapText="1"/>
    </xf>
    <xf numFmtId="4" fontId="5" fillId="0" borderId="41" xfId="0" applyNumberFormat="1" applyFont="1" applyBorder="1" applyAlignment="1">
      <alignment horizontal="left" vertical="center"/>
    </xf>
    <xf numFmtId="4" fontId="5" fillId="0" borderId="42" xfId="0" applyNumberFormat="1" applyFont="1" applyBorder="1" applyAlignment="1">
      <alignment horizontal="left" vertical="center" wrapText="1"/>
    </xf>
    <xf numFmtId="4" fontId="5" fillId="0" borderId="42" xfId="0" applyNumberFormat="1" applyFont="1" applyBorder="1" applyAlignment="1">
      <alignment horizontal="left" vertical="center"/>
    </xf>
    <xf numFmtId="0" fontId="5" fillId="0" borderId="42" xfId="0" applyFont="1" applyBorder="1" applyAlignment="1">
      <alignment horizontal="left" vertical="center"/>
    </xf>
    <xf numFmtId="4" fontId="5" fillId="0" borderId="43" xfId="0" applyNumberFormat="1" applyFont="1" applyBorder="1" applyAlignment="1">
      <alignment horizontal="left" vertical="center" wrapText="1"/>
    </xf>
    <xf numFmtId="0" fontId="4" fillId="0" borderId="38" xfId="0" applyFont="1" applyBorder="1" applyAlignment="1">
      <alignment horizontal="center" vertical="center"/>
    </xf>
    <xf numFmtId="4" fontId="5" fillId="0" borderId="44" xfId="0" applyNumberFormat="1" applyFont="1" applyBorder="1" applyAlignment="1">
      <alignment horizontal="left" vertical="center"/>
    </xf>
    <xf numFmtId="4" fontId="5" fillId="0" borderId="45" xfId="0" applyNumberFormat="1" applyFont="1" applyBorder="1" applyAlignment="1">
      <alignment horizontal="left" vertical="center"/>
    </xf>
    <xf numFmtId="0" fontId="5" fillId="0" borderId="45" xfId="0" applyFont="1" applyBorder="1" applyAlignment="1">
      <alignment horizontal="left" vertical="center"/>
    </xf>
    <xf numFmtId="4" fontId="5" fillId="0" borderId="46" xfId="0" applyNumberFormat="1" applyFont="1" applyBorder="1" applyAlignment="1">
      <alignment horizontal="left" vertical="center"/>
    </xf>
    <xf numFmtId="0" fontId="12" fillId="0" borderId="11" xfId="7" applyFont="1" applyFill="1" applyBorder="1"/>
    <xf numFmtId="43" fontId="12" fillId="0" borderId="12" xfId="1" applyFont="1" applyFill="1" applyBorder="1"/>
    <xf numFmtId="0" fontId="8" fillId="0" borderId="11" xfId="7" applyFont="1" applyFill="1" applyBorder="1"/>
    <xf numFmtId="43" fontId="8" fillId="0" borderId="12" xfId="1" applyFont="1" applyFill="1" applyBorder="1"/>
    <xf numFmtId="0" fontId="12" fillId="0" borderId="12" xfId="0" applyFont="1" applyBorder="1"/>
    <xf numFmtId="0" fontId="12" fillId="0" borderId="11" xfId="0" applyFont="1" applyBorder="1"/>
    <xf numFmtId="0" fontId="8" fillId="0" borderId="11" xfId="0" applyFont="1" applyBorder="1"/>
    <xf numFmtId="0" fontId="8" fillId="0" borderId="13" xfId="8" applyFont="1" applyFill="1" applyBorder="1"/>
    <xf numFmtId="43" fontId="8" fillId="0" borderId="14" xfId="1" applyFont="1" applyFill="1" applyBorder="1"/>
    <xf numFmtId="43" fontId="8" fillId="0" borderId="15" xfId="1" applyFont="1" applyFill="1" applyBorder="1"/>
    <xf numFmtId="0" fontId="12" fillId="0" borderId="33" xfId="7" applyFont="1" applyFill="1" applyBorder="1"/>
    <xf numFmtId="43" fontId="12" fillId="0" borderId="19" xfId="1" applyFont="1" applyFill="1" applyBorder="1"/>
    <xf numFmtId="43" fontId="12" fillId="0" borderId="35" xfId="1" applyFont="1" applyFill="1" applyBorder="1"/>
    <xf numFmtId="0" fontId="8" fillId="0" borderId="32" xfId="6" applyFont="1" applyFill="1" applyBorder="1" applyAlignment="1">
      <alignment horizontal="center"/>
    </xf>
    <xf numFmtId="17" fontId="8" fillId="0" borderId="36" xfId="0" applyNumberFormat="1" applyFont="1" applyBorder="1"/>
    <xf numFmtId="17" fontId="8" fillId="0" borderId="37" xfId="0" applyNumberFormat="1" applyFont="1" applyBorder="1"/>
    <xf numFmtId="0" fontId="12" fillId="0" borderId="33" xfId="0" applyFont="1" applyBorder="1"/>
    <xf numFmtId="165" fontId="12" fillId="0" borderId="19" xfId="0" applyNumberFormat="1" applyFont="1" applyBorder="1"/>
    <xf numFmtId="165" fontId="12" fillId="0" borderId="35" xfId="0" applyNumberFormat="1" applyFont="1" applyBorder="1"/>
    <xf numFmtId="0" fontId="12" fillId="0" borderId="39" xfId="0" applyFont="1" applyBorder="1"/>
    <xf numFmtId="165" fontId="12" fillId="0" borderId="31" xfId="0" applyNumberFormat="1" applyFont="1" applyBorder="1"/>
    <xf numFmtId="165" fontId="12" fillId="0" borderId="40" xfId="0" applyNumberFormat="1" applyFont="1" applyBorder="1"/>
    <xf numFmtId="0" fontId="8" fillId="0" borderId="38" xfId="0" applyFont="1" applyBorder="1" applyAlignment="1">
      <alignment horizontal="center"/>
    </xf>
    <xf numFmtId="43" fontId="8" fillId="0" borderId="3" xfId="1" applyFont="1" applyBorder="1" applyAlignment="1">
      <alignment vertical="top" wrapText="1"/>
    </xf>
    <xf numFmtId="43" fontId="6" fillId="3" borderId="3" xfId="1" applyFont="1" applyFill="1" applyBorder="1" applyAlignment="1">
      <alignment horizontal="left" wrapText="1"/>
    </xf>
    <xf numFmtId="43" fontId="6" fillId="0" borderId="3" xfId="1" applyFont="1" applyBorder="1" applyAlignment="1">
      <alignment wrapText="1"/>
    </xf>
    <xf numFmtId="43" fontId="6" fillId="3" borderId="3" xfId="1" applyFont="1" applyFill="1" applyBorder="1" applyAlignment="1">
      <alignment wrapText="1"/>
    </xf>
    <xf numFmtId="43" fontId="13" fillId="3" borderId="3" xfId="1" applyFont="1" applyFill="1" applyBorder="1" applyAlignment="1">
      <alignment horizontal="right" vertical="top" wrapText="1" shrinkToFit="1"/>
    </xf>
    <xf numFmtId="43" fontId="13" fillId="0" borderId="3" xfId="1" applyFont="1" applyBorder="1" applyAlignment="1">
      <alignment horizontal="right" vertical="top" wrapText="1" shrinkToFit="1"/>
    </xf>
    <xf numFmtId="43" fontId="12" fillId="0" borderId="3" xfId="1" applyFont="1" applyBorder="1" applyAlignment="1">
      <alignment horizontal="right" vertical="top" wrapText="1"/>
    </xf>
    <xf numFmtId="43" fontId="6" fillId="0" borderId="3" xfId="1" applyFont="1" applyBorder="1" applyAlignment="1">
      <alignment horizontal="left" vertical="top" wrapText="1"/>
    </xf>
    <xf numFmtId="43" fontId="9" fillId="3" borderId="3" xfId="1" applyFont="1" applyFill="1" applyBorder="1" applyAlignment="1">
      <alignment horizontal="right" vertical="top" wrapText="1" shrinkToFit="1"/>
    </xf>
    <xf numFmtId="43" fontId="8" fillId="0" borderId="11" xfId="1" applyFont="1" applyBorder="1" applyAlignment="1">
      <alignment vertical="top" wrapText="1"/>
    </xf>
    <xf numFmtId="43" fontId="6" fillId="0" borderId="12" xfId="1" applyFont="1" applyBorder="1" applyAlignment="1">
      <alignment horizontal="left" wrapText="1"/>
    </xf>
    <xf numFmtId="43" fontId="13" fillId="0" borderId="11" xfId="1" applyFont="1" applyBorder="1" applyAlignment="1">
      <alignment horizontal="left" vertical="top" wrapText="1"/>
    </xf>
    <xf numFmtId="43" fontId="13" fillId="0" borderId="12" xfId="1" applyFont="1" applyBorder="1" applyAlignment="1">
      <alignment horizontal="right" vertical="top" wrapText="1" shrinkToFit="1"/>
    </xf>
    <xf numFmtId="43" fontId="12" fillId="0" borderId="11" xfId="1" applyFont="1" applyBorder="1" applyAlignment="1">
      <alignment horizontal="left" vertical="top" wrapText="1"/>
    </xf>
    <xf numFmtId="43" fontId="6" fillId="0" borderId="11" xfId="1" applyFont="1" applyBorder="1" applyAlignment="1">
      <alignment horizontal="left" vertical="top" wrapText="1"/>
    </xf>
    <xf numFmtId="43" fontId="8" fillId="3" borderId="32" xfId="1" applyFont="1" applyFill="1" applyBorder="1" applyAlignment="1">
      <alignment vertical="top" wrapText="1"/>
    </xf>
    <xf numFmtId="43" fontId="8" fillId="3" borderId="36" xfId="1" applyFont="1" applyFill="1" applyBorder="1" applyAlignment="1">
      <alignment horizontal="center" vertical="top" wrapText="1"/>
    </xf>
    <xf numFmtId="43" fontId="8" fillId="3" borderId="37" xfId="1" applyFont="1" applyFill="1" applyBorder="1" applyAlignment="1">
      <alignment horizontal="center" vertical="top" wrapText="1"/>
    </xf>
    <xf numFmtId="43" fontId="8" fillId="0" borderId="33" xfId="1" applyFont="1" applyBorder="1" applyAlignment="1">
      <alignment vertical="top" wrapText="1"/>
    </xf>
    <xf numFmtId="43" fontId="8" fillId="0" borderId="19" xfId="1" applyFont="1" applyBorder="1" applyAlignment="1">
      <alignment vertical="top" wrapText="1"/>
    </xf>
    <xf numFmtId="43" fontId="6" fillId="3" borderId="19" xfId="1" applyFont="1" applyFill="1" applyBorder="1" applyAlignment="1">
      <alignment horizontal="left" vertical="center" wrapText="1"/>
    </xf>
    <xf numFmtId="43" fontId="6" fillId="0" borderId="19" xfId="1" applyFont="1" applyBorder="1" applyAlignment="1">
      <alignment vertical="center" wrapText="1"/>
    </xf>
    <xf numFmtId="43" fontId="6" fillId="3" borderId="19" xfId="1" applyFont="1" applyFill="1" applyBorder="1" applyAlignment="1">
      <alignment vertical="center" wrapText="1"/>
    </xf>
    <xf numFmtId="43" fontId="6" fillId="0" borderId="35" xfId="1" applyFont="1" applyBorder="1" applyAlignment="1">
      <alignment horizontal="left" vertical="center" wrapText="1"/>
    </xf>
    <xf numFmtId="43" fontId="9" fillId="3" borderId="36" xfId="1" applyFont="1" applyFill="1" applyBorder="1" applyAlignment="1">
      <alignment horizontal="left" vertical="top" wrapText="1"/>
    </xf>
    <xf numFmtId="43" fontId="8" fillId="3" borderId="36" xfId="1" applyFont="1" applyFill="1" applyBorder="1" applyAlignment="1">
      <alignment horizontal="left" vertical="top" wrapText="1"/>
    </xf>
    <xf numFmtId="43" fontId="9" fillId="4" borderId="36" xfId="1" applyFont="1" applyFill="1" applyBorder="1" applyAlignment="1">
      <alignment horizontal="left" vertical="top" wrapText="1"/>
    </xf>
    <xf numFmtId="43" fontId="8" fillId="4" borderId="36" xfId="1" applyFont="1" applyFill="1" applyBorder="1" applyAlignment="1">
      <alignment horizontal="left" vertical="top" wrapText="1"/>
    </xf>
    <xf numFmtId="43" fontId="8" fillId="3" borderId="37" xfId="1" applyFont="1" applyFill="1" applyBorder="1" applyAlignment="1">
      <alignment horizontal="left" vertical="top" wrapText="1"/>
    </xf>
    <xf numFmtId="43" fontId="9" fillId="3" borderId="31" xfId="1" applyFont="1" applyFill="1" applyBorder="1" applyAlignment="1">
      <alignment horizontal="right" vertical="top" wrapText="1" shrinkToFit="1"/>
    </xf>
    <xf numFmtId="43" fontId="13" fillId="3" borderId="31" xfId="1" applyFont="1" applyFill="1" applyBorder="1" applyAlignment="1">
      <alignment horizontal="right" vertical="top" wrapText="1" shrinkToFit="1"/>
    </xf>
    <xf numFmtId="43" fontId="13" fillId="0" borderId="40" xfId="1" applyFont="1" applyBorder="1" applyAlignment="1">
      <alignment horizontal="right" vertical="top" wrapText="1" shrinkToFit="1"/>
    </xf>
    <xf numFmtId="43" fontId="8" fillId="0" borderId="32" xfId="1" applyFont="1" applyBorder="1" applyAlignment="1">
      <alignment horizontal="left" vertical="top" wrapText="1"/>
    </xf>
    <xf numFmtId="43" fontId="8" fillId="0" borderId="36" xfId="1" applyFont="1" applyBorder="1" applyAlignment="1">
      <alignment horizontal="right" vertical="top" wrapText="1"/>
    </xf>
    <xf numFmtId="43" fontId="8" fillId="0" borderId="37" xfId="1" applyFont="1" applyBorder="1" applyAlignment="1">
      <alignment horizontal="right" vertical="top" wrapText="1"/>
    </xf>
    <xf numFmtId="43" fontId="6" fillId="0" borderId="16" xfId="1" applyFont="1" applyBorder="1" applyAlignment="1">
      <alignment wrapText="1"/>
    </xf>
    <xf numFmtId="43" fontId="6" fillId="0" borderId="17" xfId="1" applyFont="1" applyBorder="1" applyAlignment="1">
      <alignment wrapText="1"/>
    </xf>
    <xf numFmtId="43" fontId="6" fillId="3" borderId="17" xfId="1" applyFont="1" applyFill="1" applyBorder="1" applyAlignment="1">
      <alignment horizontal="left" wrapText="1"/>
    </xf>
    <xf numFmtId="43" fontId="6" fillId="3" borderId="17" xfId="1" applyFont="1" applyFill="1" applyBorder="1" applyAlignment="1">
      <alignment wrapText="1"/>
    </xf>
    <xf numFmtId="43" fontId="6" fillId="0" borderId="18" xfId="1" applyFont="1" applyBorder="1" applyAlignment="1">
      <alignment horizontal="left" wrapText="1"/>
    </xf>
    <xf numFmtId="43" fontId="12" fillId="0" borderId="39" xfId="1" applyFont="1" applyBorder="1" applyAlignment="1">
      <alignment horizontal="left" vertical="top" wrapText="1"/>
    </xf>
    <xf numFmtId="43" fontId="13" fillId="0" borderId="31" xfId="1" applyFont="1" applyBorder="1" applyAlignment="1">
      <alignment horizontal="right" vertical="top" wrapText="1" shrinkToFit="1"/>
    </xf>
    <xf numFmtId="43" fontId="6" fillId="0" borderId="33" xfId="1" applyFont="1" applyBorder="1" applyAlignment="1">
      <alignment vertical="top" wrapText="1"/>
    </xf>
    <xf numFmtId="43" fontId="6" fillId="0" borderId="19" xfId="1" applyFont="1" applyBorder="1" applyAlignment="1">
      <alignment vertical="top" wrapText="1"/>
    </xf>
    <xf numFmtId="43" fontId="6" fillId="3" borderId="19" xfId="1" applyFont="1" applyFill="1" applyBorder="1" applyAlignment="1">
      <alignment horizontal="left" wrapText="1"/>
    </xf>
    <xf numFmtId="43" fontId="6" fillId="0" borderId="19" xfId="1" applyFont="1" applyBorder="1" applyAlignment="1">
      <alignment wrapText="1"/>
    </xf>
    <xf numFmtId="43" fontId="6" fillId="3" borderId="19" xfId="1" applyFont="1" applyFill="1" applyBorder="1" applyAlignment="1">
      <alignment wrapText="1"/>
    </xf>
    <xf numFmtId="43" fontId="6" fillId="0" borderId="35" xfId="1" applyFont="1" applyBorder="1" applyAlignment="1">
      <alignment horizontal="left" wrapText="1"/>
    </xf>
    <xf numFmtId="43" fontId="9" fillId="3" borderId="36" xfId="1" applyFont="1" applyFill="1" applyBorder="1" applyAlignment="1">
      <alignment horizontal="right" vertical="top" wrapText="1" shrinkToFit="1"/>
    </xf>
    <xf numFmtId="43" fontId="13" fillId="0" borderId="39" xfId="1" applyFont="1" applyBorder="1" applyAlignment="1">
      <alignment horizontal="left" vertical="top" wrapText="1"/>
    </xf>
    <xf numFmtId="43" fontId="12" fillId="0" borderId="31" xfId="1" applyFont="1" applyBorder="1" applyAlignment="1">
      <alignment horizontal="right" vertical="top" wrapText="1"/>
    </xf>
    <xf numFmtId="43" fontId="9" fillId="0" borderId="36" xfId="1" applyFont="1" applyBorder="1" applyAlignment="1">
      <alignment horizontal="right" vertical="top" wrapText="1" shrinkToFit="1"/>
    </xf>
    <xf numFmtId="43" fontId="13" fillId="3" borderId="36" xfId="1" applyFont="1" applyFill="1" applyBorder="1" applyAlignment="1">
      <alignment horizontal="right" vertical="top" wrapText="1" shrinkToFit="1"/>
    </xf>
    <xf numFmtId="43" fontId="13" fillId="0" borderId="37" xfId="1" applyFont="1" applyBorder="1" applyAlignment="1">
      <alignment horizontal="right" vertical="top" wrapText="1" shrinkToFit="1"/>
    </xf>
    <xf numFmtId="10" fontId="5" fillId="0" borderId="47" xfId="2" applyNumberFormat="1" applyFont="1" applyFill="1" applyBorder="1" applyAlignment="1">
      <alignment horizontal="left" vertical="center" wrapText="1"/>
    </xf>
    <xf numFmtId="10" fontId="6" fillId="0" borderId="45" xfId="2" applyNumberFormat="1" applyFont="1" applyFill="1" applyBorder="1" applyAlignment="1">
      <alignment horizontal="left" vertical="top" wrapText="1"/>
    </xf>
    <xf numFmtId="10" fontId="6" fillId="0" borderId="45" xfId="2" applyNumberFormat="1" applyFont="1" applyFill="1" applyBorder="1" applyAlignment="1">
      <alignment horizontal="right" vertical="top" wrapText="1"/>
    </xf>
    <xf numFmtId="10" fontId="5" fillId="0" borderId="45" xfId="2" applyNumberFormat="1" applyFont="1" applyFill="1" applyBorder="1" applyAlignment="1">
      <alignment horizontal="right" vertical="top" wrapText="1"/>
    </xf>
    <xf numFmtId="10" fontId="6" fillId="0" borderId="46" xfId="2" applyNumberFormat="1" applyFont="1" applyFill="1" applyBorder="1" applyAlignment="1">
      <alignment horizontal="right" vertical="top" wrapText="1"/>
    </xf>
    <xf numFmtId="43" fontId="6" fillId="0" borderId="11" xfId="1" applyFont="1" applyFill="1" applyBorder="1" applyAlignment="1">
      <alignment horizontal="left" vertical="top" wrapText="1"/>
    </xf>
    <xf numFmtId="43" fontId="6" fillId="0" borderId="12" xfId="1" applyFont="1" applyFill="1" applyBorder="1" applyAlignment="1">
      <alignment horizontal="left" vertical="top" wrapText="1"/>
    </xf>
    <xf numFmtId="43" fontId="5" fillId="0" borderId="11" xfId="1" applyFont="1" applyFill="1" applyBorder="1" applyAlignment="1">
      <alignment horizontal="left" vertical="top" wrapText="1"/>
    </xf>
    <xf numFmtId="43" fontId="5" fillId="0" borderId="12" xfId="1" applyFont="1" applyFill="1" applyBorder="1" applyAlignment="1">
      <alignment horizontal="left" vertical="top" wrapText="1"/>
    </xf>
    <xf numFmtId="43" fontId="5" fillId="0" borderId="13" xfId="1" applyFont="1" applyFill="1" applyBorder="1" applyAlignment="1">
      <alignment horizontal="left" vertical="top" wrapText="1"/>
    </xf>
    <xf numFmtId="43" fontId="5" fillId="0" borderId="15" xfId="1" applyFont="1" applyFill="1" applyBorder="1" applyAlignment="1">
      <alignment horizontal="left" vertical="top" wrapText="1"/>
    </xf>
    <xf numFmtId="43" fontId="6" fillId="0" borderId="33" xfId="1" applyFont="1" applyFill="1" applyBorder="1" applyAlignment="1">
      <alignment horizontal="left" vertical="top" wrapText="1"/>
    </xf>
    <xf numFmtId="43" fontId="6" fillId="0" borderId="35" xfId="1" applyFont="1" applyFill="1" applyBorder="1" applyAlignment="1">
      <alignment horizontal="left" vertical="top" wrapText="1"/>
    </xf>
    <xf numFmtId="43" fontId="5" fillId="0" borderId="32" xfId="1" applyFont="1" applyFill="1" applyBorder="1" applyAlignment="1">
      <alignment horizontal="left" vertical="center" wrapText="1"/>
    </xf>
    <xf numFmtId="43" fontId="5" fillId="0" borderId="37" xfId="1" applyFont="1" applyFill="1" applyBorder="1" applyAlignment="1">
      <alignment horizontal="left" vertical="center" wrapText="1"/>
    </xf>
    <xf numFmtId="43" fontId="3" fillId="0" borderId="12" xfId="1" applyFont="1" applyBorder="1" applyAlignment="1">
      <alignment horizontal="right" vertical="center" wrapText="1"/>
    </xf>
    <xf numFmtId="43" fontId="6" fillId="0" borderId="12" xfId="1" applyFont="1" applyBorder="1" applyAlignment="1">
      <alignment horizontal="left" vertical="top" wrapText="1"/>
    </xf>
    <xf numFmtId="43" fontId="6" fillId="0" borderId="14" xfId="1" applyFont="1" applyBorder="1" applyAlignment="1">
      <alignment horizontal="left" vertical="top" wrapText="1"/>
    </xf>
    <xf numFmtId="43" fontId="6" fillId="0" borderId="15" xfId="1" applyFont="1" applyBorder="1" applyAlignment="1">
      <alignment horizontal="left" vertical="top" wrapText="1"/>
    </xf>
    <xf numFmtId="43" fontId="4" fillId="0" borderId="19" xfId="1" applyFont="1" applyBorder="1" applyAlignment="1">
      <alignment horizontal="right" vertical="center" wrapText="1"/>
    </xf>
    <xf numFmtId="43" fontId="4" fillId="0" borderId="35" xfId="1" applyFont="1" applyBorder="1" applyAlignment="1">
      <alignment horizontal="right" vertical="center" wrapText="1"/>
    </xf>
    <xf numFmtId="14" fontId="4" fillId="0" borderId="36" xfId="1" applyNumberFormat="1" applyFont="1" applyBorder="1" applyAlignment="1">
      <alignment horizontal="right" vertical="center" wrapText="1"/>
    </xf>
    <xf numFmtId="14" fontId="4" fillId="0" borderId="37" xfId="1" applyNumberFormat="1" applyFont="1" applyBorder="1" applyAlignment="1">
      <alignment horizontal="right" vertical="center" wrapText="1"/>
    </xf>
    <xf numFmtId="14" fontId="4" fillId="0" borderId="29" xfId="1" applyNumberFormat="1" applyFont="1" applyBorder="1" applyAlignment="1">
      <alignment horizontal="right" vertical="center" wrapText="1"/>
    </xf>
    <xf numFmtId="43" fontId="6" fillId="0" borderId="30" xfId="1" applyFont="1" applyBorder="1" applyAlignment="1">
      <alignment horizontal="left" vertical="top" wrapText="1"/>
    </xf>
    <xf numFmtId="43" fontId="3" fillId="0" borderId="22" xfId="1" applyFont="1" applyBorder="1" applyAlignment="1">
      <alignment horizontal="right" vertical="center" wrapText="1"/>
    </xf>
    <xf numFmtId="43" fontId="6" fillId="0" borderId="22" xfId="1" applyFont="1" applyBorder="1" applyAlignment="1">
      <alignment horizontal="left" vertical="top" wrapText="1"/>
    </xf>
    <xf numFmtId="43" fontId="6" fillId="0" borderId="34" xfId="1" applyFont="1" applyBorder="1" applyAlignment="1">
      <alignment horizontal="left" vertical="top" wrapText="1"/>
    </xf>
    <xf numFmtId="14" fontId="6" fillId="0" borderId="38" xfId="1" applyNumberFormat="1" applyFont="1" applyBorder="1" applyAlignment="1">
      <alignment horizontal="left" vertical="top" wrapText="1"/>
    </xf>
    <xf numFmtId="43" fontId="6" fillId="0" borderId="44" xfId="1" applyFont="1" applyBorder="1" applyAlignment="1">
      <alignment horizontal="left" vertical="top" wrapText="1"/>
    </xf>
    <xf numFmtId="43" fontId="6" fillId="0" borderId="45" xfId="1" applyFont="1" applyBorder="1" applyAlignment="1">
      <alignment horizontal="left" vertical="top" wrapText="1"/>
    </xf>
    <xf numFmtId="43" fontId="6" fillId="0" borderId="46" xfId="1" applyFont="1" applyBorder="1" applyAlignment="1">
      <alignment horizontal="left" vertical="top" wrapText="1"/>
    </xf>
  </cellXfs>
  <cellStyles count="13">
    <cellStyle name="Comma" xfId="1" builtinId="3"/>
    <cellStyle name="Comma 2" xfId="4" xr:uid="{B23D9EDE-A421-41E8-82F8-66D9132BDFCB}"/>
    <cellStyle name="Heading 1" xfId="9" builtinId="16"/>
    <cellStyle name="Heading 2" xfId="6" builtinId="17"/>
    <cellStyle name="Heading 4" xfId="10" builtinId="19"/>
    <cellStyle name="Hyperlink" xfId="12" builtinId="8"/>
    <cellStyle name="Input" xfId="7" builtinId="20"/>
    <cellStyle name="Normal" xfId="0" builtinId="0"/>
    <cellStyle name="Normal 2" xfId="3" xr:uid="{38709830-7E94-4563-B803-2090069F5AD9}"/>
    <cellStyle name="Percent" xfId="2" builtinId="5"/>
    <cellStyle name="Percent 2" xfId="5" xr:uid="{66CB5729-098B-4607-A7A3-0369E205371F}"/>
    <cellStyle name="Total" xfId="8" builtinId="25"/>
    <cellStyle name="Warning Text" xfId="11"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76200</xdr:colOff>
      <xdr:row>6</xdr:row>
      <xdr:rowOff>76200</xdr:rowOff>
    </xdr:to>
    <xdr:pic>
      <xdr:nvPicPr>
        <xdr:cNvPr id="2" name="Picture 1">
          <a:extLst>
            <a:ext uri="{FF2B5EF4-FFF2-40B4-BE49-F238E27FC236}">
              <a16:creationId xmlns:a16="http://schemas.microsoft.com/office/drawing/2014/main" id="{9B2AE524-238D-49A3-A5DF-F7114FB3C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 y="1397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76200</xdr:colOff>
      <xdr:row>6</xdr:row>
      <xdr:rowOff>76200</xdr:rowOff>
    </xdr:to>
    <xdr:pic>
      <xdr:nvPicPr>
        <xdr:cNvPr id="3" name="Picture 2">
          <a:extLst>
            <a:ext uri="{FF2B5EF4-FFF2-40B4-BE49-F238E27FC236}">
              <a16:creationId xmlns:a16="http://schemas.microsoft.com/office/drawing/2014/main" id="{1752E16B-8B9C-4DC8-87C7-3001BCBBA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 y="1397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76200</xdr:colOff>
      <xdr:row>22</xdr:row>
      <xdr:rowOff>76200</xdr:rowOff>
    </xdr:to>
    <xdr:pic>
      <xdr:nvPicPr>
        <xdr:cNvPr id="4" name="Picture 3">
          <a:extLst>
            <a:ext uri="{FF2B5EF4-FFF2-40B4-BE49-F238E27FC236}">
              <a16:creationId xmlns:a16="http://schemas.microsoft.com/office/drawing/2014/main" id="{E41C5D9C-79E2-4476-B026-3310E99D7E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 y="3441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76200</xdr:colOff>
      <xdr:row>22</xdr:row>
      <xdr:rowOff>76200</xdr:rowOff>
    </xdr:to>
    <xdr:pic>
      <xdr:nvPicPr>
        <xdr:cNvPr id="5" name="Picture 4">
          <a:extLst>
            <a:ext uri="{FF2B5EF4-FFF2-40B4-BE49-F238E27FC236}">
              <a16:creationId xmlns:a16="http://schemas.microsoft.com/office/drawing/2014/main" id="{1F324101-F2CB-4E3E-A5AB-446989A0BD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 y="3441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76200</xdr:colOff>
      <xdr:row>31</xdr:row>
      <xdr:rowOff>76200</xdr:rowOff>
    </xdr:to>
    <xdr:pic>
      <xdr:nvPicPr>
        <xdr:cNvPr id="6" name="Picture 5">
          <a:extLst>
            <a:ext uri="{FF2B5EF4-FFF2-40B4-BE49-F238E27FC236}">
              <a16:creationId xmlns:a16="http://schemas.microsoft.com/office/drawing/2014/main" id="{F9B4FC0C-6128-4B0E-BD22-281350428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 y="50165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76200</xdr:colOff>
      <xdr:row>31</xdr:row>
      <xdr:rowOff>76200</xdr:rowOff>
    </xdr:to>
    <xdr:pic>
      <xdr:nvPicPr>
        <xdr:cNvPr id="7" name="Picture 6">
          <a:extLst>
            <a:ext uri="{FF2B5EF4-FFF2-40B4-BE49-F238E27FC236}">
              <a16:creationId xmlns:a16="http://schemas.microsoft.com/office/drawing/2014/main" id="{917D6756-46B5-4DC4-975B-DC8C58762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 y="50165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76200</xdr:colOff>
      <xdr:row>6</xdr:row>
      <xdr:rowOff>76200</xdr:rowOff>
    </xdr:to>
    <xdr:pic>
      <xdr:nvPicPr>
        <xdr:cNvPr id="8" name="Picture 7">
          <a:extLst>
            <a:ext uri="{FF2B5EF4-FFF2-40B4-BE49-F238E27FC236}">
              <a16:creationId xmlns:a16="http://schemas.microsoft.com/office/drawing/2014/main" id="{D427D3DB-38BA-450A-A230-C9A9BF5E9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1397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76200</xdr:colOff>
      <xdr:row>6</xdr:row>
      <xdr:rowOff>76200</xdr:rowOff>
    </xdr:to>
    <xdr:pic>
      <xdr:nvPicPr>
        <xdr:cNvPr id="9" name="Picture 8">
          <a:extLst>
            <a:ext uri="{FF2B5EF4-FFF2-40B4-BE49-F238E27FC236}">
              <a16:creationId xmlns:a16="http://schemas.microsoft.com/office/drawing/2014/main" id="{D3AD543A-B308-46D1-8CC3-E494E0BDB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1397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xdr:row>
      <xdr:rowOff>0</xdr:rowOff>
    </xdr:from>
    <xdr:to>
      <xdr:col>2</xdr:col>
      <xdr:colOff>76200</xdr:colOff>
      <xdr:row>22</xdr:row>
      <xdr:rowOff>76200</xdr:rowOff>
    </xdr:to>
    <xdr:pic>
      <xdr:nvPicPr>
        <xdr:cNvPr id="10" name="Picture 9">
          <a:extLst>
            <a:ext uri="{FF2B5EF4-FFF2-40B4-BE49-F238E27FC236}">
              <a16:creationId xmlns:a16="http://schemas.microsoft.com/office/drawing/2014/main" id="{FC6345E7-D9ED-4531-88B6-FAB06AB6D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3441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xdr:row>
      <xdr:rowOff>0</xdr:rowOff>
    </xdr:from>
    <xdr:to>
      <xdr:col>2</xdr:col>
      <xdr:colOff>76200</xdr:colOff>
      <xdr:row>22</xdr:row>
      <xdr:rowOff>76200</xdr:rowOff>
    </xdr:to>
    <xdr:pic>
      <xdr:nvPicPr>
        <xdr:cNvPr id="11" name="Picture 10">
          <a:extLst>
            <a:ext uri="{FF2B5EF4-FFF2-40B4-BE49-F238E27FC236}">
              <a16:creationId xmlns:a16="http://schemas.microsoft.com/office/drawing/2014/main" id="{AD0D1470-E257-4CF4-93F8-4CBFEF6AE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3441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76200</xdr:colOff>
      <xdr:row>31</xdr:row>
      <xdr:rowOff>76200</xdr:rowOff>
    </xdr:to>
    <xdr:pic>
      <xdr:nvPicPr>
        <xdr:cNvPr id="12" name="Picture 11">
          <a:extLst>
            <a:ext uri="{FF2B5EF4-FFF2-40B4-BE49-F238E27FC236}">
              <a16:creationId xmlns:a16="http://schemas.microsoft.com/office/drawing/2014/main" id="{630A105C-C9C8-43D9-A6E8-38C67A27C3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50165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76200</xdr:colOff>
      <xdr:row>31</xdr:row>
      <xdr:rowOff>76200</xdr:rowOff>
    </xdr:to>
    <xdr:pic>
      <xdr:nvPicPr>
        <xdr:cNvPr id="13" name="Picture 12">
          <a:extLst>
            <a:ext uri="{FF2B5EF4-FFF2-40B4-BE49-F238E27FC236}">
              <a16:creationId xmlns:a16="http://schemas.microsoft.com/office/drawing/2014/main" id="{EEAB3751-AEA9-493C-8088-13C6E4D3C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50165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76200</xdr:colOff>
      <xdr:row>31</xdr:row>
      <xdr:rowOff>76200</xdr:rowOff>
    </xdr:to>
    <xdr:pic>
      <xdr:nvPicPr>
        <xdr:cNvPr id="14" name="Picture 13">
          <a:extLst>
            <a:ext uri="{FF2B5EF4-FFF2-40B4-BE49-F238E27FC236}">
              <a16:creationId xmlns:a16="http://schemas.microsoft.com/office/drawing/2014/main" id="{F91F2308-AD2B-4EF4-A83A-15C74CA30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50165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76200</xdr:colOff>
      <xdr:row>31</xdr:row>
      <xdr:rowOff>76200</xdr:rowOff>
    </xdr:to>
    <xdr:pic>
      <xdr:nvPicPr>
        <xdr:cNvPr id="15" name="Picture 14">
          <a:extLst>
            <a:ext uri="{FF2B5EF4-FFF2-40B4-BE49-F238E27FC236}">
              <a16:creationId xmlns:a16="http://schemas.microsoft.com/office/drawing/2014/main" id="{1650E895-F842-4EDC-BD55-DA2B16A37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50165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76200</xdr:colOff>
      <xdr:row>7</xdr:row>
      <xdr:rowOff>76200</xdr:rowOff>
    </xdr:to>
    <xdr:pic>
      <xdr:nvPicPr>
        <xdr:cNvPr id="2" name="Picture 1">
          <a:extLst>
            <a:ext uri="{FF2B5EF4-FFF2-40B4-BE49-F238E27FC236}">
              <a16:creationId xmlns:a16="http://schemas.microsoft.com/office/drawing/2014/main" id="{E4EABC61-93C1-4750-9BA2-80C3BEDE4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2250" y="1155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76200</xdr:colOff>
      <xdr:row>7</xdr:row>
      <xdr:rowOff>76200</xdr:rowOff>
    </xdr:to>
    <xdr:pic>
      <xdr:nvPicPr>
        <xdr:cNvPr id="3" name="Picture 2">
          <a:extLst>
            <a:ext uri="{FF2B5EF4-FFF2-40B4-BE49-F238E27FC236}">
              <a16:creationId xmlns:a16="http://schemas.microsoft.com/office/drawing/2014/main" id="{926EECAF-D5B0-404E-B38F-97ABFE203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2250" y="1155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76200</xdr:colOff>
      <xdr:row>37</xdr:row>
      <xdr:rowOff>76200</xdr:rowOff>
    </xdr:to>
    <xdr:pic>
      <xdr:nvPicPr>
        <xdr:cNvPr id="4" name="Picture 3">
          <a:extLst>
            <a:ext uri="{FF2B5EF4-FFF2-40B4-BE49-F238E27FC236}">
              <a16:creationId xmlns:a16="http://schemas.microsoft.com/office/drawing/2014/main" id="{9C0D5D32-AB52-48CF-8863-6683E5464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225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76200</xdr:colOff>
      <xdr:row>37</xdr:row>
      <xdr:rowOff>76200</xdr:rowOff>
    </xdr:to>
    <xdr:pic>
      <xdr:nvPicPr>
        <xdr:cNvPr id="5" name="Picture 4">
          <a:extLst>
            <a:ext uri="{FF2B5EF4-FFF2-40B4-BE49-F238E27FC236}">
              <a16:creationId xmlns:a16="http://schemas.microsoft.com/office/drawing/2014/main" id="{F8976ED4-ED7A-4186-9897-F05FB00DD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225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76200</xdr:colOff>
      <xdr:row>7</xdr:row>
      <xdr:rowOff>76200</xdr:rowOff>
    </xdr:to>
    <xdr:pic>
      <xdr:nvPicPr>
        <xdr:cNvPr id="6" name="Picture 5">
          <a:extLst>
            <a:ext uri="{FF2B5EF4-FFF2-40B4-BE49-F238E27FC236}">
              <a16:creationId xmlns:a16="http://schemas.microsoft.com/office/drawing/2014/main" id="{DBB7EF22-5A46-40D6-979D-D96CFE246F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1155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76200</xdr:colOff>
      <xdr:row>7</xdr:row>
      <xdr:rowOff>76200</xdr:rowOff>
    </xdr:to>
    <xdr:pic>
      <xdr:nvPicPr>
        <xdr:cNvPr id="7" name="Picture 6">
          <a:extLst>
            <a:ext uri="{FF2B5EF4-FFF2-40B4-BE49-F238E27FC236}">
              <a16:creationId xmlns:a16="http://schemas.microsoft.com/office/drawing/2014/main" id="{1A81CA61-26BC-4C9B-B2BC-69C7DF079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1155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37</xdr:row>
      <xdr:rowOff>0</xdr:rowOff>
    </xdr:from>
    <xdr:to>
      <xdr:col>2</xdr:col>
      <xdr:colOff>76200</xdr:colOff>
      <xdr:row>37</xdr:row>
      <xdr:rowOff>76200</xdr:rowOff>
    </xdr:to>
    <xdr:pic>
      <xdr:nvPicPr>
        <xdr:cNvPr id="8" name="Picture 7">
          <a:extLst>
            <a:ext uri="{FF2B5EF4-FFF2-40B4-BE49-F238E27FC236}">
              <a16:creationId xmlns:a16="http://schemas.microsoft.com/office/drawing/2014/main" id="{E94E6F76-820C-4EDD-A772-0C7262B92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37</xdr:row>
      <xdr:rowOff>0</xdr:rowOff>
    </xdr:from>
    <xdr:ext cx="76200" cy="76200"/>
    <xdr:pic>
      <xdr:nvPicPr>
        <xdr:cNvPr id="9" name="Picture 8">
          <a:extLst>
            <a:ext uri="{FF2B5EF4-FFF2-40B4-BE49-F238E27FC236}">
              <a16:creationId xmlns:a16="http://schemas.microsoft.com/office/drawing/2014/main" id="{5A5882E2-BD8D-4102-A964-DB7C2781B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45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37</xdr:row>
      <xdr:rowOff>0</xdr:rowOff>
    </xdr:from>
    <xdr:ext cx="76200" cy="76200"/>
    <xdr:pic>
      <xdr:nvPicPr>
        <xdr:cNvPr id="10" name="Picture 9">
          <a:extLst>
            <a:ext uri="{FF2B5EF4-FFF2-40B4-BE49-F238E27FC236}">
              <a16:creationId xmlns:a16="http://schemas.microsoft.com/office/drawing/2014/main" id="{1F3F7C68-6883-4234-AAFE-A0510E8A9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37</xdr:row>
      <xdr:rowOff>0</xdr:rowOff>
    </xdr:from>
    <xdr:ext cx="76200" cy="76200"/>
    <xdr:pic>
      <xdr:nvPicPr>
        <xdr:cNvPr id="11" name="Picture 10">
          <a:extLst>
            <a:ext uri="{FF2B5EF4-FFF2-40B4-BE49-F238E27FC236}">
              <a16:creationId xmlns:a16="http://schemas.microsoft.com/office/drawing/2014/main" id="{CF17EE93-556E-4332-9437-810AF94C6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09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37</xdr:row>
      <xdr:rowOff>0</xdr:rowOff>
    </xdr:from>
    <xdr:ext cx="76200" cy="76200"/>
    <xdr:pic>
      <xdr:nvPicPr>
        <xdr:cNvPr id="12" name="Picture 11">
          <a:extLst>
            <a:ext uri="{FF2B5EF4-FFF2-40B4-BE49-F238E27FC236}">
              <a16:creationId xmlns:a16="http://schemas.microsoft.com/office/drawing/2014/main" id="{E1B86A80-1FD3-4C3E-AE98-A58883FFB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991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37</xdr:row>
      <xdr:rowOff>0</xdr:rowOff>
    </xdr:from>
    <xdr:ext cx="76200" cy="76200"/>
    <xdr:pic>
      <xdr:nvPicPr>
        <xdr:cNvPr id="13" name="Picture 12">
          <a:extLst>
            <a:ext uri="{FF2B5EF4-FFF2-40B4-BE49-F238E27FC236}">
              <a16:creationId xmlns:a16="http://schemas.microsoft.com/office/drawing/2014/main" id="{22755DD8-D447-4930-8661-A6BBFA6D1D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37</xdr:row>
      <xdr:rowOff>0</xdr:rowOff>
    </xdr:from>
    <xdr:ext cx="76200" cy="76200"/>
    <xdr:pic>
      <xdr:nvPicPr>
        <xdr:cNvPr id="14" name="Picture 13">
          <a:extLst>
            <a:ext uri="{FF2B5EF4-FFF2-40B4-BE49-F238E27FC236}">
              <a16:creationId xmlns:a16="http://schemas.microsoft.com/office/drawing/2014/main" id="{ED80324D-A147-4B79-B90D-6F893DD68B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755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xdr:row>
      <xdr:rowOff>0</xdr:rowOff>
    </xdr:from>
    <xdr:ext cx="76200" cy="76200"/>
    <xdr:pic>
      <xdr:nvPicPr>
        <xdr:cNvPr id="15" name="Picture 14">
          <a:extLst>
            <a:ext uri="{FF2B5EF4-FFF2-40B4-BE49-F238E27FC236}">
              <a16:creationId xmlns:a16="http://schemas.microsoft.com/office/drawing/2014/main" id="{16311E20-70AE-4029-A9C6-B7D22DB15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45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37</xdr:row>
      <xdr:rowOff>0</xdr:rowOff>
    </xdr:from>
    <xdr:ext cx="76200" cy="76200"/>
    <xdr:pic>
      <xdr:nvPicPr>
        <xdr:cNvPr id="16" name="Picture 15">
          <a:extLst>
            <a:ext uri="{FF2B5EF4-FFF2-40B4-BE49-F238E27FC236}">
              <a16:creationId xmlns:a16="http://schemas.microsoft.com/office/drawing/2014/main" id="{0A577B72-810C-4B46-A623-8D9158695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37</xdr:row>
      <xdr:rowOff>0</xdr:rowOff>
    </xdr:from>
    <xdr:ext cx="76200" cy="76200"/>
    <xdr:pic>
      <xdr:nvPicPr>
        <xdr:cNvPr id="17" name="Picture 16">
          <a:extLst>
            <a:ext uri="{FF2B5EF4-FFF2-40B4-BE49-F238E27FC236}">
              <a16:creationId xmlns:a16="http://schemas.microsoft.com/office/drawing/2014/main" id="{8A543441-DCD4-49F6-A337-973EEE7E9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09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177800</xdr:colOff>
      <xdr:row>37</xdr:row>
      <xdr:rowOff>76200</xdr:rowOff>
    </xdr:from>
    <xdr:ext cx="76200" cy="76200"/>
    <xdr:pic>
      <xdr:nvPicPr>
        <xdr:cNvPr id="18" name="Picture 17">
          <a:extLst>
            <a:ext uri="{FF2B5EF4-FFF2-40B4-BE49-F238E27FC236}">
              <a16:creationId xmlns:a16="http://schemas.microsoft.com/office/drawing/2014/main" id="{D4E0AE0B-5FD3-4F9A-BA06-DDD0E1234F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6223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37</xdr:row>
      <xdr:rowOff>0</xdr:rowOff>
    </xdr:from>
    <xdr:ext cx="76200" cy="76200"/>
    <xdr:pic>
      <xdr:nvPicPr>
        <xdr:cNvPr id="19" name="Picture 18">
          <a:extLst>
            <a:ext uri="{FF2B5EF4-FFF2-40B4-BE49-F238E27FC236}">
              <a16:creationId xmlns:a16="http://schemas.microsoft.com/office/drawing/2014/main" id="{5385F4A4-709A-486D-B1CC-F21CB1C7C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37</xdr:row>
      <xdr:rowOff>0</xdr:rowOff>
    </xdr:from>
    <xdr:ext cx="76200" cy="76200"/>
    <xdr:pic>
      <xdr:nvPicPr>
        <xdr:cNvPr id="20" name="Picture 19">
          <a:extLst>
            <a:ext uri="{FF2B5EF4-FFF2-40B4-BE49-F238E27FC236}">
              <a16:creationId xmlns:a16="http://schemas.microsoft.com/office/drawing/2014/main" id="{37634438-78F8-4F7E-8ECC-F2D8E3CEA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755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37</xdr:row>
      <xdr:rowOff>0</xdr:rowOff>
    </xdr:from>
    <xdr:ext cx="76200" cy="76200"/>
    <xdr:pic>
      <xdr:nvPicPr>
        <xdr:cNvPr id="21" name="Picture 20">
          <a:extLst>
            <a:ext uri="{FF2B5EF4-FFF2-40B4-BE49-F238E27FC236}">
              <a16:creationId xmlns:a16="http://schemas.microsoft.com/office/drawing/2014/main" id="{963189BB-A840-43A4-A6C7-581FF799DA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137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37</xdr:row>
      <xdr:rowOff>0</xdr:rowOff>
    </xdr:from>
    <xdr:ext cx="76200" cy="76200"/>
    <xdr:pic>
      <xdr:nvPicPr>
        <xdr:cNvPr id="22" name="Picture 21">
          <a:extLst>
            <a:ext uri="{FF2B5EF4-FFF2-40B4-BE49-F238E27FC236}">
              <a16:creationId xmlns:a16="http://schemas.microsoft.com/office/drawing/2014/main" id="{B658545A-6A59-4BF3-BC82-9887095CB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13700" y="614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AA71-4D01-4740-A968-57DF17A6336E}">
  <dimension ref="B2:S31"/>
  <sheetViews>
    <sheetView showGridLines="0" tabSelected="1" topLeftCell="A4" workbookViewId="0">
      <selection activeCell="M6" sqref="M6"/>
    </sheetView>
  </sheetViews>
  <sheetFormatPr defaultRowHeight="11.5" x14ac:dyDescent="0.25"/>
  <cols>
    <col min="1" max="1" width="2.36328125" style="1" customWidth="1"/>
    <col min="2" max="2" width="30.6328125" style="1" customWidth="1"/>
    <col min="3" max="7" width="10.453125" style="1" bestFit="1" customWidth="1"/>
    <col min="8" max="10" width="9.453125" style="1" bestFit="1" customWidth="1"/>
    <col min="11" max="11" width="8.7265625" style="1"/>
    <col min="12" max="12" width="37.90625" style="1" bestFit="1" customWidth="1"/>
    <col min="13" max="13" width="27.7265625" style="1" customWidth="1"/>
    <col min="14" max="19" width="8.81640625" style="1" bestFit="1" customWidth="1"/>
    <col min="20" max="16384" width="8.7265625" style="1"/>
  </cols>
  <sheetData>
    <row r="2" spans="2:19" ht="21.5" x14ac:dyDescent="0.25">
      <c r="B2" s="209" t="s">
        <v>211</v>
      </c>
      <c r="C2" s="209"/>
      <c r="D2" s="209"/>
      <c r="E2" s="209"/>
      <c r="F2" s="209"/>
      <c r="G2" s="209"/>
    </row>
    <row r="3" spans="2:19" x14ac:dyDescent="0.25">
      <c r="B3" s="2"/>
      <c r="C3" s="2"/>
      <c r="D3" s="2"/>
      <c r="E3" s="2"/>
      <c r="F3" s="2"/>
      <c r="G3" s="2"/>
    </row>
    <row r="4" spans="2:19" ht="18" x14ac:dyDescent="0.25">
      <c r="B4" s="208" t="s">
        <v>0</v>
      </c>
      <c r="C4" s="160"/>
      <c r="D4" s="160"/>
      <c r="E4" s="160"/>
      <c r="F4" s="160"/>
      <c r="G4" s="160"/>
    </row>
    <row r="5" spans="2:19" ht="12" thickBot="1" x14ac:dyDescent="0.3">
      <c r="B5" s="3"/>
    </row>
    <row r="6" spans="2:19" ht="35" thickBot="1" x14ac:dyDescent="0.3">
      <c r="B6" s="194" t="s">
        <v>1</v>
      </c>
      <c r="C6" s="195" t="s">
        <v>2</v>
      </c>
      <c r="D6" s="196" t="s">
        <v>3</v>
      </c>
      <c r="E6" s="196" t="s">
        <v>4</v>
      </c>
      <c r="F6" s="196" t="s">
        <v>5</v>
      </c>
      <c r="G6" s="196" t="s">
        <v>6</v>
      </c>
      <c r="H6" s="196" t="s">
        <v>7</v>
      </c>
      <c r="I6" s="196" t="s">
        <v>8</v>
      </c>
      <c r="J6" s="197" t="s">
        <v>9</v>
      </c>
      <c r="K6" s="4"/>
      <c r="L6" s="276" t="s">
        <v>184</v>
      </c>
      <c r="M6" s="254" t="s">
        <v>10</v>
      </c>
      <c r="N6" s="205" t="s">
        <v>206</v>
      </c>
      <c r="O6" s="203" t="s">
        <v>207</v>
      </c>
      <c r="P6" s="203" t="s">
        <v>208</v>
      </c>
      <c r="Q6" s="203" t="s">
        <v>209</v>
      </c>
      <c r="R6" s="203" t="s">
        <v>210</v>
      </c>
      <c r="S6" s="204" t="s">
        <v>14</v>
      </c>
    </row>
    <row r="7" spans="2:19" x14ac:dyDescent="0.25">
      <c r="B7" s="189" t="s">
        <v>11</v>
      </c>
      <c r="C7" s="190"/>
      <c r="D7" s="191"/>
      <c r="E7" s="191"/>
      <c r="F7" s="191"/>
      <c r="G7" s="192"/>
      <c r="H7" s="192"/>
      <c r="I7" s="192"/>
      <c r="J7" s="193"/>
      <c r="K7" s="6"/>
      <c r="L7" s="277"/>
      <c r="M7" s="271"/>
      <c r="N7" s="206"/>
      <c r="O7" s="63"/>
      <c r="P7" s="63"/>
      <c r="Q7" s="63"/>
      <c r="R7" s="63"/>
      <c r="S7" s="202"/>
    </row>
    <row r="8" spans="2:19" ht="34.5" x14ac:dyDescent="0.25">
      <c r="B8" s="176" t="s">
        <v>12</v>
      </c>
      <c r="C8" s="15">
        <v>10131.780000000001</v>
      </c>
      <c r="D8" s="15">
        <v>13790.1</v>
      </c>
      <c r="E8" s="15">
        <v>14630.24</v>
      </c>
      <c r="F8" s="15">
        <v>11444.81</v>
      </c>
      <c r="G8" s="15">
        <v>12374.01</v>
      </c>
      <c r="H8" s="15">
        <f>G8+($S$8*G8)</f>
        <v>13257.073973817976</v>
      </c>
      <c r="I8" s="15">
        <f>H8+($S$8*H8)</f>
        <v>14203.157290747458</v>
      </c>
      <c r="J8" s="178">
        <f>I8+($S$8*I8)</f>
        <v>15216.757289287076</v>
      </c>
      <c r="K8" s="10"/>
      <c r="L8" s="278" t="s">
        <v>185</v>
      </c>
      <c r="M8" s="272" t="s">
        <v>186</v>
      </c>
      <c r="N8" s="61"/>
      <c r="O8" s="198">
        <f>(D8-C8)/C8</f>
        <v>0.36107376986077466</v>
      </c>
      <c r="P8" s="198">
        <f>(E8-D8)/D8</f>
        <v>6.0923416073850038E-2</v>
      </c>
      <c r="Q8" s="198">
        <f>(F8-E8)/E8</f>
        <v>-0.21772916917289123</v>
      </c>
      <c r="R8" s="198">
        <f>(G8-F8)/F8</f>
        <v>8.1189639670732922E-2</v>
      </c>
      <c r="S8" s="76">
        <f>AVERAGE(O8:R8)</f>
        <v>7.13644141081166E-2</v>
      </c>
    </row>
    <row r="9" spans="2:19" ht="23" x14ac:dyDescent="0.25">
      <c r="B9" s="179" t="s">
        <v>13</v>
      </c>
      <c r="C9" s="16">
        <v>147.91</v>
      </c>
      <c r="D9" s="17">
        <v>208.21</v>
      </c>
      <c r="E9" s="17">
        <v>228.69</v>
      </c>
      <c r="F9" s="17">
        <v>334.88</v>
      </c>
      <c r="G9" s="17">
        <v>577.52</v>
      </c>
      <c r="H9" s="17">
        <f>$S$9</f>
        <v>299.44200000000001</v>
      </c>
      <c r="I9" s="17">
        <f>$S$9</f>
        <v>299.44200000000001</v>
      </c>
      <c r="J9" s="180">
        <f>$S$9</f>
        <v>299.44200000000001</v>
      </c>
      <c r="K9" s="14"/>
      <c r="L9" s="278" t="s">
        <v>14</v>
      </c>
      <c r="M9" s="272" t="s">
        <v>187</v>
      </c>
      <c r="N9" s="61"/>
      <c r="O9" s="21"/>
      <c r="P9" s="21"/>
      <c r="Q9" s="21"/>
      <c r="R9" s="21"/>
      <c r="S9" s="127">
        <f>AVERAGE(C9:G9)</f>
        <v>299.44200000000001</v>
      </c>
    </row>
    <row r="10" spans="2:19" x14ac:dyDescent="0.25">
      <c r="B10" s="176" t="s">
        <v>15</v>
      </c>
      <c r="C10" s="18">
        <f>C8+C9</f>
        <v>10279.69</v>
      </c>
      <c r="D10" s="18">
        <f t="shared" ref="D10:J10" si="0">D8+D9</f>
        <v>13998.31</v>
      </c>
      <c r="E10" s="18">
        <f t="shared" si="0"/>
        <v>14858.93</v>
      </c>
      <c r="F10" s="18">
        <f t="shared" si="0"/>
        <v>11779.689999999999</v>
      </c>
      <c r="G10" s="18">
        <f t="shared" si="0"/>
        <v>12951.53</v>
      </c>
      <c r="H10" s="18">
        <f t="shared" si="0"/>
        <v>13556.515973817975</v>
      </c>
      <c r="I10" s="18">
        <f t="shared" si="0"/>
        <v>14502.599290747457</v>
      </c>
      <c r="J10" s="181">
        <f t="shared" si="0"/>
        <v>15516.199289287077</v>
      </c>
      <c r="K10" s="10"/>
      <c r="L10" s="278"/>
      <c r="M10" s="272"/>
      <c r="N10" s="61"/>
      <c r="O10" s="21"/>
      <c r="P10" s="21"/>
      <c r="Q10" s="21"/>
      <c r="R10" s="21"/>
      <c r="S10" s="199"/>
    </row>
    <row r="11" spans="2:19" x14ac:dyDescent="0.25">
      <c r="B11" s="176"/>
      <c r="C11" s="18"/>
      <c r="D11" s="15"/>
      <c r="E11" s="15"/>
      <c r="F11" s="15"/>
      <c r="G11" s="15"/>
      <c r="H11" s="15"/>
      <c r="I11" s="15"/>
      <c r="J11" s="178"/>
      <c r="K11" s="10"/>
      <c r="L11" s="278"/>
      <c r="M11" s="273"/>
      <c r="N11" s="61"/>
      <c r="O11" s="21"/>
      <c r="P11" s="21"/>
      <c r="Q11" s="21"/>
      <c r="R11" s="21"/>
      <c r="S11" s="199"/>
    </row>
    <row r="12" spans="2:19" x14ac:dyDescent="0.25">
      <c r="B12" s="176" t="s">
        <v>16</v>
      </c>
      <c r="C12" s="8"/>
      <c r="D12" s="9"/>
      <c r="E12" s="9"/>
      <c r="F12" s="9"/>
      <c r="G12" s="7"/>
      <c r="H12" s="7"/>
      <c r="I12" s="7"/>
      <c r="J12" s="177"/>
      <c r="K12" s="6"/>
      <c r="L12" s="279"/>
      <c r="M12" s="274"/>
      <c r="N12" s="61"/>
      <c r="O12" s="21"/>
      <c r="P12" s="21"/>
      <c r="Q12" s="21"/>
      <c r="R12" s="21"/>
      <c r="S12" s="199"/>
    </row>
    <row r="13" spans="2:19" hidden="1" x14ac:dyDescent="0.25">
      <c r="B13" s="182" t="s">
        <v>17</v>
      </c>
      <c r="C13" s="12">
        <v>3426.74</v>
      </c>
      <c r="D13" s="13">
        <v>4178.12</v>
      </c>
      <c r="E13" s="13">
        <v>4272.66</v>
      </c>
      <c r="F13" s="13">
        <v>3303.31</v>
      </c>
      <c r="G13" s="13">
        <v>3112.25</v>
      </c>
      <c r="H13" s="13"/>
      <c r="I13" s="13"/>
      <c r="J13" s="183"/>
      <c r="K13" s="14"/>
      <c r="L13" s="278"/>
      <c r="M13" s="273"/>
      <c r="N13" s="77"/>
      <c r="O13" s="68"/>
      <c r="P13" s="68"/>
      <c r="Q13" s="68"/>
      <c r="R13" s="68"/>
      <c r="S13" s="76"/>
    </row>
    <row r="14" spans="2:19" hidden="1" x14ac:dyDescent="0.25">
      <c r="B14" s="182" t="s">
        <v>18</v>
      </c>
      <c r="C14" s="12">
        <v>903.41</v>
      </c>
      <c r="D14" s="13">
        <v>848.19</v>
      </c>
      <c r="E14" s="13">
        <v>933.5</v>
      </c>
      <c r="F14" s="13">
        <v>1064.23</v>
      </c>
      <c r="G14" s="13">
        <v>1259.21</v>
      </c>
      <c r="H14" s="13"/>
      <c r="I14" s="13"/>
      <c r="J14" s="183"/>
      <c r="K14" s="14"/>
      <c r="L14" s="278"/>
      <c r="M14" s="273"/>
      <c r="N14" s="61"/>
      <c r="O14" s="21"/>
      <c r="P14" s="21"/>
      <c r="Q14" s="21"/>
      <c r="R14" s="21"/>
      <c r="S14" s="199"/>
    </row>
    <row r="15" spans="2:19" ht="23" hidden="1" x14ac:dyDescent="0.25">
      <c r="B15" s="182" t="s">
        <v>19</v>
      </c>
      <c r="C15" s="12">
        <v>-349.05</v>
      </c>
      <c r="D15" s="13">
        <v>63.55</v>
      </c>
      <c r="E15" s="13">
        <v>110.96</v>
      </c>
      <c r="F15" s="13">
        <v>-212.05</v>
      </c>
      <c r="G15" s="13">
        <v>136.69999999999999</v>
      </c>
      <c r="H15" s="13"/>
      <c r="I15" s="13"/>
      <c r="J15" s="183"/>
      <c r="K15" s="14"/>
      <c r="L15" s="278"/>
      <c r="M15" s="273"/>
      <c r="N15" s="61"/>
      <c r="O15" s="21"/>
      <c r="P15" s="21"/>
      <c r="Q15" s="21"/>
      <c r="R15" s="21"/>
      <c r="S15" s="199"/>
    </row>
    <row r="16" spans="2:19" ht="46" x14ac:dyDescent="0.25">
      <c r="B16" s="179" t="s">
        <v>20</v>
      </c>
      <c r="C16" s="16">
        <f>SUM(C13:C15)</f>
        <v>3981.0999999999995</v>
      </c>
      <c r="D16" s="16">
        <f t="shared" ref="D16:G16" si="1">SUM(D13:D15)</f>
        <v>5089.8599999999997</v>
      </c>
      <c r="E16" s="16">
        <f t="shared" si="1"/>
        <v>5317.12</v>
      </c>
      <c r="F16" s="16">
        <f t="shared" si="1"/>
        <v>4155.49</v>
      </c>
      <c r="G16" s="16">
        <f t="shared" si="1"/>
        <v>4508.16</v>
      </c>
      <c r="H16" s="16">
        <f>($S$16)*H8</f>
        <v>4912.7404079666439</v>
      </c>
      <c r="I16" s="16">
        <f>($S$16)*I8</f>
        <v>5263.3352488464534</v>
      </c>
      <c r="J16" s="184">
        <f>($S$16)*J8</f>
        <v>5638.9500851349785</v>
      </c>
      <c r="K16" s="14"/>
      <c r="L16" s="278" t="s">
        <v>21</v>
      </c>
      <c r="M16" s="272" t="s">
        <v>188</v>
      </c>
      <c r="N16" s="77">
        <f>C16/C8</f>
        <v>0.39293194285702998</v>
      </c>
      <c r="O16" s="68">
        <f t="shared" ref="O16:R16" si="2">D16/D8</f>
        <v>0.36909522048426041</v>
      </c>
      <c r="P16" s="68">
        <f t="shared" si="2"/>
        <v>0.36343354586117521</v>
      </c>
      <c r="Q16" s="68">
        <f t="shared" si="2"/>
        <v>0.36308947024895999</v>
      </c>
      <c r="R16" s="68">
        <f t="shared" si="2"/>
        <v>0.36432490356804298</v>
      </c>
      <c r="S16" s="76">
        <f>AVERAGE(N16:R16)</f>
        <v>0.37057501660389369</v>
      </c>
    </row>
    <row r="17" spans="2:19" ht="46" x14ac:dyDescent="0.25">
      <c r="B17" s="179" t="s">
        <v>22</v>
      </c>
      <c r="C17" s="16">
        <v>1505.58</v>
      </c>
      <c r="D17" s="17">
        <v>2434.0100000000002</v>
      </c>
      <c r="E17" s="17">
        <v>2633.82</v>
      </c>
      <c r="F17" s="17">
        <v>1785.94</v>
      </c>
      <c r="G17" s="17">
        <v>1839.84</v>
      </c>
      <c r="H17" s="17">
        <f>(1+$S$17)*G17</f>
        <v>2027.0483948701244</v>
      </c>
      <c r="I17" s="17">
        <f>(1+$S$17)*H17</f>
        <v>2233.3057195981978</v>
      </c>
      <c r="J17" s="180">
        <f>(1+$S$17)*I17</f>
        <v>2460.5502511989062</v>
      </c>
      <c r="K17" s="14"/>
      <c r="L17" s="278" t="s">
        <v>23</v>
      </c>
      <c r="M17" s="272" t="s">
        <v>189</v>
      </c>
      <c r="N17" s="61"/>
      <c r="O17" s="198">
        <f>(D17-C17)/C17</f>
        <v>0.61665936051222803</v>
      </c>
      <c r="P17" s="198">
        <f>(E17-D17)/D17</f>
        <v>8.2090870620909501E-2</v>
      </c>
      <c r="Q17" s="198">
        <f>(F17-E17)/E17</f>
        <v>-0.32192025271278979</v>
      </c>
      <c r="R17" s="198">
        <f>(G17-F17)/F17</f>
        <v>3.0180185224587534E-2</v>
      </c>
      <c r="S17" s="76">
        <f>((R17)+(P17)+(Q17)+(O17))/4</f>
        <v>0.10175254091123381</v>
      </c>
    </row>
    <row r="18" spans="2:19" ht="23" x14ac:dyDescent="0.25">
      <c r="B18" s="179" t="s">
        <v>24</v>
      </c>
      <c r="C18" s="16">
        <v>136.05000000000001</v>
      </c>
      <c r="D18" s="17">
        <v>206.63</v>
      </c>
      <c r="E18" s="17">
        <v>159.38</v>
      </c>
      <c r="F18" s="17">
        <v>11.9</v>
      </c>
      <c r="G18" s="17">
        <v>16.97</v>
      </c>
      <c r="H18" s="17">
        <f>$S$18</f>
        <v>16.97</v>
      </c>
      <c r="I18" s="17">
        <f>$S$18</f>
        <v>16.97</v>
      </c>
      <c r="J18" s="180">
        <f>$S$18</f>
        <v>16.97</v>
      </c>
      <c r="K18" s="14"/>
      <c r="L18" s="278" t="s">
        <v>25</v>
      </c>
      <c r="M18" s="272" t="s">
        <v>190</v>
      </c>
      <c r="N18" s="61"/>
      <c r="O18" s="21"/>
      <c r="P18" s="21"/>
      <c r="Q18" s="21"/>
      <c r="R18" s="21"/>
      <c r="S18" s="127">
        <f>G18</f>
        <v>16.97</v>
      </c>
    </row>
    <row r="19" spans="2:19" ht="69" x14ac:dyDescent="0.25">
      <c r="B19" s="179" t="s">
        <v>26</v>
      </c>
      <c r="C19" s="16">
        <v>433.2</v>
      </c>
      <c r="D19" s="17">
        <v>754.22</v>
      </c>
      <c r="E19" s="17">
        <v>1322.93</v>
      </c>
      <c r="F19" s="17">
        <v>529.61</v>
      </c>
      <c r="G19" s="17">
        <v>569.72</v>
      </c>
      <c r="H19" s="17">
        <f>PPE!O20</f>
        <v>496.39479362844895</v>
      </c>
      <c r="I19" s="17">
        <f>PPE!R20</f>
        <v>410.07305052420458</v>
      </c>
      <c r="J19" s="180">
        <f>PPE!U20</f>
        <v>340.75161674554442</v>
      </c>
      <c r="K19" s="14"/>
      <c r="L19" s="278" t="s">
        <v>27</v>
      </c>
      <c r="M19" s="272" t="s">
        <v>180</v>
      </c>
      <c r="N19" s="61"/>
      <c r="O19" s="21"/>
      <c r="P19" s="21"/>
      <c r="Q19" s="21"/>
      <c r="R19" s="21"/>
      <c r="S19" s="127"/>
    </row>
    <row r="20" spans="2:19" ht="57.5" x14ac:dyDescent="0.25">
      <c r="B20" s="179" t="s">
        <v>28</v>
      </c>
      <c r="C20" s="16">
        <v>2683.79</v>
      </c>
      <c r="D20" s="16">
        <v>3786.56</v>
      </c>
      <c r="E20" s="16">
        <v>4203.51</v>
      </c>
      <c r="F20" s="16">
        <v>3307.83</v>
      </c>
      <c r="G20" s="16">
        <v>3524.01</v>
      </c>
      <c r="H20" s="16">
        <f>$S$20*H8</f>
        <v>3764.0732608344047</v>
      </c>
      <c r="I20" s="16">
        <f>$S$20*I8</f>
        <v>4032.6941437538803</v>
      </c>
      <c r="J20" s="184">
        <f>$S$20*J8</f>
        <v>4320.4849986001091</v>
      </c>
      <c r="K20" s="14"/>
      <c r="L20" s="278" t="s">
        <v>29</v>
      </c>
      <c r="M20" s="272" t="s">
        <v>191</v>
      </c>
      <c r="N20" s="77">
        <f>C20/C8</f>
        <v>0.26488830195681312</v>
      </c>
      <c r="O20" s="68">
        <f t="shared" ref="O20:R20" si="3">D20/D8</f>
        <v>0.27458539096888346</v>
      </c>
      <c r="P20" s="68">
        <f t="shared" si="3"/>
        <v>0.2873165443629086</v>
      </c>
      <c r="Q20" s="68">
        <f t="shared" si="3"/>
        <v>0.28902445737412852</v>
      </c>
      <c r="R20" s="68">
        <f t="shared" si="3"/>
        <v>0.28479126814993688</v>
      </c>
      <c r="S20" s="76">
        <f>((R20)+(P20)+(Q20)+(O20))/4</f>
        <v>0.28392941521396436</v>
      </c>
    </row>
    <row r="21" spans="2:19" ht="23" x14ac:dyDescent="0.25">
      <c r="B21" s="179" t="s">
        <v>30</v>
      </c>
      <c r="C21" s="16">
        <v>0</v>
      </c>
      <c r="D21" s="17">
        <v>0</v>
      </c>
      <c r="E21" s="19">
        <v>0</v>
      </c>
      <c r="F21" s="19">
        <v>0</v>
      </c>
      <c r="G21" s="19">
        <v>0</v>
      </c>
      <c r="H21" s="17">
        <f>$S$21</f>
        <v>0</v>
      </c>
      <c r="I21" s="17">
        <f>$S$21</f>
        <v>0</v>
      </c>
      <c r="J21" s="180">
        <f>$S$21</f>
        <v>0</v>
      </c>
      <c r="K21" s="20"/>
      <c r="L21" s="279"/>
      <c r="M21" s="274"/>
      <c r="N21" s="207"/>
      <c r="O21" s="21"/>
      <c r="P21" s="21"/>
      <c r="Q21" s="21"/>
      <c r="R21" s="21"/>
      <c r="S21" s="127"/>
    </row>
    <row r="22" spans="2:19" x14ac:dyDescent="0.25">
      <c r="B22" s="176" t="s">
        <v>31</v>
      </c>
      <c r="C22" s="18">
        <f>SUM(C16:C21)</f>
        <v>8739.7199999999993</v>
      </c>
      <c r="D22" s="18">
        <f t="shared" ref="D22:J22" si="4">SUM(D16:D21)</f>
        <v>12271.279999999999</v>
      </c>
      <c r="E22" s="18">
        <f t="shared" si="4"/>
        <v>13636.76</v>
      </c>
      <c r="F22" s="18">
        <f t="shared" si="4"/>
        <v>9790.77</v>
      </c>
      <c r="G22" s="18">
        <f t="shared" si="4"/>
        <v>10458.700000000001</v>
      </c>
      <c r="H22" s="18">
        <f t="shared" si="4"/>
        <v>11217.226857299622</v>
      </c>
      <c r="I22" s="18">
        <f t="shared" si="4"/>
        <v>11956.378162722736</v>
      </c>
      <c r="J22" s="181">
        <f t="shared" si="4"/>
        <v>12777.706951679538</v>
      </c>
      <c r="K22" s="10"/>
      <c r="L22" s="278"/>
      <c r="M22" s="273"/>
      <c r="N22" s="61"/>
      <c r="O22" s="21"/>
      <c r="P22" s="21"/>
      <c r="Q22" s="21"/>
      <c r="R22" s="21"/>
      <c r="S22" s="199"/>
    </row>
    <row r="23" spans="2:19" ht="16" customHeight="1" x14ac:dyDescent="0.25">
      <c r="B23" s="176"/>
      <c r="C23" s="8"/>
      <c r="D23" s="7"/>
      <c r="E23" s="7"/>
      <c r="F23" s="7"/>
      <c r="G23" s="7"/>
      <c r="H23" s="7"/>
      <c r="I23" s="7"/>
      <c r="J23" s="177"/>
      <c r="K23" s="6"/>
      <c r="L23" s="279"/>
      <c r="M23" s="274"/>
      <c r="N23" s="61"/>
      <c r="O23" s="21"/>
      <c r="P23" s="21"/>
      <c r="Q23" s="21"/>
      <c r="R23" s="21"/>
      <c r="S23" s="199"/>
    </row>
    <row r="24" spans="2:19" ht="23" x14ac:dyDescent="0.25">
      <c r="B24" s="176" t="s">
        <v>32</v>
      </c>
      <c r="C24" s="18">
        <f>C10-C22</f>
        <v>1539.9700000000012</v>
      </c>
      <c r="D24" s="18">
        <f t="shared" ref="D24:J24" si="5">D10-D22</f>
        <v>1727.0300000000007</v>
      </c>
      <c r="E24" s="18">
        <f t="shared" si="5"/>
        <v>1222.17</v>
      </c>
      <c r="F24" s="18">
        <f t="shared" si="5"/>
        <v>1988.9199999999983</v>
      </c>
      <c r="G24" s="18">
        <f t="shared" si="5"/>
        <v>2492.83</v>
      </c>
      <c r="H24" s="18">
        <f t="shared" si="5"/>
        <v>2339.2891165183537</v>
      </c>
      <c r="I24" s="18">
        <f t="shared" si="5"/>
        <v>2546.2211280247211</v>
      </c>
      <c r="J24" s="181">
        <f t="shared" si="5"/>
        <v>2738.4923376075385</v>
      </c>
      <c r="K24" s="10"/>
      <c r="L24" s="278"/>
      <c r="M24" s="273"/>
      <c r="N24" s="61"/>
      <c r="O24" s="21"/>
      <c r="P24" s="21"/>
      <c r="Q24" s="21"/>
      <c r="R24" s="21"/>
      <c r="S24" s="199"/>
    </row>
    <row r="25" spans="2:19" x14ac:dyDescent="0.25">
      <c r="B25" s="179" t="s">
        <v>33</v>
      </c>
      <c r="C25" s="21"/>
      <c r="D25" s="19">
        <v>0</v>
      </c>
      <c r="E25" s="19">
        <v>0</v>
      </c>
      <c r="F25" s="19">
        <v>77.52</v>
      </c>
      <c r="G25" s="19">
        <v>0</v>
      </c>
      <c r="H25" s="19">
        <v>0</v>
      </c>
      <c r="I25" s="19">
        <v>0</v>
      </c>
      <c r="J25" s="185">
        <v>0</v>
      </c>
      <c r="K25" s="20"/>
      <c r="L25" s="279"/>
      <c r="M25" s="274"/>
      <c r="N25" s="61"/>
      <c r="O25" s="21"/>
      <c r="P25" s="21"/>
      <c r="Q25" s="21"/>
      <c r="R25" s="21"/>
      <c r="S25" s="199"/>
    </row>
    <row r="26" spans="2:19" x14ac:dyDescent="0.25">
      <c r="B26" s="176" t="s">
        <v>34</v>
      </c>
      <c r="C26" s="18">
        <f>C24+C25</f>
        <v>1539.9700000000012</v>
      </c>
      <c r="D26" s="18">
        <f t="shared" ref="D26:J26" si="6">D24+D25</f>
        <v>1727.0300000000007</v>
      </c>
      <c r="E26" s="18">
        <f t="shared" si="6"/>
        <v>1222.17</v>
      </c>
      <c r="F26" s="18">
        <f>F24-F25</f>
        <v>1911.3999999999983</v>
      </c>
      <c r="G26" s="18">
        <f t="shared" si="6"/>
        <v>2492.83</v>
      </c>
      <c r="H26" s="18">
        <f t="shared" si="6"/>
        <v>2339.2891165183537</v>
      </c>
      <c r="I26" s="18">
        <f t="shared" si="6"/>
        <v>2546.2211280247211</v>
      </c>
      <c r="J26" s="181">
        <f t="shared" si="6"/>
        <v>2738.4923376075385</v>
      </c>
      <c r="K26" s="10"/>
      <c r="L26" s="278"/>
      <c r="M26" s="273"/>
      <c r="N26" s="61"/>
      <c r="O26" s="21"/>
      <c r="P26" s="21"/>
      <c r="Q26" s="21"/>
      <c r="R26" s="21"/>
      <c r="S26" s="199"/>
    </row>
    <row r="27" spans="2:19" ht="16" customHeight="1" x14ac:dyDescent="0.25">
      <c r="B27" s="176" t="s">
        <v>35</v>
      </c>
      <c r="C27" s="8"/>
      <c r="D27" s="9"/>
      <c r="E27" s="9"/>
      <c r="F27" s="9"/>
      <c r="G27" s="7"/>
      <c r="H27" s="7"/>
      <c r="I27" s="7"/>
      <c r="J27" s="177"/>
      <c r="K27" s="6"/>
      <c r="L27" s="279"/>
      <c r="M27" s="274"/>
      <c r="N27" s="61"/>
      <c r="O27" s="21"/>
      <c r="P27" s="21"/>
      <c r="Q27" s="21"/>
      <c r="R27" s="21"/>
      <c r="S27" s="199"/>
    </row>
    <row r="28" spans="2:19" hidden="1" x14ac:dyDescent="0.25">
      <c r="B28" s="182" t="s">
        <v>36</v>
      </c>
      <c r="C28" s="12">
        <v>318.77999999999997</v>
      </c>
      <c r="D28" s="13">
        <v>470.24</v>
      </c>
      <c r="E28" s="13">
        <v>479.48</v>
      </c>
      <c r="F28" s="13">
        <v>431.33</v>
      </c>
      <c r="G28" s="13">
        <v>576.42999999999995</v>
      </c>
      <c r="H28" s="13"/>
      <c r="I28" s="13"/>
      <c r="J28" s="183"/>
      <c r="K28" s="14"/>
      <c r="L28" s="278"/>
      <c r="M28" s="273"/>
      <c r="N28" s="61"/>
      <c r="O28" s="21"/>
      <c r="P28" s="21"/>
      <c r="Q28" s="21"/>
      <c r="R28" s="21"/>
      <c r="S28" s="199"/>
    </row>
    <row r="29" spans="2:19" hidden="1" x14ac:dyDescent="0.25">
      <c r="B29" s="182" t="s">
        <v>37</v>
      </c>
      <c r="C29" s="22">
        <v>40.1</v>
      </c>
      <c r="D29" s="23">
        <v>-138.65</v>
      </c>
      <c r="E29" s="13">
        <v>-299.72000000000003</v>
      </c>
      <c r="F29" s="13">
        <v>11.55</v>
      </c>
      <c r="G29" s="13">
        <v>27.99</v>
      </c>
      <c r="H29" s="13"/>
      <c r="I29" s="13"/>
      <c r="J29" s="183"/>
      <c r="K29" s="14"/>
      <c r="L29" s="278"/>
      <c r="M29" s="273"/>
      <c r="N29" s="61"/>
      <c r="O29" s="21"/>
      <c r="P29" s="21"/>
      <c r="Q29" s="21"/>
      <c r="R29" s="21"/>
      <c r="S29" s="199"/>
    </row>
    <row r="30" spans="2:19" ht="35" thickBot="1" x14ac:dyDescent="0.3">
      <c r="B30" s="176" t="s">
        <v>38</v>
      </c>
      <c r="C30" s="18">
        <f>SUM(C28:C29)</f>
        <v>358.88</v>
      </c>
      <c r="D30" s="18">
        <f t="shared" ref="D30:G30" si="7">SUM(D28:D29)</f>
        <v>331.59000000000003</v>
      </c>
      <c r="E30" s="18">
        <f t="shared" si="7"/>
        <v>179.76</v>
      </c>
      <c r="F30" s="18">
        <f t="shared" si="7"/>
        <v>442.88</v>
      </c>
      <c r="G30" s="18">
        <f t="shared" si="7"/>
        <v>604.41999999999996</v>
      </c>
      <c r="H30" s="18">
        <f>$S$30*H26</f>
        <v>489.51691883583999</v>
      </c>
      <c r="I30" s="18">
        <f>$S$30*I26</f>
        <v>532.8192708049985</v>
      </c>
      <c r="J30" s="181">
        <f>$S$30*J26</f>
        <v>573.053720421001</v>
      </c>
      <c r="K30" s="10"/>
      <c r="L30" s="280" t="s">
        <v>39</v>
      </c>
      <c r="M30" s="275" t="s">
        <v>192</v>
      </c>
      <c r="N30" s="79">
        <f>C30/C26</f>
        <v>0.23304350084741893</v>
      </c>
      <c r="O30" s="200">
        <f t="shared" ref="O30:R30" si="8">D30/D26</f>
        <v>0.19200013896689688</v>
      </c>
      <c r="P30" s="200">
        <f t="shared" si="8"/>
        <v>0.14708264807678145</v>
      </c>
      <c r="Q30" s="200">
        <f t="shared" si="8"/>
        <v>0.23170450978340504</v>
      </c>
      <c r="R30" s="200">
        <f t="shared" si="8"/>
        <v>0.24246338498814599</v>
      </c>
      <c r="S30" s="201">
        <f>AVERAGE(N30:R30)</f>
        <v>0.20925883653252969</v>
      </c>
    </row>
    <row r="31" spans="2:19" ht="12" thickBot="1" x14ac:dyDescent="0.3">
      <c r="B31" s="186" t="s">
        <v>40</v>
      </c>
      <c r="C31" s="187">
        <f>C26-C30</f>
        <v>1181.0900000000011</v>
      </c>
      <c r="D31" s="187">
        <f t="shared" ref="D31:J31" si="9">D26-D30</f>
        <v>1395.4400000000005</v>
      </c>
      <c r="E31" s="187">
        <f t="shared" si="9"/>
        <v>1042.4100000000001</v>
      </c>
      <c r="F31" s="187">
        <f t="shared" si="9"/>
        <v>1468.5199999999982</v>
      </c>
      <c r="G31" s="187">
        <f t="shared" si="9"/>
        <v>1888.4099999999999</v>
      </c>
      <c r="H31" s="187">
        <f t="shared" si="9"/>
        <v>1849.7721976825137</v>
      </c>
      <c r="I31" s="187">
        <f t="shared" si="9"/>
        <v>2013.4018572197226</v>
      </c>
      <c r="J31" s="188">
        <f t="shared" si="9"/>
        <v>2165.4386171865376</v>
      </c>
      <c r="K31" s="10"/>
      <c r="L31" s="10"/>
      <c r="M31" s="10"/>
    </row>
  </sheetData>
  <mergeCells count="2">
    <mergeCell ref="B2:G2"/>
    <mergeCell ref="B4:G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A4925-F1D2-4BF8-A9C3-42479F48286F}">
  <dimension ref="B2:S52"/>
  <sheetViews>
    <sheetView showGridLines="0" topLeftCell="A22" workbookViewId="0">
      <selection activeCell="O8" sqref="O8"/>
    </sheetView>
  </sheetViews>
  <sheetFormatPr defaultRowHeight="11.5" x14ac:dyDescent="0.25"/>
  <cols>
    <col min="1" max="1" width="3.1796875" style="1" customWidth="1"/>
    <col min="2" max="2" width="27.54296875" style="1" customWidth="1"/>
    <col min="3" max="7" width="12" style="1" bestFit="1" customWidth="1"/>
    <col min="8" max="10" width="12" style="32" bestFit="1" customWidth="1"/>
    <col min="11" max="11" width="8.7265625" style="1"/>
    <col min="12" max="12" width="21.54296875" style="5" bestFit="1" customWidth="1"/>
    <col min="13" max="13" width="21.81640625" style="5" customWidth="1"/>
    <col min="14" max="14" width="10.36328125" style="1" bestFit="1" customWidth="1"/>
    <col min="15" max="15" width="9" style="1" bestFit="1" customWidth="1"/>
    <col min="16" max="16384" width="8.7265625" style="1"/>
  </cols>
  <sheetData>
    <row r="2" spans="2:19" ht="21.5" x14ac:dyDescent="0.25">
      <c r="B2" s="209" t="s">
        <v>211</v>
      </c>
      <c r="C2" s="209"/>
      <c r="D2" s="209"/>
      <c r="E2" s="209"/>
      <c r="F2" s="209"/>
      <c r="G2" s="209"/>
      <c r="H2" s="209"/>
      <c r="I2" s="209"/>
      <c r="J2" s="209"/>
    </row>
    <row r="3" spans="2:19" x14ac:dyDescent="0.25">
      <c r="B3" s="33"/>
      <c r="C3" s="34"/>
    </row>
    <row r="4" spans="2:19" ht="15.5" customHeight="1" x14ac:dyDescent="0.25">
      <c r="B4" s="208" t="s">
        <v>73</v>
      </c>
      <c r="C4" s="210"/>
      <c r="D4" s="210"/>
      <c r="E4" s="210"/>
      <c r="F4" s="210"/>
      <c r="G4" s="210"/>
      <c r="H4" s="210"/>
      <c r="I4" s="210"/>
      <c r="J4" s="210"/>
    </row>
    <row r="5" spans="2:19" ht="12" thickBot="1" x14ac:dyDescent="0.3">
      <c r="B5" s="3"/>
      <c r="C5" s="35"/>
    </row>
    <row r="6" spans="2:19" ht="28.5" customHeight="1" thickBot="1" x14ac:dyDescent="0.3">
      <c r="B6" s="115" t="s">
        <v>74</v>
      </c>
      <c r="C6" s="116">
        <v>42094</v>
      </c>
      <c r="D6" s="116">
        <v>42460</v>
      </c>
      <c r="E6" s="116">
        <v>42825</v>
      </c>
      <c r="F6" s="116">
        <v>43190</v>
      </c>
      <c r="G6" s="116">
        <v>43555</v>
      </c>
      <c r="H6" s="116">
        <v>43921</v>
      </c>
      <c r="I6" s="116">
        <v>44286</v>
      </c>
      <c r="J6" s="117">
        <v>44651</v>
      </c>
      <c r="L6" s="264" t="s">
        <v>183</v>
      </c>
      <c r="M6" s="254" t="s">
        <v>175</v>
      </c>
      <c r="N6" s="245" t="s">
        <v>206</v>
      </c>
      <c r="O6" s="203" t="s">
        <v>207</v>
      </c>
      <c r="P6" s="203" t="s">
        <v>208</v>
      </c>
      <c r="Q6" s="203" t="s">
        <v>209</v>
      </c>
      <c r="R6" s="203" t="s">
        <v>210</v>
      </c>
      <c r="S6" s="204" t="s">
        <v>14</v>
      </c>
    </row>
    <row r="7" spans="2:19" ht="12" thickBot="1" x14ac:dyDescent="0.3">
      <c r="B7" s="225"/>
      <c r="C7" s="226"/>
      <c r="D7" s="226"/>
      <c r="E7" s="226"/>
      <c r="F7" s="226"/>
      <c r="G7" s="226"/>
      <c r="H7" s="219" t="s">
        <v>75</v>
      </c>
      <c r="I7" s="219" t="s">
        <v>75</v>
      </c>
      <c r="J7" s="220" t="s">
        <v>75</v>
      </c>
      <c r="L7" s="265"/>
      <c r="M7" s="255"/>
      <c r="N7" s="246"/>
      <c r="O7" s="63"/>
      <c r="P7" s="63"/>
      <c r="Q7" s="63"/>
      <c r="R7" s="63"/>
      <c r="S7" s="202"/>
    </row>
    <row r="8" spans="2:19" ht="14.5" customHeight="1" x14ac:dyDescent="0.25">
      <c r="B8" s="221" t="s">
        <v>76</v>
      </c>
      <c r="C8" s="190"/>
      <c r="D8" s="222"/>
      <c r="E8" s="222"/>
      <c r="F8" s="222"/>
      <c r="G8" s="222"/>
      <c r="H8" s="223"/>
      <c r="I8" s="223"/>
      <c r="J8" s="224"/>
      <c r="L8" s="266"/>
      <c r="M8" s="256"/>
      <c r="N8" s="247"/>
      <c r="O8" s="21"/>
      <c r="P8" s="21"/>
      <c r="Q8" s="21"/>
      <c r="R8" s="21"/>
      <c r="S8" s="199"/>
    </row>
    <row r="9" spans="2:19" ht="14.5" customHeight="1" x14ac:dyDescent="0.25">
      <c r="B9" s="118" t="s">
        <v>77</v>
      </c>
      <c r="C9" s="8"/>
      <c r="D9" s="36"/>
      <c r="E9" s="36"/>
      <c r="F9" s="36"/>
      <c r="G9" s="36"/>
      <c r="H9" s="37"/>
      <c r="I9" s="37"/>
      <c r="J9" s="212"/>
      <c r="L9" s="266"/>
      <c r="M9" s="256"/>
      <c r="N9" s="247"/>
      <c r="O9" s="21"/>
      <c r="P9" s="21"/>
      <c r="Q9" s="21"/>
      <c r="R9" s="21"/>
      <c r="S9" s="199"/>
    </row>
    <row r="10" spans="2:19" s="241" customFormat="1" ht="34.5" x14ac:dyDescent="0.35">
      <c r="B10" s="244" t="s">
        <v>78</v>
      </c>
      <c r="C10" s="238">
        <v>160.59</v>
      </c>
      <c r="D10" s="238">
        <v>160.68</v>
      </c>
      <c r="E10" s="238">
        <v>160.9</v>
      </c>
      <c r="F10" s="238">
        <v>161.02000000000001</v>
      </c>
      <c r="G10" s="238">
        <v>161.13999999999999</v>
      </c>
      <c r="H10" s="239">
        <f>G10</f>
        <v>161.13999999999999</v>
      </c>
      <c r="I10" s="239">
        <f>H10</f>
        <v>161.13999999999999</v>
      </c>
      <c r="J10" s="240">
        <f>I10</f>
        <v>161.13999999999999</v>
      </c>
      <c r="L10" s="267" t="s">
        <v>25</v>
      </c>
      <c r="M10" s="257" t="s">
        <v>176</v>
      </c>
      <c r="N10" s="248"/>
      <c r="O10" s="242"/>
      <c r="P10" s="242"/>
      <c r="Q10" s="242"/>
      <c r="R10" s="242"/>
      <c r="S10" s="243"/>
    </row>
    <row r="11" spans="2:19" s="49" customFormat="1" ht="34.5" x14ac:dyDescent="0.25">
      <c r="B11" s="122" t="s">
        <v>79</v>
      </c>
      <c r="C11" s="16">
        <v>10519.12</v>
      </c>
      <c r="D11" s="16">
        <v>11825.2</v>
      </c>
      <c r="E11" s="16">
        <v>12639.61</v>
      </c>
      <c r="F11" s="16">
        <v>13952.5</v>
      </c>
      <c r="G11" s="16">
        <v>15620.77</v>
      </c>
      <c r="H11" s="48">
        <f>'P&amp;L'!C31+'Balance Sheet'!G11</f>
        <v>16801.86</v>
      </c>
      <c r="I11" s="48">
        <f>'P&amp;L'!D31+'Balance Sheet'!H11</f>
        <v>18197.300000000003</v>
      </c>
      <c r="J11" s="213">
        <f>'P&amp;L'!E31+'Balance Sheet'!I11</f>
        <v>19239.710000000003</v>
      </c>
      <c r="L11" s="268" t="s">
        <v>80</v>
      </c>
      <c r="M11" s="258" t="s">
        <v>177</v>
      </c>
      <c r="N11" s="249"/>
      <c r="O11" s="38"/>
      <c r="P11" s="38"/>
      <c r="Q11" s="38"/>
      <c r="R11" s="38"/>
      <c r="S11" s="236"/>
    </row>
    <row r="12" spans="2:19" x14ac:dyDescent="0.25">
      <c r="B12" s="118" t="s">
        <v>81</v>
      </c>
      <c r="C12" s="18">
        <f>C10+C11</f>
        <v>10679.710000000001</v>
      </c>
      <c r="D12" s="18">
        <f>D10+D11</f>
        <v>11985.880000000001</v>
      </c>
      <c r="E12" s="18">
        <f>E10+E11</f>
        <v>12800.51</v>
      </c>
      <c r="F12" s="18">
        <f>F10+F11</f>
        <v>14113.52</v>
      </c>
      <c r="G12" s="18">
        <f>G10+G11</f>
        <v>15781.91</v>
      </c>
      <c r="H12" s="40">
        <f t="shared" ref="H12:J12" si="0">H10+H11</f>
        <v>16963</v>
      </c>
      <c r="I12" s="40">
        <f t="shared" si="0"/>
        <v>18358.440000000002</v>
      </c>
      <c r="J12" s="214">
        <f t="shared" si="0"/>
        <v>19400.850000000002</v>
      </c>
      <c r="L12" s="266"/>
      <c r="M12" s="256"/>
      <c r="N12" s="247"/>
      <c r="O12" s="21"/>
      <c r="P12" s="21"/>
      <c r="Q12" s="21"/>
      <c r="R12" s="21"/>
      <c r="S12" s="199"/>
    </row>
    <row r="13" spans="2:19" x14ac:dyDescent="0.25">
      <c r="B13" s="122" t="s">
        <v>82</v>
      </c>
      <c r="C13" s="41">
        <v>0</v>
      </c>
      <c r="D13" s="41">
        <v>0</v>
      </c>
      <c r="E13" s="41">
        <v>0</v>
      </c>
      <c r="F13" s="41">
        <v>0</v>
      </c>
      <c r="G13" s="41">
        <v>0</v>
      </c>
      <c r="H13" s="37">
        <v>0</v>
      </c>
      <c r="I13" s="37">
        <f>H13</f>
        <v>0</v>
      </c>
      <c r="J13" s="212">
        <f>I13</f>
        <v>0</v>
      </c>
      <c r="L13" s="266"/>
      <c r="M13" s="256"/>
      <c r="N13" s="247"/>
      <c r="O13" s="21"/>
      <c r="P13" s="21"/>
      <c r="Q13" s="21"/>
      <c r="R13" s="21"/>
      <c r="S13" s="199"/>
    </row>
    <row r="14" spans="2:19" x14ac:dyDescent="0.25">
      <c r="B14" s="118" t="s">
        <v>83</v>
      </c>
      <c r="C14" s="8"/>
      <c r="D14" s="36"/>
      <c r="E14" s="36"/>
      <c r="F14" s="36"/>
      <c r="G14" s="36"/>
      <c r="H14" s="37"/>
      <c r="I14" s="37"/>
      <c r="J14" s="212"/>
      <c r="L14" s="266"/>
      <c r="M14" s="256"/>
      <c r="N14" s="247"/>
      <c r="O14" s="21"/>
      <c r="P14" s="21"/>
      <c r="Q14" s="21"/>
      <c r="R14" s="21"/>
      <c r="S14" s="199"/>
    </row>
    <row r="15" spans="2:19" ht="20" customHeight="1" x14ac:dyDescent="0.25">
      <c r="B15" s="122" t="s">
        <v>137</v>
      </c>
      <c r="C15" s="16">
        <v>76.5</v>
      </c>
      <c r="D15" s="16">
        <v>42.25</v>
      </c>
      <c r="E15" s="16">
        <v>45.13</v>
      </c>
      <c r="F15" s="16">
        <v>50.11</v>
      </c>
      <c r="G15" s="16">
        <v>53.36</v>
      </c>
      <c r="H15" s="37">
        <f>G15</f>
        <v>53.36</v>
      </c>
      <c r="I15" s="37">
        <f t="shared" ref="I15:J15" si="1">H15</f>
        <v>53.36</v>
      </c>
      <c r="J15" s="212">
        <f t="shared" si="1"/>
        <v>53.36</v>
      </c>
      <c r="L15" s="266" t="s">
        <v>25</v>
      </c>
      <c r="M15" s="259" t="s">
        <v>178</v>
      </c>
      <c r="N15" s="247"/>
      <c r="O15" s="21"/>
      <c r="P15" s="21"/>
      <c r="Q15" s="21"/>
      <c r="R15" s="21"/>
      <c r="S15" s="199"/>
    </row>
    <row r="16" spans="2:19" ht="20" customHeight="1" x14ac:dyDescent="0.25">
      <c r="B16" s="122" t="s">
        <v>85</v>
      </c>
      <c r="C16" s="16">
        <v>101.93</v>
      </c>
      <c r="D16" s="16">
        <v>132</v>
      </c>
      <c r="E16" s="16">
        <v>125.61</v>
      </c>
      <c r="F16" s="16">
        <v>124.45</v>
      </c>
      <c r="G16" s="16">
        <v>108.12</v>
      </c>
      <c r="H16" s="37">
        <f t="shared" ref="H16:J18" si="2">G16</f>
        <v>108.12</v>
      </c>
      <c r="I16" s="37">
        <f t="shared" si="2"/>
        <v>108.12</v>
      </c>
      <c r="J16" s="212">
        <f t="shared" si="2"/>
        <v>108.12</v>
      </c>
      <c r="L16" s="266" t="s">
        <v>25</v>
      </c>
      <c r="M16" s="259"/>
      <c r="N16" s="247"/>
      <c r="O16" s="21"/>
      <c r="P16" s="21"/>
      <c r="Q16" s="21"/>
      <c r="R16" s="21"/>
      <c r="S16" s="199"/>
    </row>
    <row r="17" spans="2:19" ht="20" customHeight="1" x14ac:dyDescent="0.25">
      <c r="B17" s="122" t="s">
        <v>107</v>
      </c>
      <c r="C17" s="21">
        <v>114.53</v>
      </c>
      <c r="D17" s="41">
        <v>35.85</v>
      </c>
      <c r="E17" s="41">
        <v>0</v>
      </c>
      <c r="F17" s="41">
        <v>0</v>
      </c>
      <c r="G17" s="41">
        <v>42.84</v>
      </c>
      <c r="H17" s="37">
        <f t="shared" si="2"/>
        <v>42.84</v>
      </c>
      <c r="I17" s="37">
        <f t="shared" si="2"/>
        <v>42.84</v>
      </c>
      <c r="J17" s="212">
        <f t="shared" si="2"/>
        <v>42.84</v>
      </c>
      <c r="L17" s="266" t="s">
        <v>25</v>
      </c>
      <c r="M17" s="259"/>
      <c r="N17" s="247"/>
      <c r="O17" s="21"/>
      <c r="P17" s="21"/>
      <c r="Q17" s="21"/>
      <c r="R17" s="21"/>
      <c r="S17" s="199"/>
    </row>
    <row r="18" spans="2:19" ht="20" customHeight="1" x14ac:dyDescent="0.25">
      <c r="B18" s="122" t="s">
        <v>84</v>
      </c>
      <c r="C18" s="16">
        <v>81.16</v>
      </c>
      <c r="D18" s="16">
        <v>88.6</v>
      </c>
      <c r="E18" s="16">
        <v>80.14</v>
      </c>
      <c r="F18" s="16">
        <v>75.19</v>
      </c>
      <c r="G18" s="16">
        <v>64.5</v>
      </c>
      <c r="H18" s="37">
        <f t="shared" si="2"/>
        <v>64.5</v>
      </c>
      <c r="I18" s="37">
        <f t="shared" si="2"/>
        <v>64.5</v>
      </c>
      <c r="J18" s="212">
        <f t="shared" si="2"/>
        <v>64.5</v>
      </c>
      <c r="L18" s="266" t="s">
        <v>25</v>
      </c>
      <c r="M18" s="259"/>
      <c r="N18" s="247"/>
      <c r="O18" s="21"/>
      <c r="P18" s="21"/>
      <c r="Q18" s="21"/>
      <c r="R18" s="21"/>
      <c r="S18" s="199"/>
    </row>
    <row r="19" spans="2:19" x14ac:dyDescent="0.25">
      <c r="B19" s="118" t="s">
        <v>86</v>
      </c>
      <c r="C19" s="18">
        <f>SUM(C15:C18)</f>
        <v>374.12</v>
      </c>
      <c r="D19" s="18">
        <f t="shared" ref="D19:J19" si="3">SUM(D15:D18)</f>
        <v>298.7</v>
      </c>
      <c r="E19" s="18">
        <f t="shared" si="3"/>
        <v>250.88</v>
      </c>
      <c r="F19" s="18">
        <f t="shared" si="3"/>
        <v>249.75</v>
      </c>
      <c r="G19" s="18">
        <f t="shared" si="3"/>
        <v>268.82000000000005</v>
      </c>
      <c r="H19" s="40">
        <f t="shared" si="3"/>
        <v>268.82000000000005</v>
      </c>
      <c r="I19" s="40">
        <f t="shared" si="3"/>
        <v>268.82000000000005</v>
      </c>
      <c r="J19" s="214">
        <f t="shared" si="3"/>
        <v>268.82000000000005</v>
      </c>
      <c r="L19" s="266"/>
      <c r="M19" s="256"/>
      <c r="N19" s="247"/>
      <c r="O19" s="21"/>
      <c r="P19" s="21"/>
      <c r="Q19" s="21"/>
      <c r="R19" s="21"/>
      <c r="S19" s="199"/>
    </row>
    <row r="20" spans="2:19" s="49" customFormat="1" ht="34.5" x14ac:dyDescent="0.25">
      <c r="B20" s="118" t="s">
        <v>87</v>
      </c>
      <c r="C20" s="18">
        <v>3451.35</v>
      </c>
      <c r="D20" s="18">
        <v>2954.47</v>
      </c>
      <c r="E20" s="18">
        <v>2555.83</v>
      </c>
      <c r="F20" s="18">
        <v>2731.7</v>
      </c>
      <c r="G20" s="18">
        <v>2368.08</v>
      </c>
      <c r="H20" s="42">
        <f>$S$20*'P&amp;L'!H8</f>
        <v>3074.7042281261561</v>
      </c>
      <c r="I20" s="42">
        <f>$S$20*'P&amp;L'!I8</f>
        <v>3294.1286939221282</v>
      </c>
      <c r="J20" s="215">
        <f>$S$20*'P&amp;L'!J8</f>
        <v>3529.2122581606163</v>
      </c>
      <c r="L20" s="269" t="s">
        <v>88</v>
      </c>
      <c r="M20" s="260" t="s">
        <v>179</v>
      </c>
      <c r="N20" s="250">
        <f>C20/'P&amp;L'!C8</f>
        <v>0.34064596744106168</v>
      </c>
      <c r="O20" s="234">
        <f>D20/'P&amp;L'!D8</f>
        <v>0.21424572700705577</v>
      </c>
      <c r="P20" s="234">
        <f>E20/'P&amp;L'!E8</f>
        <v>0.17469501525607234</v>
      </c>
      <c r="Q20" s="234">
        <f>F20/'P&amp;L'!F8</f>
        <v>0.23868460900617833</v>
      </c>
      <c r="R20" s="234">
        <f>G20/'P&amp;L'!G8</f>
        <v>0.19137531002480199</v>
      </c>
      <c r="S20" s="237">
        <f>AVERAGE(N20:R20)</f>
        <v>0.23192932574703401</v>
      </c>
    </row>
    <row r="21" spans="2:19" x14ac:dyDescent="0.25">
      <c r="B21" s="118" t="s">
        <v>89</v>
      </c>
      <c r="C21" s="18">
        <f>C19+C20+C12+C13</f>
        <v>14505.18</v>
      </c>
      <c r="D21" s="18">
        <f t="shared" ref="D21:J21" si="4">D19+D20+D12+D13</f>
        <v>15239.050000000001</v>
      </c>
      <c r="E21" s="18">
        <f t="shared" si="4"/>
        <v>15607.220000000001</v>
      </c>
      <c r="F21" s="18">
        <f t="shared" si="4"/>
        <v>17094.97</v>
      </c>
      <c r="G21" s="18">
        <f t="shared" si="4"/>
        <v>18418.810000000001</v>
      </c>
      <c r="H21" s="18">
        <f t="shared" si="4"/>
        <v>20306.524228126156</v>
      </c>
      <c r="I21" s="18">
        <f t="shared" si="4"/>
        <v>21921.38869392213</v>
      </c>
      <c r="J21" s="181">
        <f t="shared" si="4"/>
        <v>23198.882258160618</v>
      </c>
      <c r="L21" s="266"/>
      <c r="M21" s="256"/>
      <c r="N21" s="251"/>
      <c r="O21" s="21"/>
      <c r="P21" s="21"/>
      <c r="Q21" s="21"/>
      <c r="R21" s="21"/>
      <c r="S21" s="199"/>
    </row>
    <row r="22" spans="2:19" x14ac:dyDescent="0.25">
      <c r="B22" s="118" t="s">
        <v>90</v>
      </c>
      <c r="C22" s="8"/>
      <c r="D22" s="36"/>
      <c r="E22" s="36"/>
      <c r="F22" s="36"/>
      <c r="G22" s="36"/>
      <c r="H22" s="37"/>
      <c r="I22" s="37"/>
      <c r="J22" s="212"/>
      <c r="L22" s="266"/>
      <c r="M22" s="256"/>
      <c r="N22" s="247"/>
      <c r="O22" s="21"/>
      <c r="P22" s="21"/>
      <c r="Q22" s="21"/>
      <c r="R22" s="21"/>
      <c r="S22" s="199"/>
    </row>
    <row r="23" spans="2:19" ht="14.5" customHeight="1" x14ac:dyDescent="0.25">
      <c r="B23" s="118" t="s">
        <v>91</v>
      </c>
      <c r="C23" s="8"/>
      <c r="D23" s="36"/>
      <c r="E23" s="36"/>
      <c r="F23" s="36"/>
      <c r="G23" s="36"/>
      <c r="H23" s="37"/>
      <c r="I23" s="37"/>
      <c r="J23" s="212"/>
      <c r="L23" s="266"/>
      <c r="M23" s="256"/>
      <c r="N23" s="247"/>
      <c r="O23" s="21"/>
      <c r="P23" s="21"/>
      <c r="Q23" s="21"/>
      <c r="R23" s="21"/>
      <c r="S23" s="199"/>
    </row>
    <row r="24" spans="2:19" x14ac:dyDescent="0.25">
      <c r="B24" s="122" t="s">
        <v>92</v>
      </c>
      <c r="C24" s="16">
        <v>3450.14</v>
      </c>
      <c r="D24" s="16">
        <v>3702.61</v>
      </c>
      <c r="E24" s="16">
        <v>4095.48</v>
      </c>
      <c r="F24" s="16">
        <v>4158.6899999999996</v>
      </c>
      <c r="G24" s="16">
        <v>4053.98</v>
      </c>
      <c r="H24" s="37">
        <f>PPE!P12</f>
        <v>3533.9198563773152</v>
      </c>
      <c r="I24" s="37">
        <f>PPE!S12</f>
        <v>3150.5726973458668</v>
      </c>
      <c r="J24" s="212">
        <f>PPE!V12</f>
        <v>2828.6376793946897</v>
      </c>
      <c r="L24" s="266" t="s">
        <v>93</v>
      </c>
      <c r="M24" s="261" t="s">
        <v>180</v>
      </c>
      <c r="N24" s="252"/>
      <c r="O24" s="235"/>
      <c r="P24" s="235"/>
      <c r="Q24" s="21"/>
      <c r="R24" s="21"/>
      <c r="S24" s="199"/>
    </row>
    <row r="25" spans="2:19" x14ac:dyDescent="0.25">
      <c r="B25" s="122" t="s">
        <v>94</v>
      </c>
      <c r="C25" s="16">
        <v>125.58</v>
      </c>
      <c r="D25" s="16">
        <v>123.83</v>
      </c>
      <c r="E25" s="16">
        <v>140.1</v>
      </c>
      <c r="F25" s="16">
        <v>161.66</v>
      </c>
      <c r="G25" s="16">
        <v>135.33000000000001</v>
      </c>
      <c r="H25" s="37">
        <f>PPE!P19</f>
        <v>96.995349994235738</v>
      </c>
      <c r="I25" s="37">
        <f>PPE!S19</f>
        <v>70.269458501479704</v>
      </c>
      <c r="J25" s="212">
        <f>PPE!V19</f>
        <v>51.4528597071129</v>
      </c>
      <c r="L25" s="266" t="s">
        <v>93</v>
      </c>
      <c r="M25" s="261"/>
      <c r="N25" s="247"/>
      <c r="O25" s="21"/>
      <c r="P25" s="21"/>
      <c r="Q25" s="21"/>
      <c r="R25" s="21"/>
      <c r="S25" s="199"/>
    </row>
    <row r="26" spans="2:19" x14ac:dyDescent="0.25">
      <c r="B26" s="122" t="s">
        <v>95</v>
      </c>
      <c r="C26" s="16">
        <v>339</v>
      </c>
      <c r="D26" s="16">
        <v>512.80999999999995</v>
      </c>
      <c r="E26" s="16">
        <v>540.52</v>
      </c>
      <c r="F26" s="16">
        <v>435.28</v>
      </c>
      <c r="G26" s="16">
        <v>241.32</v>
      </c>
      <c r="H26" s="37">
        <f>$G$26</f>
        <v>241.32</v>
      </c>
      <c r="I26" s="37">
        <f t="shared" ref="I26:J26" si="5">$G$26</f>
        <v>241.32</v>
      </c>
      <c r="J26" s="212">
        <f t="shared" si="5"/>
        <v>241.32</v>
      </c>
      <c r="L26" s="266" t="s">
        <v>25</v>
      </c>
      <c r="M26" s="262"/>
      <c r="N26" s="247"/>
      <c r="O26" s="21"/>
      <c r="P26" s="21"/>
      <c r="Q26" s="21"/>
      <c r="R26" s="21"/>
      <c r="S26" s="199"/>
    </row>
    <row r="27" spans="2:19" x14ac:dyDescent="0.25">
      <c r="B27" s="122" t="s">
        <v>96</v>
      </c>
      <c r="C27" s="16">
        <v>21.71</v>
      </c>
      <c r="D27" s="16">
        <v>37.909999999999997</v>
      </c>
      <c r="E27" s="16">
        <v>15.25</v>
      </c>
      <c r="F27" s="16">
        <v>27.32</v>
      </c>
      <c r="G27" s="16">
        <v>56.01</v>
      </c>
      <c r="H27" s="37">
        <f>$G$27</f>
        <v>56.01</v>
      </c>
      <c r="I27" s="37">
        <f t="shared" ref="I27:J27" si="6">$G$27</f>
        <v>56.01</v>
      </c>
      <c r="J27" s="212">
        <f t="shared" si="6"/>
        <v>56.01</v>
      </c>
      <c r="L27" s="266" t="s">
        <v>25</v>
      </c>
      <c r="M27" s="262"/>
      <c r="N27" s="247"/>
      <c r="O27" s="21"/>
      <c r="P27" s="21"/>
      <c r="Q27" s="21"/>
      <c r="R27" s="21"/>
      <c r="S27" s="199"/>
    </row>
    <row r="28" spans="2:19" x14ac:dyDescent="0.25">
      <c r="B28" s="118" t="s">
        <v>58</v>
      </c>
      <c r="C28" s="18">
        <f t="shared" ref="C28:J28" si="7">SUM(C24:C27)</f>
        <v>3936.43</v>
      </c>
      <c r="D28" s="18">
        <f t="shared" si="7"/>
        <v>4377.16</v>
      </c>
      <c r="E28" s="18">
        <f t="shared" si="7"/>
        <v>4791.3500000000004</v>
      </c>
      <c r="F28" s="18">
        <f t="shared" si="7"/>
        <v>4782.9499999999989</v>
      </c>
      <c r="G28" s="18">
        <f t="shared" si="7"/>
        <v>4486.6400000000003</v>
      </c>
      <c r="H28" s="40">
        <f t="shared" si="7"/>
        <v>3928.2452063715514</v>
      </c>
      <c r="I28" s="40">
        <f t="shared" si="7"/>
        <v>3518.1721558473469</v>
      </c>
      <c r="J28" s="214">
        <f t="shared" si="7"/>
        <v>3177.4205391018031</v>
      </c>
      <c r="L28" s="266"/>
      <c r="M28" s="256"/>
      <c r="N28" s="247"/>
      <c r="O28" s="21"/>
      <c r="P28" s="21"/>
      <c r="Q28" s="21"/>
      <c r="R28" s="21"/>
      <c r="S28" s="199"/>
    </row>
    <row r="29" spans="2:19" ht="29" customHeight="1" x14ac:dyDescent="0.25">
      <c r="B29" s="122" t="s">
        <v>97</v>
      </c>
      <c r="C29" s="16">
        <v>3435.43</v>
      </c>
      <c r="D29" s="16">
        <v>3716.26</v>
      </c>
      <c r="E29" s="16">
        <v>3647.71</v>
      </c>
      <c r="F29" s="16">
        <v>3597.24</v>
      </c>
      <c r="G29" s="16">
        <v>3803.61</v>
      </c>
      <c r="H29" s="37">
        <f>$G$29</f>
        <v>3803.61</v>
      </c>
      <c r="I29" s="37">
        <f t="shared" ref="I29:J29" si="8">$G$29</f>
        <v>3803.61</v>
      </c>
      <c r="J29" s="212">
        <f t="shared" si="8"/>
        <v>3803.61</v>
      </c>
      <c r="L29" s="266" t="s">
        <v>25</v>
      </c>
      <c r="M29" s="259" t="s">
        <v>181</v>
      </c>
      <c r="N29" s="247"/>
      <c r="O29" s="21"/>
      <c r="P29" s="21"/>
      <c r="Q29" s="21"/>
      <c r="R29" s="21"/>
      <c r="S29" s="199"/>
    </row>
    <row r="30" spans="2:19" ht="29" customHeight="1" x14ac:dyDescent="0.25">
      <c r="B30" s="122" t="s">
        <v>98</v>
      </c>
      <c r="C30" s="16">
        <v>210.74</v>
      </c>
      <c r="D30" s="16">
        <v>219.37</v>
      </c>
      <c r="E30" s="16">
        <v>215.75</v>
      </c>
      <c r="F30" s="16">
        <v>233.13</v>
      </c>
      <c r="G30" s="16">
        <v>207.91</v>
      </c>
      <c r="H30" s="37">
        <f>$G$30</f>
        <v>207.91</v>
      </c>
      <c r="I30" s="37">
        <f t="shared" ref="I30:J30" si="9">$G$30</f>
        <v>207.91</v>
      </c>
      <c r="J30" s="212">
        <f t="shared" si="9"/>
        <v>207.91</v>
      </c>
      <c r="L30" s="266" t="s">
        <v>25</v>
      </c>
      <c r="M30" s="259"/>
      <c r="N30" s="247"/>
      <c r="O30" s="21"/>
      <c r="P30" s="21"/>
      <c r="Q30" s="21"/>
      <c r="R30" s="21"/>
      <c r="S30" s="199"/>
    </row>
    <row r="31" spans="2:19" ht="29" customHeight="1" x14ac:dyDescent="0.25">
      <c r="B31" s="122" t="s">
        <v>99</v>
      </c>
      <c r="C31" s="21">
        <v>380.9</v>
      </c>
      <c r="D31" s="41">
        <v>458.89</v>
      </c>
      <c r="E31" s="16">
        <v>607.06999999999994</v>
      </c>
      <c r="F31" s="16">
        <v>543.48</v>
      </c>
      <c r="G31" s="16">
        <v>442</v>
      </c>
      <c r="H31" s="37">
        <f>$G$31</f>
        <v>442</v>
      </c>
      <c r="I31" s="37">
        <f t="shared" ref="I31:J31" si="10">$G$31</f>
        <v>442</v>
      </c>
      <c r="J31" s="212">
        <f t="shared" si="10"/>
        <v>442</v>
      </c>
      <c r="L31" s="266" t="s">
        <v>25</v>
      </c>
      <c r="M31" s="259"/>
      <c r="N31" s="247"/>
      <c r="O31" s="21"/>
      <c r="P31" s="21"/>
      <c r="Q31" s="21"/>
      <c r="R31" s="21"/>
      <c r="S31" s="199"/>
    </row>
    <row r="32" spans="2:19" x14ac:dyDescent="0.25">
      <c r="B32" s="118" t="s">
        <v>100</v>
      </c>
      <c r="C32" s="18">
        <f>SUM(C28:C31)</f>
        <v>7963.4999999999991</v>
      </c>
      <c r="D32" s="18">
        <f t="shared" ref="D32:J32" si="11">SUM(D28:D31)</f>
        <v>8771.68</v>
      </c>
      <c r="E32" s="18">
        <f t="shared" si="11"/>
        <v>9261.880000000001</v>
      </c>
      <c r="F32" s="18">
        <f t="shared" si="11"/>
        <v>9156.7999999999975</v>
      </c>
      <c r="G32" s="18">
        <f t="shared" si="11"/>
        <v>8940.16</v>
      </c>
      <c r="H32" s="40">
        <f t="shared" si="11"/>
        <v>8381.7652063715504</v>
      </c>
      <c r="I32" s="40">
        <f t="shared" si="11"/>
        <v>7971.6921558473468</v>
      </c>
      <c r="J32" s="214">
        <f t="shared" si="11"/>
        <v>7630.9405391018026</v>
      </c>
      <c r="L32" s="266"/>
      <c r="M32" s="256"/>
      <c r="N32" s="247"/>
      <c r="O32" s="21"/>
      <c r="P32" s="21"/>
      <c r="Q32" s="21"/>
      <c r="R32" s="21"/>
      <c r="S32" s="199"/>
    </row>
    <row r="33" spans="2:19" x14ac:dyDescent="0.25">
      <c r="B33" s="216" t="s">
        <v>101</v>
      </c>
      <c r="C33" s="18"/>
      <c r="D33" s="18"/>
      <c r="E33" s="18"/>
      <c r="F33" s="18"/>
      <c r="G33" s="18"/>
      <c r="H33" s="40"/>
      <c r="I33" s="40"/>
      <c r="J33" s="214"/>
      <c r="L33" s="266"/>
      <c r="M33" s="256"/>
      <c r="N33" s="247"/>
      <c r="O33" s="21"/>
      <c r="P33" s="21"/>
      <c r="Q33" s="21"/>
      <c r="R33" s="21"/>
      <c r="S33" s="199"/>
    </row>
    <row r="34" spans="2:19" ht="35" thickBot="1" x14ac:dyDescent="0.3">
      <c r="B34" s="217" t="s">
        <v>102</v>
      </c>
      <c r="C34" s="16">
        <v>6477.34</v>
      </c>
      <c r="D34" s="16">
        <v>6427.61</v>
      </c>
      <c r="E34" s="16">
        <v>6300.74</v>
      </c>
      <c r="F34" s="16">
        <v>7720.72</v>
      </c>
      <c r="G34" s="16">
        <v>9414.18</v>
      </c>
      <c r="H34" s="44">
        <f>$S$34*'P&amp;L'!H8</f>
        <v>7878.6395087648079</v>
      </c>
      <c r="I34" s="44">
        <f>$S$34*'P&amp;L'!I8</f>
        <v>8440.8940012768689</v>
      </c>
      <c r="J34" s="218">
        <f>$S$34*'P&amp;L'!J8</f>
        <v>9043.2734562267087</v>
      </c>
      <c r="L34" s="270" t="s">
        <v>103</v>
      </c>
      <c r="M34" s="263" t="s">
        <v>182</v>
      </c>
      <c r="N34" s="253">
        <f>C34/'P&amp;L'!C8</f>
        <v>0.63930918357879851</v>
      </c>
      <c r="O34" s="200">
        <f>D34/'P&amp;L'!D8</f>
        <v>0.46610321897593199</v>
      </c>
      <c r="P34" s="200">
        <f>E34/'P&amp;L'!E8</f>
        <v>0.43066552565098043</v>
      </c>
      <c r="Q34" s="200">
        <f>F34/'P&amp;L'!F8</f>
        <v>0.67460447137173973</v>
      </c>
      <c r="R34" s="200">
        <f>G34/'P&amp;L'!G8</f>
        <v>0.76080268239640991</v>
      </c>
      <c r="S34" s="201">
        <f>AVERAGE(N34:R34)</f>
        <v>0.59429701639477206</v>
      </c>
    </row>
    <row r="35" spans="2:19" x14ac:dyDescent="0.25">
      <c r="B35" s="61" t="s">
        <v>104</v>
      </c>
      <c r="C35" s="211">
        <v>64.34</v>
      </c>
      <c r="D35" s="211">
        <v>39.76</v>
      </c>
      <c r="E35" s="211">
        <v>44.6</v>
      </c>
      <c r="F35" s="211">
        <v>217.45</v>
      </c>
      <c r="G35" s="211">
        <v>64.47</v>
      </c>
      <c r="H35" s="37">
        <v>4046.1195129897969</v>
      </c>
      <c r="I35" s="37">
        <v>5508.8025367979135</v>
      </c>
      <c r="J35" s="212">
        <v>6524.6682628321068</v>
      </c>
    </row>
    <row r="36" spans="2:19" s="33" customFormat="1" x14ac:dyDescent="0.25">
      <c r="B36" s="216" t="s">
        <v>105</v>
      </c>
      <c r="C36" s="18">
        <f>C35+C34</f>
        <v>6541.68</v>
      </c>
      <c r="D36" s="18">
        <f t="shared" ref="D36:J36" si="12">D35+D34</f>
        <v>6467.37</v>
      </c>
      <c r="E36" s="18">
        <f t="shared" si="12"/>
        <v>6345.34</v>
      </c>
      <c r="F36" s="18">
        <f t="shared" si="12"/>
        <v>7938.17</v>
      </c>
      <c r="G36" s="18">
        <f t="shared" si="12"/>
        <v>9478.65</v>
      </c>
      <c r="H36" s="18">
        <f t="shared" si="12"/>
        <v>11924.759021754606</v>
      </c>
      <c r="I36" s="18">
        <f t="shared" si="12"/>
        <v>13949.696538074782</v>
      </c>
      <c r="J36" s="181">
        <f t="shared" si="12"/>
        <v>15567.941719058816</v>
      </c>
      <c r="L36" s="39"/>
      <c r="M36" s="39"/>
      <c r="N36" s="45"/>
      <c r="O36" s="45"/>
      <c r="P36" s="45"/>
      <c r="Q36" s="45"/>
      <c r="R36" s="45"/>
      <c r="S36" s="46"/>
    </row>
    <row r="37" spans="2:19" ht="16" customHeight="1" thickBot="1" x14ac:dyDescent="0.3">
      <c r="B37" s="227" t="s">
        <v>106</v>
      </c>
      <c r="C37" s="228">
        <f t="shared" ref="C37:J37" si="13">C36+C32</f>
        <v>14505.18</v>
      </c>
      <c r="D37" s="228">
        <f t="shared" si="13"/>
        <v>15239.05</v>
      </c>
      <c r="E37" s="228">
        <f t="shared" si="13"/>
        <v>15607.220000000001</v>
      </c>
      <c r="F37" s="228">
        <f t="shared" si="13"/>
        <v>17094.969999999998</v>
      </c>
      <c r="G37" s="228">
        <f t="shared" si="13"/>
        <v>18418.809999999998</v>
      </c>
      <c r="H37" s="228">
        <f t="shared" si="13"/>
        <v>20306.524228126156</v>
      </c>
      <c r="I37" s="228">
        <f t="shared" si="13"/>
        <v>21921.38869392213</v>
      </c>
      <c r="J37" s="229">
        <f t="shared" si="13"/>
        <v>23198.882258160618</v>
      </c>
    </row>
    <row r="38" spans="2:19" ht="12" thickBot="1" x14ac:dyDescent="0.3">
      <c r="B38" s="230"/>
      <c r="C38" s="231">
        <f t="shared" ref="C38:J38" si="14">C21-C37</f>
        <v>0</v>
      </c>
      <c r="D38" s="231">
        <f t="shared" si="14"/>
        <v>0</v>
      </c>
      <c r="E38" s="231">
        <f t="shared" si="14"/>
        <v>0</v>
      </c>
      <c r="F38" s="231">
        <f t="shared" si="14"/>
        <v>0</v>
      </c>
      <c r="G38" s="231">
        <f t="shared" si="14"/>
        <v>0</v>
      </c>
      <c r="H38" s="232">
        <f t="shared" si="14"/>
        <v>0</v>
      </c>
      <c r="I38" s="232">
        <f t="shared" si="14"/>
        <v>0</v>
      </c>
      <c r="J38" s="233">
        <f t="shared" si="14"/>
        <v>0</v>
      </c>
    </row>
    <row r="51" spans="12:15" x14ac:dyDescent="0.25">
      <c r="L51" s="47"/>
      <c r="M51" s="47"/>
      <c r="N51" s="43"/>
      <c r="O51" s="43"/>
    </row>
    <row r="52" spans="12:15" x14ac:dyDescent="0.25">
      <c r="N52" s="43"/>
    </row>
  </sheetData>
  <mergeCells count="6">
    <mergeCell ref="M24:M25"/>
    <mergeCell ref="M26:M27"/>
    <mergeCell ref="M29:M31"/>
    <mergeCell ref="M15:M18"/>
    <mergeCell ref="B2:J2"/>
    <mergeCell ref="B4:J4"/>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D76C-72DB-4D90-81B1-BF18D29DB657}">
  <dimension ref="B1:L34"/>
  <sheetViews>
    <sheetView showGridLines="0" workbookViewId="0">
      <selection activeCell="L2" sqref="L2"/>
    </sheetView>
  </sheetViews>
  <sheetFormatPr defaultRowHeight="11.5" x14ac:dyDescent="0.25"/>
  <cols>
    <col min="1" max="1" width="2.7265625" style="50" customWidth="1"/>
    <col min="2" max="2" width="36.6328125" style="50" bestFit="1" customWidth="1"/>
    <col min="3" max="3" width="11.26953125" style="50" bestFit="1" customWidth="1"/>
    <col min="4" max="4" width="11.54296875" style="50" bestFit="1" customWidth="1"/>
    <col min="5" max="5" width="11.26953125" style="50" bestFit="1" customWidth="1"/>
    <col min="6" max="6" width="11.54296875" style="50" bestFit="1" customWidth="1"/>
    <col min="7" max="7" width="12.26953125" style="50" bestFit="1" customWidth="1"/>
    <col min="8" max="8" width="11.54296875" style="50" bestFit="1" customWidth="1"/>
    <col min="9" max="9" width="12.54296875" style="50" customWidth="1"/>
    <col min="10" max="10" width="12.26953125" style="50" bestFit="1" customWidth="1"/>
    <col min="11" max="11" width="8.7265625" style="50"/>
    <col min="12" max="12" width="25.36328125" style="50" customWidth="1"/>
    <col min="13" max="16384" width="8.7265625" style="50"/>
  </cols>
  <sheetData>
    <row r="1" spans="2:12" ht="12" thickBot="1" x14ac:dyDescent="0.3"/>
    <row r="2" spans="2:12" ht="12" thickBot="1" x14ac:dyDescent="0.3">
      <c r="B2" s="294" t="s">
        <v>108</v>
      </c>
      <c r="C2" s="295">
        <v>42064</v>
      </c>
      <c r="D2" s="295">
        <v>42430</v>
      </c>
      <c r="E2" s="295">
        <v>42795</v>
      </c>
      <c r="F2" s="295">
        <v>43160</v>
      </c>
      <c r="G2" s="295">
        <v>43525</v>
      </c>
      <c r="H2" s="295">
        <v>43891</v>
      </c>
      <c r="I2" s="295">
        <v>44256</v>
      </c>
      <c r="J2" s="296">
        <v>44621</v>
      </c>
      <c r="L2" s="51"/>
    </row>
    <row r="3" spans="2:12" x14ac:dyDescent="0.25">
      <c r="B3" s="291" t="s">
        <v>109</v>
      </c>
      <c r="C3" s="292">
        <f>'P&amp;L'!C31</f>
        <v>1181.0900000000011</v>
      </c>
      <c r="D3" s="292">
        <f>'P&amp;L'!D31</f>
        <v>1395.4400000000005</v>
      </c>
      <c r="E3" s="292">
        <f>'P&amp;L'!E31</f>
        <v>1042.4100000000001</v>
      </c>
      <c r="F3" s="292">
        <f>'P&amp;L'!F31</f>
        <v>1468.5199999999982</v>
      </c>
      <c r="G3" s="292">
        <f>'P&amp;L'!G31</f>
        <v>1888.4099999999999</v>
      </c>
      <c r="H3" s="292">
        <f>'P&amp;L'!H31</f>
        <v>1849.7721976825137</v>
      </c>
      <c r="I3" s="292">
        <f>'P&amp;L'!I31</f>
        <v>2013.4018572197226</v>
      </c>
      <c r="J3" s="293">
        <f>'P&amp;L'!J31</f>
        <v>2165.4386171865376</v>
      </c>
      <c r="L3" s="53"/>
    </row>
    <row r="4" spans="2:12" x14ac:dyDescent="0.25">
      <c r="B4" s="281" t="s">
        <v>110</v>
      </c>
      <c r="C4" s="52"/>
      <c r="D4" s="52"/>
      <c r="E4" s="52"/>
      <c r="F4" s="52"/>
      <c r="G4" s="52"/>
      <c r="H4" s="52"/>
      <c r="I4" s="52"/>
      <c r="J4" s="282"/>
      <c r="L4" s="53"/>
    </row>
    <row r="5" spans="2:12" x14ac:dyDescent="0.25">
      <c r="B5" s="281" t="s">
        <v>59</v>
      </c>
      <c r="C5" s="52">
        <f>'P&amp;L'!C19</f>
        <v>433.2</v>
      </c>
      <c r="D5" s="52">
        <f>'P&amp;L'!D19</f>
        <v>754.22</v>
      </c>
      <c r="E5" s="52">
        <f>'P&amp;L'!E19</f>
        <v>1322.93</v>
      </c>
      <c r="F5" s="52">
        <f>'P&amp;L'!F19</f>
        <v>529.61</v>
      </c>
      <c r="G5" s="52">
        <f>'P&amp;L'!G19</f>
        <v>569.72</v>
      </c>
      <c r="H5" s="52">
        <f>'P&amp;L'!H19</f>
        <v>496.39479362844895</v>
      </c>
      <c r="I5" s="52">
        <f>'P&amp;L'!I19</f>
        <v>410.07305052420458</v>
      </c>
      <c r="J5" s="282">
        <f>'P&amp;L'!J19</f>
        <v>340.75161674554442</v>
      </c>
      <c r="L5" s="53"/>
    </row>
    <row r="6" spans="2:12" x14ac:dyDescent="0.25">
      <c r="B6" s="281" t="s">
        <v>111</v>
      </c>
      <c r="C6" s="52">
        <f>'P&amp;L'!C18</f>
        <v>136.05000000000001</v>
      </c>
      <c r="D6" s="52">
        <f>'P&amp;L'!D18</f>
        <v>206.63</v>
      </c>
      <c r="E6" s="52">
        <f>'P&amp;L'!E18</f>
        <v>159.38</v>
      </c>
      <c r="F6" s="52">
        <f>'P&amp;L'!F18</f>
        <v>11.9</v>
      </c>
      <c r="G6" s="52">
        <f>'P&amp;L'!G18</f>
        <v>16.97</v>
      </c>
      <c r="H6" s="52">
        <f>'P&amp;L'!H18</f>
        <v>16.97</v>
      </c>
      <c r="I6" s="52">
        <f>'P&amp;L'!I18</f>
        <v>16.97</v>
      </c>
      <c r="J6" s="282">
        <f>'P&amp;L'!J18</f>
        <v>16.97</v>
      </c>
      <c r="L6" s="53"/>
    </row>
    <row r="7" spans="2:12" x14ac:dyDescent="0.25">
      <c r="B7" s="281" t="s">
        <v>112</v>
      </c>
      <c r="C7" s="52"/>
      <c r="D7" s="52"/>
      <c r="E7" s="52"/>
      <c r="F7" s="52"/>
      <c r="G7" s="52"/>
      <c r="H7" s="52"/>
      <c r="I7" s="52"/>
      <c r="J7" s="282"/>
      <c r="L7" s="53"/>
    </row>
    <row r="8" spans="2:12" x14ac:dyDescent="0.25">
      <c r="B8" s="281" t="s">
        <v>113</v>
      </c>
      <c r="C8" s="52">
        <f>'P&amp;L'!C9</f>
        <v>147.91</v>
      </c>
      <c r="D8" s="52">
        <f>'P&amp;L'!D9</f>
        <v>208.21</v>
      </c>
      <c r="E8" s="52">
        <f>'P&amp;L'!E9</f>
        <v>228.69</v>
      </c>
      <c r="F8" s="52">
        <f>'P&amp;L'!F9</f>
        <v>334.88</v>
      </c>
      <c r="G8" s="52">
        <f>'P&amp;L'!G9</f>
        <v>577.52</v>
      </c>
      <c r="H8" s="52">
        <f>'P&amp;L'!H9</f>
        <v>299.44200000000001</v>
      </c>
      <c r="I8" s="52">
        <f>'P&amp;L'!I9</f>
        <v>299.44200000000001</v>
      </c>
      <c r="J8" s="282">
        <f>'P&amp;L'!J9</f>
        <v>299.44200000000001</v>
      </c>
      <c r="L8" s="53"/>
    </row>
    <row r="9" spans="2:12" x14ac:dyDescent="0.25">
      <c r="B9" s="281" t="s">
        <v>114</v>
      </c>
      <c r="C9" s="52"/>
      <c r="D9" s="52"/>
      <c r="E9" s="52"/>
      <c r="F9" s="52"/>
      <c r="G9" s="52"/>
      <c r="H9" s="52"/>
      <c r="I9" s="52"/>
      <c r="J9" s="282"/>
      <c r="L9" s="53"/>
    </row>
    <row r="10" spans="2:12" x14ac:dyDescent="0.25">
      <c r="B10" s="281" t="s">
        <v>115</v>
      </c>
      <c r="C10" s="52">
        <f>258.85+2511.16+1728.1+515.56+38.26-384.11-328.2-2058.91-589.96-153.72</f>
        <v>1537.0300000000009</v>
      </c>
      <c r="D10" s="52">
        <f>'Balance Sheet'!C34-'Balance Sheet'!D34</f>
        <v>49.730000000000473</v>
      </c>
      <c r="E10" s="52">
        <f>'Balance Sheet'!D34-'Balance Sheet'!E34</f>
        <v>126.86999999999989</v>
      </c>
      <c r="F10" s="52">
        <f>'Balance Sheet'!E34-'Balance Sheet'!F34</f>
        <v>-1419.9800000000005</v>
      </c>
      <c r="G10" s="52">
        <f>'Balance Sheet'!F34-'Balance Sheet'!G34</f>
        <v>-1693.46</v>
      </c>
      <c r="H10" s="52">
        <f>'Balance Sheet'!G34-'Balance Sheet'!H34</f>
        <v>1535.5404912351923</v>
      </c>
      <c r="I10" s="52">
        <f>'Balance Sheet'!H34-'Balance Sheet'!I34</f>
        <v>-562.25449251206101</v>
      </c>
      <c r="J10" s="282">
        <f>'Balance Sheet'!I34-'Balance Sheet'!J34</f>
        <v>-602.37945494983978</v>
      </c>
      <c r="L10" s="53"/>
    </row>
    <row r="11" spans="2:12" x14ac:dyDescent="0.25">
      <c r="B11" s="281" t="s">
        <v>116</v>
      </c>
      <c r="C11" s="52">
        <f>1380.2+1496.6+352.42+349.52-876.91-962.56-333.2-244.07</f>
        <v>1162.0000000000005</v>
      </c>
      <c r="D11" s="52">
        <f>'Balance Sheet'!D20-'Balance Sheet'!C20</f>
        <v>-496.88000000000011</v>
      </c>
      <c r="E11" s="52">
        <f>'Balance Sheet'!E20-'Balance Sheet'!D20</f>
        <v>-398.63999999999987</v>
      </c>
      <c r="F11" s="52">
        <f>'Balance Sheet'!F20-'Balance Sheet'!E20</f>
        <v>175.86999999999989</v>
      </c>
      <c r="G11" s="52">
        <f>'Balance Sheet'!G20-'Balance Sheet'!F20</f>
        <v>-363.61999999999989</v>
      </c>
      <c r="H11" s="52">
        <f>'Balance Sheet'!H20-'Balance Sheet'!G20</f>
        <v>706.62422812615614</v>
      </c>
      <c r="I11" s="52">
        <f>'Balance Sheet'!I20-'Balance Sheet'!H20</f>
        <v>219.42446579597208</v>
      </c>
      <c r="J11" s="282">
        <f>'Balance Sheet'!J20-'Balance Sheet'!I20</f>
        <v>235.08356423848818</v>
      </c>
      <c r="L11" s="53"/>
    </row>
    <row r="12" spans="2:12" x14ac:dyDescent="0.25">
      <c r="B12" s="281"/>
      <c r="C12" s="52"/>
      <c r="D12" s="52"/>
      <c r="E12" s="52"/>
      <c r="F12" s="52"/>
      <c r="G12" s="52"/>
      <c r="H12" s="52"/>
      <c r="I12" s="52"/>
      <c r="J12" s="282"/>
      <c r="L12" s="53"/>
    </row>
    <row r="13" spans="2:12" s="55" customFormat="1" x14ac:dyDescent="0.25">
      <c r="B13" s="283" t="s">
        <v>117</v>
      </c>
      <c r="C13" s="54">
        <f>SUM(C3:C11)</f>
        <v>4597.2800000000025</v>
      </c>
      <c r="D13" s="54">
        <f t="shared" ref="D13:J13" si="0">SUM(D3:D11)</f>
        <v>2117.3500000000013</v>
      </c>
      <c r="E13" s="54">
        <f t="shared" si="0"/>
        <v>2481.6400000000003</v>
      </c>
      <c r="F13" s="54">
        <f t="shared" si="0"/>
        <v>1100.7999999999979</v>
      </c>
      <c r="G13" s="54">
        <f t="shared" si="0"/>
        <v>995.54</v>
      </c>
      <c r="H13" s="54">
        <f t="shared" si="0"/>
        <v>4904.7437106723119</v>
      </c>
      <c r="I13" s="54">
        <f t="shared" si="0"/>
        <v>2397.0568810278382</v>
      </c>
      <c r="J13" s="284">
        <f t="shared" si="0"/>
        <v>2455.3063432207305</v>
      </c>
      <c r="L13" s="53"/>
    </row>
    <row r="14" spans="2:12" s="55" customFormat="1" x14ac:dyDescent="0.25">
      <c r="B14" s="283"/>
      <c r="C14" s="54"/>
      <c r="D14" s="54"/>
      <c r="E14" s="54"/>
      <c r="F14" s="54"/>
      <c r="G14" s="54"/>
      <c r="H14" s="54"/>
      <c r="I14" s="54"/>
      <c r="J14" s="284"/>
      <c r="L14" s="53"/>
    </row>
    <row r="15" spans="2:12" ht="12" thickBot="1" x14ac:dyDescent="0.3">
      <c r="B15" s="283" t="s">
        <v>118</v>
      </c>
      <c r="C15" s="56"/>
      <c r="D15" s="56"/>
      <c r="E15" s="56"/>
      <c r="F15" s="56"/>
      <c r="G15" s="56"/>
      <c r="H15" s="56"/>
      <c r="I15" s="56"/>
      <c r="J15" s="285"/>
      <c r="L15" s="53"/>
    </row>
    <row r="16" spans="2:12" ht="12" thickBot="1" x14ac:dyDescent="0.3">
      <c r="B16" s="281" t="s">
        <v>119</v>
      </c>
      <c r="C16" s="52">
        <f>PPE!C29</f>
        <v>-468.75</v>
      </c>
      <c r="D16" s="52">
        <f>PPE!D29</f>
        <v>-1194.9500000000003</v>
      </c>
      <c r="E16" s="52">
        <f>PPE!E29</f>
        <v>-1737.1200000000008</v>
      </c>
      <c r="F16" s="52">
        <f>PPE!F29</f>
        <v>-521.20999999999822</v>
      </c>
      <c r="G16" s="52">
        <f>PPE!G29</f>
        <v>-273.41000000000167</v>
      </c>
      <c r="H16" s="52">
        <f>PPE!H29</f>
        <v>62</v>
      </c>
      <c r="I16" s="52">
        <f>PPE!I29</f>
        <v>0</v>
      </c>
      <c r="J16" s="282">
        <f>PPE!J29</f>
        <v>0</v>
      </c>
      <c r="L16" s="303" t="s">
        <v>93</v>
      </c>
    </row>
    <row r="17" spans="2:12" x14ac:dyDescent="0.25">
      <c r="B17" s="281" t="s">
        <v>120</v>
      </c>
      <c r="C17" s="52">
        <f>-C8</f>
        <v>-147.91</v>
      </c>
      <c r="D17" s="52">
        <f t="shared" ref="D17:J17" si="1">-D8</f>
        <v>-208.21</v>
      </c>
      <c r="E17" s="52">
        <f t="shared" si="1"/>
        <v>-228.69</v>
      </c>
      <c r="F17" s="52">
        <f t="shared" si="1"/>
        <v>-334.88</v>
      </c>
      <c r="G17" s="52">
        <f t="shared" si="1"/>
        <v>-577.52</v>
      </c>
      <c r="H17" s="52">
        <f t="shared" si="1"/>
        <v>-299.44200000000001</v>
      </c>
      <c r="I17" s="52">
        <f t="shared" si="1"/>
        <v>-299.44200000000001</v>
      </c>
      <c r="J17" s="282">
        <f t="shared" si="1"/>
        <v>-299.44200000000001</v>
      </c>
      <c r="L17" s="53"/>
    </row>
    <row r="18" spans="2:12" s="55" customFormat="1" x14ac:dyDescent="0.25">
      <c r="B18" s="283" t="s">
        <v>121</v>
      </c>
      <c r="C18" s="54">
        <f>C16+C17</f>
        <v>-616.66</v>
      </c>
      <c r="D18" s="54">
        <f t="shared" ref="D18:J18" si="2">D16+D17</f>
        <v>-1403.1600000000003</v>
      </c>
      <c r="E18" s="54">
        <f t="shared" si="2"/>
        <v>-1965.8100000000009</v>
      </c>
      <c r="F18" s="54">
        <f t="shared" si="2"/>
        <v>-856.08999999999821</v>
      </c>
      <c r="G18" s="54">
        <f t="shared" si="2"/>
        <v>-850.93000000000166</v>
      </c>
      <c r="H18" s="54">
        <f t="shared" si="2"/>
        <v>-237.44200000000001</v>
      </c>
      <c r="I18" s="54">
        <f t="shared" si="2"/>
        <v>-299.44200000000001</v>
      </c>
      <c r="J18" s="284">
        <f t="shared" si="2"/>
        <v>-299.44200000000001</v>
      </c>
      <c r="L18" s="53"/>
    </row>
    <row r="19" spans="2:12" s="55" customFormat="1" x14ac:dyDescent="0.25">
      <c r="B19" s="283"/>
      <c r="C19" s="54"/>
      <c r="D19" s="54"/>
      <c r="E19" s="54"/>
      <c r="F19" s="54"/>
      <c r="G19" s="54"/>
      <c r="H19" s="54"/>
      <c r="I19" s="54"/>
      <c r="J19" s="284"/>
      <c r="L19" s="53"/>
    </row>
    <row r="20" spans="2:12" s="55" customFormat="1" ht="12" thickBot="1" x14ac:dyDescent="0.3">
      <c r="B20" s="283" t="s">
        <v>122</v>
      </c>
      <c r="C20" s="54"/>
      <c r="D20" s="54"/>
      <c r="E20" s="54"/>
      <c r="F20" s="54"/>
      <c r="G20" s="54"/>
      <c r="H20" s="54"/>
      <c r="I20" s="54"/>
      <c r="J20" s="284"/>
      <c r="L20" s="53"/>
    </row>
    <row r="21" spans="2:12" ht="12" thickBot="1" x14ac:dyDescent="0.3">
      <c r="B21" s="281" t="s">
        <v>123</v>
      </c>
      <c r="C21" s="52">
        <f>'Net Worth'!C11</f>
        <v>3634</v>
      </c>
      <c r="D21" s="52">
        <f>'Net Worth'!D11</f>
        <v>89.270000000000437</v>
      </c>
      <c r="E21" s="52">
        <f>'Net Worth'!E11</f>
        <v>227.78000000000065</v>
      </c>
      <c r="F21" s="52">
        <f>'Net Worth'!F11</f>
        <v>155.5099999999984</v>
      </c>
      <c r="G21" s="52">
        <f>'Net Worth'!G11</f>
        <v>220.02000000000044</v>
      </c>
      <c r="H21" s="52">
        <f>'Net Worth'!H11</f>
        <v>668.68219768251402</v>
      </c>
      <c r="I21" s="52">
        <f>'Net Worth'!I11</f>
        <v>617.9618572197196</v>
      </c>
      <c r="J21" s="282">
        <f>'Net Worth'!J11</f>
        <v>1123.0286171865373</v>
      </c>
      <c r="L21" s="303" t="s">
        <v>125</v>
      </c>
    </row>
    <row r="22" spans="2:12" x14ac:dyDescent="0.25">
      <c r="B22" s="286" t="s">
        <v>124</v>
      </c>
      <c r="C22" s="52">
        <f>0.41+330.59+40+151.93-0.43-311.2-30-73.99</f>
        <v>107.31000000000013</v>
      </c>
      <c r="D22" s="52">
        <f>'Balance Sheet'!D19-'Balance Sheet'!C19</f>
        <v>-75.420000000000016</v>
      </c>
      <c r="E22" s="52">
        <f>'Balance Sheet'!E19-'Balance Sheet'!D19</f>
        <v>-47.819999999999993</v>
      </c>
      <c r="F22" s="52">
        <f>'Balance Sheet'!F19-'Balance Sheet'!E19</f>
        <v>-1.1299999999999955</v>
      </c>
      <c r="G22" s="52">
        <f>'Balance Sheet'!G19-'Balance Sheet'!F19</f>
        <v>19.07000000000005</v>
      </c>
      <c r="H22" s="52">
        <f>'Balance Sheet'!H19-'Balance Sheet'!G19</f>
        <v>0</v>
      </c>
      <c r="I22" s="52">
        <f>'Balance Sheet'!I19-'Balance Sheet'!H19</f>
        <v>0</v>
      </c>
      <c r="J22" s="282">
        <f>'Balance Sheet'!J19-'Balance Sheet'!I19</f>
        <v>0</v>
      </c>
      <c r="L22" s="53"/>
    </row>
    <row r="23" spans="2:12" x14ac:dyDescent="0.25">
      <c r="B23" s="286" t="s">
        <v>126</v>
      </c>
      <c r="C23" s="52">
        <f t="shared" ref="C23:J23" si="3">-C6</f>
        <v>-136.05000000000001</v>
      </c>
      <c r="D23" s="52">
        <f t="shared" si="3"/>
        <v>-206.63</v>
      </c>
      <c r="E23" s="52">
        <f t="shared" si="3"/>
        <v>-159.38</v>
      </c>
      <c r="F23" s="52">
        <f t="shared" si="3"/>
        <v>-11.9</v>
      </c>
      <c r="G23" s="52">
        <f t="shared" si="3"/>
        <v>-16.97</v>
      </c>
      <c r="H23" s="52">
        <f t="shared" si="3"/>
        <v>-16.97</v>
      </c>
      <c r="I23" s="52">
        <f t="shared" si="3"/>
        <v>-16.97</v>
      </c>
      <c r="J23" s="282">
        <f t="shared" si="3"/>
        <v>-16.97</v>
      </c>
      <c r="L23" s="53"/>
    </row>
    <row r="24" spans="2:12" x14ac:dyDescent="0.25">
      <c r="B24" s="287" t="s">
        <v>127</v>
      </c>
      <c r="C24" s="54">
        <f t="shared" ref="C24:J24" si="4">SUM(C21:C23)</f>
        <v>3605.2599999999998</v>
      </c>
      <c r="D24" s="54">
        <f t="shared" si="4"/>
        <v>-192.77999999999957</v>
      </c>
      <c r="E24" s="54">
        <f t="shared" si="4"/>
        <v>20.580000000000666</v>
      </c>
      <c r="F24" s="54">
        <f t="shared" si="4"/>
        <v>142.4799999999984</v>
      </c>
      <c r="G24" s="54">
        <f t="shared" si="4"/>
        <v>222.12000000000049</v>
      </c>
      <c r="H24" s="54">
        <f t="shared" si="4"/>
        <v>651.71219768251399</v>
      </c>
      <c r="I24" s="54">
        <f t="shared" si="4"/>
        <v>600.99185721971958</v>
      </c>
      <c r="J24" s="284">
        <f t="shared" si="4"/>
        <v>1106.0586171865373</v>
      </c>
      <c r="L24" s="53"/>
    </row>
    <row r="25" spans="2:12" ht="12" thickBot="1" x14ac:dyDescent="0.3">
      <c r="B25" s="288" t="s">
        <v>128</v>
      </c>
      <c r="C25" s="289">
        <f t="shared" ref="C25:J25" si="5">C13+C18+C24</f>
        <v>7585.8800000000028</v>
      </c>
      <c r="D25" s="289">
        <f t="shared" si="5"/>
        <v>521.41000000000145</v>
      </c>
      <c r="E25" s="289">
        <f t="shared" si="5"/>
        <v>536.41000000000008</v>
      </c>
      <c r="F25" s="289">
        <f t="shared" si="5"/>
        <v>387.18999999999812</v>
      </c>
      <c r="G25" s="289">
        <f t="shared" si="5"/>
        <v>366.72999999999877</v>
      </c>
      <c r="H25" s="289">
        <f t="shared" si="5"/>
        <v>5319.0139083548256</v>
      </c>
      <c r="I25" s="289">
        <f t="shared" si="5"/>
        <v>2698.6067382475576</v>
      </c>
      <c r="J25" s="290">
        <f t="shared" si="5"/>
        <v>3261.922960407268</v>
      </c>
      <c r="L25" s="53"/>
    </row>
    <row r="26" spans="2:12" x14ac:dyDescent="0.25">
      <c r="B26" s="297"/>
      <c r="C26" s="298"/>
      <c r="D26" s="298"/>
      <c r="E26" s="298"/>
      <c r="F26" s="298"/>
      <c r="G26" s="298"/>
      <c r="H26" s="298"/>
      <c r="I26" s="298"/>
      <c r="J26" s="299"/>
    </row>
    <row r="27" spans="2:12" ht="12" thickBot="1" x14ac:dyDescent="0.3">
      <c r="B27" s="300"/>
      <c r="C27" s="301"/>
      <c r="D27" s="301"/>
      <c r="E27" s="301"/>
      <c r="F27" s="301"/>
      <c r="G27" s="301"/>
      <c r="H27" s="301"/>
      <c r="I27" s="301"/>
      <c r="J27" s="302"/>
    </row>
    <row r="28" spans="2:12" ht="12" thickBot="1" x14ac:dyDescent="0.3">
      <c r="B28" s="294" t="s">
        <v>129</v>
      </c>
      <c r="C28" s="295">
        <v>42064</v>
      </c>
      <c r="D28" s="295">
        <v>42430</v>
      </c>
      <c r="E28" s="295">
        <v>42795</v>
      </c>
      <c r="F28" s="295">
        <v>43160</v>
      </c>
      <c r="G28" s="295">
        <v>43525</v>
      </c>
      <c r="H28" s="295">
        <v>43891</v>
      </c>
      <c r="I28" s="295">
        <v>44256</v>
      </c>
      <c r="J28" s="296">
        <v>44621</v>
      </c>
      <c r="L28" s="53"/>
    </row>
    <row r="29" spans="2:12" x14ac:dyDescent="0.25">
      <c r="B29" s="291" t="s">
        <v>130</v>
      </c>
      <c r="C29" s="292">
        <f>'P&amp;L'!C26+'P&amp;L'!C19</f>
        <v>1973.1700000000012</v>
      </c>
      <c r="D29" s="292">
        <f>'P&amp;L'!D26+'P&amp;L'!D19</f>
        <v>2481.2500000000009</v>
      </c>
      <c r="E29" s="292">
        <f>'P&amp;L'!E26+'P&amp;L'!E19</f>
        <v>2545.1000000000004</v>
      </c>
      <c r="F29" s="292">
        <f>'P&amp;L'!F26+'P&amp;L'!F19</f>
        <v>2441.0099999999984</v>
      </c>
      <c r="G29" s="292">
        <f>'P&amp;L'!G26+'P&amp;L'!G19</f>
        <v>3062.55</v>
      </c>
      <c r="H29" s="292">
        <f>'P&amp;L'!H26+'P&amp;L'!H19</f>
        <v>2835.6839101468026</v>
      </c>
      <c r="I29" s="292">
        <f>'P&amp;L'!I26+'P&amp;L'!I19</f>
        <v>2956.2941785489256</v>
      </c>
      <c r="J29" s="293">
        <f>'P&amp;L'!J26+'P&amp;L'!J19</f>
        <v>3079.2439543530827</v>
      </c>
      <c r="L29" s="53"/>
    </row>
    <row r="30" spans="2:12" x14ac:dyDescent="0.25">
      <c r="B30" s="281" t="s">
        <v>131</v>
      </c>
      <c r="C30" s="52">
        <f>'P&amp;L'!C30</f>
        <v>358.88</v>
      </c>
      <c r="D30" s="52">
        <f>'P&amp;L'!D30</f>
        <v>331.59000000000003</v>
      </c>
      <c r="E30" s="52">
        <f>'P&amp;L'!E30</f>
        <v>179.76</v>
      </c>
      <c r="F30" s="52">
        <f>'P&amp;L'!F30</f>
        <v>442.88</v>
      </c>
      <c r="G30" s="52">
        <f>'P&amp;L'!G30</f>
        <v>604.41999999999996</v>
      </c>
      <c r="H30" s="52">
        <f>'P&amp;L'!H30</f>
        <v>489.51691883583999</v>
      </c>
      <c r="I30" s="52">
        <f>'P&amp;L'!I30</f>
        <v>532.8192708049985</v>
      </c>
      <c r="J30" s="282">
        <f>'P&amp;L'!J30</f>
        <v>573.053720421001</v>
      </c>
      <c r="L30" s="53"/>
    </row>
    <row r="31" spans="2:12" x14ac:dyDescent="0.25">
      <c r="B31" s="281" t="s">
        <v>59</v>
      </c>
      <c r="C31" s="52">
        <f t="shared" ref="C31:J31" si="6">C5</f>
        <v>433.2</v>
      </c>
      <c r="D31" s="52">
        <f t="shared" si="6"/>
        <v>754.22</v>
      </c>
      <c r="E31" s="52">
        <f t="shared" si="6"/>
        <v>1322.93</v>
      </c>
      <c r="F31" s="52">
        <f t="shared" si="6"/>
        <v>529.61</v>
      </c>
      <c r="G31" s="52">
        <f t="shared" si="6"/>
        <v>569.72</v>
      </c>
      <c r="H31" s="52">
        <f t="shared" si="6"/>
        <v>496.39479362844895</v>
      </c>
      <c r="I31" s="52">
        <f t="shared" si="6"/>
        <v>410.07305052420458</v>
      </c>
      <c r="J31" s="282">
        <f t="shared" si="6"/>
        <v>340.75161674554442</v>
      </c>
      <c r="L31" s="53"/>
    </row>
    <row r="32" spans="2:12" x14ac:dyDescent="0.25">
      <c r="B32" s="281" t="s">
        <v>132</v>
      </c>
      <c r="C32" s="52">
        <f t="shared" ref="C32:J32" si="7">C10+C11</f>
        <v>2699.0300000000016</v>
      </c>
      <c r="D32" s="52">
        <f t="shared" si="7"/>
        <v>-447.14999999999964</v>
      </c>
      <c r="E32" s="52">
        <f t="shared" si="7"/>
        <v>-271.77</v>
      </c>
      <c r="F32" s="52">
        <f t="shared" si="7"/>
        <v>-1244.1100000000006</v>
      </c>
      <c r="G32" s="52">
        <f t="shared" si="7"/>
        <v>-2057.08</v>
      </c>
      <c r="H32" s="52">
        <f t="shared" si="7"/>
        <v>2242.1647193613485</v>
      </c>
      <c r="I32" s="52">
        <f t="shared" si="7"/>
        <v>-342.83002671608892</v>
      </c>
      <c r="J32" s="282">
        <f t="shared" si="7"/>
        <v>-367.2958907113516</v>
      </c>
      <c r="L32" s="53"/>
    </row>
    <row r="33" spans="2:12" x14ac:dyDescent="0.25">
      <c r="B33" s="281" t="s">
        <v>133</v>
      </c>
      <c r="C33" s="52">
        <f t="shared" ref="C33:J33" si="8">C16</f>
        <v>-468.75</v>
      </c>
      <c r="D33" s="52">
        <f t="shared" si="8"/>
        <v>-1194.9500000000003</v>
      </c>
      <c r="E33" s="52">
        <f t="shared" si="8"/>
        <v>-1737.1200000000008</v>
      </c>
      <c r="F33" s="52">
        <f t="shared" si="8"/>
        <v>-521.20999999999822</v>
      </c>
      <c r="G33" s="52">
        <f t="shared" si="8"/>
        <v>-273.41000000000167</v>
      </c>
      <c r="H33" s="52">
        <f t="shared" si="8"/>
        <v>62</v>
      </c>
      <c r="I33" s="52">
        <f t="shared" si="8"/>
        <v>0</v>
      </c>
      <c r="J33" s="282">
        <f t="shared" si="8"/>
        <v>0</v>
      </c>
      <c r="L33" s="53"/>
    </row>
    <row r="34" spans="2:12" ht="12" thickBot="1" x14ac:dyDescent="0.3">
      <c r="B34" s="288" t="s">
        <v>134</v>
      </c>
      <c r="C34" s="289">
        <f>SUM(C29:C33)</f>
        <v>4995.5300000000025</v>
      </c>
      <c r="D34" s="289">
        <f t="shared" ref="D34:J34" si="9">SUM(D29:D33)</f>
        <v>1924.9600000000014</v>
      </c>
      <c r="E34" s="289">
        <f t="shared" si="9"/>
        <v>2038.9</v>
      </c>
      <c r="F34" s="289">
        <f t="shared" si="9"/>
        <v>1648.1799999999998</v>
      </c>
      <c r="G34" s="289">
        <f t="shared" si="9"/>
        <v>1906.1999999999989</v>
      </c>
      <c r="H34" s="289">
        <f t="shared" si="9"/>
        <v>6125.7603419724401</v>
      </c>
      <c r="I34" s="289">
        <f t="shared" si="9"/>
        <v>3556.3564731620395</v>
      </c>
      <c r="J34" s="290">
        <f t="shared" si="9"/>
        <v>3625.7534008082766</v>
      </c>
      <c r="L34" s="53"/>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B5D5C-B550-4A13-8638-B86ACA1D651D}">
  <dimension ref="A1:O73"/>
  <sheetViews>
    <sheetView showGridLines="0" topLeftCell="A2" workbookViewId="0">
      <selection activeCell="C11" sqref="C11:H11"/>
    </sheetView>
  </sheetViews>
  <sheetFormatPr defaultColWidth="0" defaultRowHeight="11.5" zeroHeight="1" x14ac:dyDescent="0.25"/>
  <cols>
    <col min="1" max="1" width="3.90625" style="1" customWidth="1"/>
    <col min="2" max="2" width="31.90625" style="1" bestFit="1" customWidth="1"/>
    <col min="3" max="3" width="12.6328125" style="1" bestFit="1" customWidth="1"/>
    <col min="4" max="6" width="11.7265625" style="1" bestFit="1" customWidth="1"/>
    <col min="7" max="7" width="18.36328125" style="1" bestFit="1" customWidth="1"/>
    <col min="8" max="8" width="11.453125" style="1" bestFit="1" customWidth="1"/>
    <col min="9" max="9" width="10.36328125" style="1" bestFit="1" customWidth="1"/>
    <col min="10" max="10" width="13.26953125" style="1" bestFit="1" customWidth="1"/>
    <col min="11" max="11" width="16.26953125" style="1" bestFit="1" customWidth="1"/>
    <col min="12" max="12" width="20.453125" style="1" hidden="1" customWidth="1"/>
    <col min="13" max="13" width="8.7265625" style="1" hidden="1" customWidth="1"/>
    <col min="14" max="14" width="21" style="1" hidden="1" customWidth="1"/>
    <col min="15" max="15" width="0" style="1" hidden="1" customWidth="1"/>
    <col min="16" max="16384" width="8.7265625" style="1" hidden="1"/>
  </cols>
  <sheetData>
    <row r="1" spans="2:15" x14ac:dyDescent="0.25"/>
    <row r="2" spans="2:15" ht="18" x14ac:dyDescent="0.4">
      <c r="B2" s="164" t="s">
        <v>138</v>
      </c>
      <c r="C2" s="164"/>
      <c r="D2" s="164"/>
      <c r="E2" s="164"/>
      <c r="F2" s="164"/>
      <c r="G2" s="164"/>
      <c r="H2" s="164"/>
    </row>
    <row r="3" spans="2:15" ht="12" thickBot="1" x14ac:dyDescent="0.3"/>
    <row r="4" spans="2:15" ht="12" thickBot="1" x14ac:dyDescent="0.3">
      <c r="B4" s="165" t="s">
        <v>139</v>
      </c>
      <c r="C4" s="166"/>
      <c r="D4" s="166"/>
      <c r="E4" s="166"/>
      <c r="F4" s="166"/>
      <c r="G4" s="166"/>
      <c r="H4" s="167"/>
      <c r="I4" s="62"/>
    </row>
    <row r="5" spans="2:15" x14ac:dyDescent="0.25">
      <c r="B5" s="63"/>
      <c r="C5" s="64">
        <v>42064</v>
      </c>
      <c r="D5" s="64">
        <v>42430</v>
      </c>
      <c r="E5" s="64">
        <v>42795</v>
      </c>
      <c r="F5" s="64">
        <v>43160</v>
      </c>
      <c r="G5" s="64">
        <v>43525</v>
      </c>
      <c r="H5" s="63" t="s">
        <v>14</v>
      </c>
    </row>
    <row r="6" spans="2:15" x14ac:dyDescent="0.25">
      <c r="B6" s="65" t="s">
        <v>140</v>
      </c>
      <c r="C6" s="37">
        <f>'Balance Sheet'!C12/('Balance Sheet'!C12+'Balance Sheet'!C19)</f>
        <v>0.96615471741468784</v>
      </c>
      <c r="D6" s="37">
        <f>'Balance Sheet'!D12/('Balance Sheet'!D12+'Balance Sheet'!D19)</f>
        <v>0.97568496440252739</v>
      </c>
      <c r="E6" s="37">
        <f>'Balance Sheet'!E12/('Balance Sheet'!E12+'Balance Sheet'!E19)</f>
        <v>0.98077752637841642</v>
      </c>
      <c r="F6" s="37">
        <f>'Balance Sheet'!F12/('Balance Sheet'!F12+'Balance Sheet'!F19)</f>
        <v>0.98261189826550643</v>
      </c>
      <c r="G6" s="37">
        <f>'Balance Sheet'!G12/('Balance Sheet'!G12+'Balance Sheet'!G19)</f>
        <v>0.98325185209644672</v>
      </c>
      <c r="H6" s="37">
        <f>'Balance Sheet'!H12/('Balance Sheet'!H12+'Balance Sheet'!H19)</f>
        <v>0.98439979061991134</v>
      </c>
    </row>
    <row r="7" spans="2:15" x14ac:dyDescent="0.25">
      <c r="B7" s="65" t="s">
        <v>141</v>
      </c>
      <c r="C7" s="37">
        <f>1-C6</f>
        <v>3.3845282585312164E-2</v>
      </c>
      <c r="D7" s="37">
        <f t="shared" ref="D7:G7" si="0">1-D6</f>
        <v>2.4315035597472612E-2</v>
      </c>
      <c r="E7" s="37">
        <f t="shared" si="0"/>
        <v>1.922247362158358E-2</v>
      </c>
      <c r="F7" s="37">
        <f t="shared" si="0"/>
        <v>1.7388101734493566E-2</v>
      </c>
      <c r="G7" s="37">
        <f t="shared" si="0"/>
        <v>1.6748147903553279E-2</v>
      </c>
      <c r="H7" s="37">
        <f t="shared" ref="H7:H10" si="1">AVERAGE(C7:G7)</f>
        <v>2.2303808288483041E-2</v>
      </c>
    </row>
    <row r="8" spans="2:15" s="69" customFormat="1" x14ac:dyDescent="0.25">
      <c r="B8" s="66" t="s">
        <v>142</v>
      </c>
      <c r="C8" s="67">
        <f>$C$18</f>
        <v>9.6000000000000002E-2</v>
      </c>
      <c r="D8" s="67">
        <f>$C$18</f>
        <v>9.6000000000000002E-2</v>
      </c>
      <c r="E8" s="67">
        <f>$C$18</f>
        <v>9.6000000000000002E-2</v>
      </c>
      <c r="F8" s="67">
        <f>$C$18</f>
        <v>9.6000000000000002E-2</v>
      </c>
      <c r="G8" s="67">
        <f>$C$18</f>
        <v>9.6000000000000002E-2</v>
      </c>
      <c r="H8" s="68">
        <f t="shared" si="1"/>
        <v>9.6000000000000002E-2</v>
      </c>
    </row>
    <row r="9" spans="2:15" s="71" customFormat="1" x14ac:dyDescent="0.25">
      <c r="B9" s="70" t="s">
        <v>143</v>
      </c>
      <c r="C9" s="68">
        <f>'P&amp;L'!C18*(1-C10)/'Balance Sheet'!C19</f>
        <v>0.25455736127445738</v>
      </c>
      <c r="D9" s="68">
        <f>'P&amp;L'!D18*(1-D10)/'Balance Sheet'!D19</f>
        <v>0.4842350184131235</v>
      </c>
      <c r="E9" s="68">
        <f>'P&amp;L'!E18*(1-E10)/'Balance Sheet'!E19</f>
        <v>0.44469866071428565</v>
      </c>
      <c r="F9" s="68">
        <f>'P&amp;L'!F18*(1-F10)/'Balance Sheet'!F19</f>
        <v>3.3353353353353356E-2</v>
      </c>
      <c r="G9" s="68">
        <f>'P&amp;L'!G18*(1-G10)/'Balance Sheet'!G19</f>
        <v>4.4189420430027514E-2</v>
      </c>
      <c r="H9" s="68">
        <f t="shared" si="1"/>
        <v>0.25220676283704946</v>
      </c>
    </row>
    <row r="10" spans="2:15" x14ac:dyDescent="0.25">
      <c r="B10" s="65" t="s">
        <v>144</v>
      </c>
      <c r="C10" s="72">
        <v>0.3</v>
      </c>
      <c r="D10" s="72">
        <v>0.3</v>
      </c>
      <c r="E10" s="72">
        <v>0.3</v>
      </c>
      <c r="F10" s="72">
        <v>0.3</v>
      </c>
      <c r="G10" s="72">
        <v>0.3</v>
      </c>
      <c r="H10" s="68">
        <f t="shared" si="1"/>
        <v>0.3</v>
      </c>
    </row>
    <row r="11" spans="2:15" s="74" customFormat="1" ht="12" customHeight="1" x14ac:dyDescent="0.25">
      <c r="B11" s="73" t="s">
        <v>139</v>
      </c>
      <c r="C11" s="168">
        <f>(H6*H8)+(H7*H9)</f>
        <v>0.10012755118688794</v>
      </c>
      <c r="D11" s="169"/>
      <c r="E11" s="169"/>
      <c r="F11" s="169"/>
      <c r="G11" s="169"/>
      <c r="H11" s="170"/>
    </row>
    <row r="12" spans="2:15" ht="12" thickBot="1" x14ac:dyDescent="0.3">
      <c r="N12" s="171"/>
      <c r="O12" s="171"/>
    </row>
    <row r="13" spans="2:15" x14ac:dyDescent="0.25">
      <c r="B13" s="172" t="s">
        <v>145</v>
      </c>
      <c r="C13" s="173"/>
      <c r="N13" s="75"/>
      <c r="O13" s="75"/>
    </row>
    <row r="14" spans="2:15" x14ac:dyDescent="0.25">
      <c r="B14" s="61" t="s">
        <v>146</v>
      </c>
      <c r="C14" s="76">
        <v>6.4699999999999994E-2</v>
      </c>
      <c r="N14" s="75"/>
      <c r="O14" s="75"/>
    </row>
    <row r="15" spans="2:15" x14ac:dyDescent="0.25">
      <c r="B15" s="61" t="s">
        <v>147</v>
      </c>
      <c r="C15" s="133">
        <v>0.41567065073041171</v>
      </c>
      <c r="N15" s="75"/>
      <c r="O15" s="75"/>
    </row>
    <row r="16" spans="2:15" x14ac:dyDescent="0.25">
      <c r="B16" s="77" t="s">
        <v>148</v>
      </c>
      <c r="C16" s="78">
        <v>0.14000000000000001</v>
      </c>
      <c r="N16" s="75"/>
      <c r="O16" s="75"/>
    </row>
    <row r="17" spans="2:15" x14ac:dyDescent="0.25">
      <c r="B17" s="77" t="s">
        <v>149</v>
      </c>
      <c r="C17" s="78">
        <f>C16-C14</f>
        <v>7.530000000000002E-2</v>
      </c>
      <c r="N17" s="75"/>
      <c r="O17" s="75"/>
    </row>
    <row r="18" spans="2:15" ht="12" thickBot="1" x14ac:dyDescent="0.3">
      <c r="B18" s="79" t="s">
        <v>150</v>
      </c>
      <c r="C18" s="80">
        <f>C14+(C15*C17)</f>
        <v>9.6000000000000002E-2</v>
      </c>
      <c r="E18" s="132"/>
      <c r="F18" s="11"/>
      <c r="G18" s="132"/>
      <c r="N18" s="75"/>
      <c r="O18" s="75"/>
    </row>
    <row r="19" spans="2:15" ht="12" thickBot="1" x14ac:dyDescent="0.3">
      <c r="N19" s="75"/>
      <c r="O19" s="75"/>
    </row>
    <row r="20" spans="2:15" ht="12" thickBot="1" x14ac:dyDescent="0.3">
      <c r="B20" s="161" t="s">
        <v>151</v>
      </c>
      <c r="C20" s="162"/>
      <c r="D20" s="162"/>
      <c r="E20" s="162"/>
      <c r="F20" s="163"/>
      <c r="G20" s="62"/>
      <c r="H20" s="62"/>
      <c r="I20" s="62"/>
      <c r="J20" s="62"/>
      <c r="K20" s="62"/>
      <c r="L20" s="5"/>
    </row>
    <row r="21" spans="2:15" x14ac:dyDescent="0.25">
      <c r="B21" s="60" t="s">
        <v>152</v>
      </c>
      <c r="C21" s="81">
        <v>0.02</v>
      </c>
      <c r="D21" s="81">
        <v>0.02</v>
      </c>
      <c r="E21" s="81">
        <v>0.02</v>
      </c>
      <c r="F21" s="82">
        <v>0.02</v>
      </c>
      <c r="G21" s="83"/>
      <c r="O21" s="84"/>
    </row>
    <row r="22" spans="2:15" x14ac:dyDescent="0.25">
      <c r="B22" s="61" t="s">
        <v>153</v>
      </c>
      <c r="C22" s="68">
        <f>C11+1.5%</f>
        <v>0.11512755118688794</v>
      </c>
      <c r="D22" s="68">
        <f>C11+3%</f>
        <v>0.13012755118688796</v>
      </c>
      <c r="E22" s="68">
        <f>C11+5%</f>
        <v>0.15012755118688795</v>
      </c>
      <c r="F22" s="76">
        <f>C11</f>
        <v>0.10012755118688794</v>
      </c>
      <c r="G22" s="43"/>
      <c r="O22" s="84"/>
    </row>
    <row r="23" spans="2:15" s="5" customFormat="1" x14ac:dyDescent="0.25">
      <c r="B23" s="85" t="s">
        <v>154</v>
      </c>
      <c r="C23" s="86">
        <f>C22-C21</f>
        <v>9.512755118688794E-2</v>
      </c>
      <c r="D23" s="86">
        <f t="shared" ref="D23:F23" si="2">D22-D21</f>
        <v>0.11012755118688795</v>
      </c>
      <c r="E23" s="86">
        <f t="shared" si="2"/>
        <v>0.13012755118688796</v>
      </c>
      <c r="F23" s="87">
        <f t="shared" si="2"/>
        <v>8.0127551186887941E-2</v>
      </c>
    </row>
    <row r="24" spans="2:15" ht="23.5" thickBot="1" x14ac:dyDescent="0.3">
      <c r="B24" s="88" t="s">
        <v>155</v>
      </c>
      <c r="C24" s="89">
        <f>$J$34/C23</f>
        <v>38114.650861611146</v>
      </c>
      <c r="D24" s="89">
        <f t="shared" ref="D24:F24" si="3">$J$34/D23</f>
        <v>32923.218229517552</v>
      </c>
      <c r="E24" s="89">
        <f t="shared" si="3"/>
        <v>27863.072560252855</v>
      </c>
      <c r="F24" s="90">
        <f t="shared" si="3"/>
        <v>45249.771733965012</v>
      </c>
      <c r="G24" s="91"/>
    </row>
    <row r="25" spans="2:15" x14ac:dyDescent="0.25">
      <c r="B25" s="5"/>
      <c r="C25" s="91"/>
      <c r="D25" s="91"/>
      <c r="E25" s="91"/>
      <c r="F25" s="91"/>
      <c r="G25" s="91"/>
      <c r="J25" s="92"/>
      <c r="K25" s="92"/>
    </row>
    <row r="26" spans="2:15" x14ac:dyDescent="0.25">
      <c r="B26" s="93"/>
      <c r="C26" s="94"/>
      <c r="D26" s="95"/>
      <c r="E26" s="95"/>
      <c r="F26" s="95"/>
      <c r="G26" s="95"/>
      <c r="H26" s="95"/>
      <c r="I26" s="95"/>
      <c r="J26" s="95"/>
      <c r="K26" s="95"/>
    </row>
    <row r="27" spans="2:15" ht="12" thickBot="1" x14ac:dyDescent="0.3"/>
    <row r="28" spans="2:15" x14ac:dyDescent="0.25">
      <c r="B28" s="96" t="s">
        <v>129</v>
      </c>
      <c r="C28" s="97">
        <v>42064</v>
      </c>
      <c r="D28" s="97">
        <v>42430</v>
      </c>
      <c r="E28" s="97">
        <v>42795</v>
      </c>
      <c r="F28" s="97">
        <v>43160</v>
      </c>
      <c r="G28" s="97">
        <v>43525</v>
      </c>
      <c r="H28" s="97">
        <v>43891</v>
      </c>
      <c r="I28" s="97">
        <v>44256</v>
      </c>
      <c r="J28" s="98">
        <v>44621</v>
      </c>
    </row>
    <row r="29" spans="2:15" x14ac:dyDescent="0.25">
      <c r="B29" s="99" t="s">
        <v>130</v>
      </c>
      <c r="C29" s="37">
        <f>'FCF, UCFF'!C29</f>
        <v>1973.1700000000012</v>
      </c>
      <c r="D29" s="37">
        <f>'FCF, UCFF'!D29</f>
        <v>2481.2500000000009</v>
      </c>
      <c r="E29" s="37">
        <f>'FCF, UCFF'!E29</f>
        <v>2545.1000000000004</v>
      </c>
      <c r="F29" s="37">
        <f>'FCF, UCFF'!F29</f>
        <v>2441.0099999999984</v>
      </c>
      <c r="G29" s="37">
        <f>'FCF, UCFF'!G29</f>
        <v>3062.55</v>
      </c>
      <c r="H29" s="37">
        <f>'FCF, UCFF'!H29</f>
        <v>2835.6839101468026</v>
      </c>
      <c r="I29" s="37">
        <f>'FCF, UCFF'!I29</f>
        <v>2956.2941785489256</v>
      </c>
      <c r="J29" s="37">
        <f>'FCF, UCFF'!J29</f>
        <v>3079.2439543530827</v>
      </c>
    </row>
    <row r="30" spans="2:15" x14ac:dyDescent="0.25">
      <c r="B30" s="99" t="s">
        <v>131</v>
      </c>
      <c r="C30" s="37">
        <f>'FCF, UCFF'!C30</f>
        <v>358.88</v>
      </c>
      <c r="D30" s="37">
        <f>'FCF, UCFF'!D30</f>
        <v>331.59000000000003</v>
      </c>
      <c r="E30" s="37">
        <f>'FCF, UCFF'!E30</f>
        <v>179.76</v>
      </c>
      <c r="F30" s="37">
        <f>'FCF, UCFF'!F30</f>
        <v>442.88</v>
      </c>
      <c r="G30" s="37">
        <f>'FCF, UCFF'!G30</f>
        <v>604.41999999999996</v>
      </c>
      <c r="H30" s="37">
        <f>'FCF, UCFF'!H30</f>
        <v>489.51691883583999</v>
      </c>
      <c r="I30" s="37">
        <f>'FCF, UCFF'!I30</f>
        <v>532.8192708049985</v>
      </c>
      <c r="J30" s="37">
        <f>'FCF, UCFF'!J30</f>
        <v>573.053720421001</v>
      </c>
    </row>
    <row r="31" spans="2:15" x14ac:dyDescent="0.25">
      <c r="B31" s="99" t="s">
        <v>59</v>
      </c>
      <c r="C31" s="37">
        <f>'FCF, UCFF'!C31</f>
        <v>433.2</v>
      </c>
      <c r="D31" s="37">
        <f>'FCF, UCFF'!D31</f>
        <v>754.22</v>
      </c>
      <c r="E31" s="37">
        <f>'FCF, UCFF'!E31</f>
        <v>1322.93</v>
      </c>
      <c r="F31" s="37">
        <f>'FCF, UCFF'!F31</f>
        <v>529.61</v>
      </c>
      <c r="G31" s="37">
        <f>'FCF, UCFF'!G31</f>
        <v>569.72</v>
      </c>
      <c r="H31" s="37">
        <f>'FCF, UCFF'!H31</f>
        <v>496.39479362844895</v>
      </c>
      <c r="I31" s="37">
        <f>'FCF, UCFF'!I31</f>
        <v>410.07305052420458</v>
      </c>
      <c r="J31" s="37">
        <f>'FCF, UCFF'!J31</f>
        <v>340.75161674554442</v>
      </c>
    </row>
    <row r="32" spans="2:15" x14ac:dyDescent="0.25">
      <c r="B32" s="99" t="s">
        <v>132</v>
      </c>
      <c r="C32" s="37">
        <f>'FCF, UCFF'!C32</f>
        <v>2699.0300000000016</v>
      </c>
      <c r="D32" s="37">
        <f>'FCF, UCFF'!D32</f>
        <v>-447.14999999999964</v>
      </c>
      <c r="E32" s="37">
        <f>'FCF, UCFF'!E32</f>
        <v>-271.77</v>
      </c>
      <c r="F32" s="37">
        <f>'FCF, UCFF'!F32</f>
        <v>-1244.1100000000006</v>
      </c>
      <c r="G32" s="37">
        <f>'FCF, UCFF'!G32</f>
        <v>-2057.08</v>
      </c>
      <c r="H32" s="37">
        <f>'FCF, UCFF'!H32</f>
        <v>2242.1647193613485</v>
      </c>
      <c r="I32" s="37">
        <f>'FCF, UCFF'!I32</f>
        <v>-342.83002671608892</v>
      </c>
      <c r="J32" s="37">
        <f>'FCF, UCFF'!J32</f>
        <v>-367.2958907113516</v>
      </c>
    </row>
    <row r="33" spans="2:10" x14ac:dyDescent="0.25">
      <c r="B33" s="99" t="s">
        <v>133</v>
      </c>
      <c r="C33" s="37">
        <f>'FCF, UCFF'!C33</f>
        <v>-468.75</v>
      </c>
      <c r="D33" s="37">
        <f>'FCF, UCFF'!D33</f>
        <v>-1194.9500000000003</v>
      </c>
      <c r="E33" s="37">
        <f>'FCF, UCFF'!E33</f>
        <v>-1737.1200000000008</v>
      </c>
      <c r="F33" s="37">
        <f>'FCF, UCFF'!F33</f>
        <v>-521.20999999999822</v>
      </c>
      <c r="G33" s="37">
        <f>'FCF, UCFF'!G33</f>
        <v>-273.41000000000167</v>
      </c>
      <c r="H33" s="37">
        <f>'FCF, UCFF'!H33</f>
        <v>62</v>
      </c>
      <c r="I33" s="37">
        <f>'FCF, UCFF'!I33</f>
        <v>0</v>
      </c>
      <c r="J33" s="37">
        <f>'FCF, UCFF'!J33</f>
        <v>0</v>
      </c>
    </row>
    <row r="34" spans="2:10" s="5" customFormat="1" ht="12" thickBot="1" x14ac:dyDescent="0.3">
      <c r="B34" s="100" t="s">
        <v>134</v>
      </c>
      <c r="C34" s="37">
        <f>'FCF, UCFF'!C34</f>
        <v>4995.5300000000025</v>
      </c>
      <c r="D34" s="37">
        <f>'FCF, UCFF'!D34</f>
        <v>1924.9600000000014</v>
      </c>
      <c r="E34" s="37">
        <f>'FCF, UCFF'!E34</f>
        <v>2038.9</v>
      </c>
      <c r="F34" s="37">
        <f>'FCF, UCFF'!F34</f>
        <v>1648.1799999999998</v>
      </c>
      <c r="G34" s="37">
        <f>'FCF, UCFF'!G34</f>
        <v>1906.1999999999989</v>
      </c>
      <c r="H34" s="37">
        <f>'FCF, UCFF'!H34</f>
        <v>6125.7603419724401</v>
      </c>
      <c r="I34" s="37">
        <f>'FCF, UCFF'!I34</f>
        <v>3556.3564731620395</v>
      </c>
      <c r="J34" s="37">
        <f>'FCF, UCFF'!J34</f>
        <v>3625.7534008082766</v>
      </c>
    </row>
    <row r="35" spans="2:10" x14ac:dyDescent="0.25"/>
    <row r="36" spans="2:10" x14ac:dyDescent="0.25">
      <c r="B36" s="174" t="s">
        <v>156</v>
      </c>
      <c r="C36" s="174"/>
    </row>
    <row r="37" spans="2:10" x14ac:dyDescent="0.25">
      <c r="B37" s="101" t="s">
        <v>157</v>
      </c>
      <c r="C37" s="11">
        <f>C22</f>
        <v>0.11512755118688794</v>
      </c>
    </row>
    <row r="38" spans="2:10" x14ac:dyDescent="0.25">
      <c r="B38" s="5" t="s">
        <v>158</v>
      </c>
      <c r="C38" s="69">
        <f>($H$34/(1+C37))+($I$34/(1+C37)^2)+($J$34/(1+C37)^3)+(C24/(1+C37)^3)</f>
        <v>38454.407072162205</v>
      </c>
    </row>
    <row r="39" spans="2:10" x14ac:dyDescent="0.25">
      <c r="B39" s="5"/>
      <c r="C39" s="102"/>
    </row>
    <row r="40" spans="2:10" x14ac:dyDescent="0.25">
      <c r="B40" s="174" t="s">
        <v>159</v>
      </c>
      <c r="C40" s="174"/>
    </row>
    <row r="41" spans="2:10" x14ac:dyDescent="0.25">
      <c r="B41" s="101" t="s">
        <v>160</v>
      </c>
      <c r="C41" s="71">
        <f>D22</f>
        <v>0.13012755118688796</v>
      </c>
    </row>
    <row r="42" spans="2:10" x14ac:dyDescent="0.25">
      <c r="B42" s="5" t="s">
        <v>158</v>
      </c>
      <c r="C42" s="69">
        <f>($H$34/(1+C41))+($I$34/(1+C41)^2)+($J$34/(1+C41)^3)+(D24/(1+C41)^3)</f>
        <v>33526.630162967856</v>
      </c>
    </row>
    <row r="43" spans="2:10" x14ac:dyDescent="0.25">
      <c r="B43" s="5"/>
      <c r="C43" s="103"/>
    </row>
    <row r="44" spans="2:10" x14ac:dyDescent="0.25">
      <c r="B44" s="174" t="s">
        <v>161</v>
      </c>
      <c r="C44" s="174"/>
    </row>
    <row r="45" spans="2:10" x14ac:dyDescent="0.25">
      <c r="B45" s="101" t="s">
        <v>162</v>
      </c>
      <c r="C45" s="71">
        <f>E22</f>
        <v>0.15012755118688795</v>
      </c>
    </row>
    <row r="46" spans="2:10" x14ac:dyDescent="0.25">
      <c r="B46" s="5" t="s">
        <v>158</v>
      </c>
      <c r="C46" s="69">
        <f>($H$34/(1+C45))+($I$34/(1+C45)^2)+($J$34/(1+C45)^3)+(E24/(1+C45)^3)</f>
        <v>28712.203885649291</v>
      </c>
    </row>
    <row r="47" spans="2:10" x14ac:dyDescent="0.25"/>
    <row r="48" spans="2:10" ht="12" thickBot="1" x14ac:dyDescent="0.3">
      <c r="B48" s="174" t="s">
        <v>163</v>
      </c>
      <c r="C48" s="174"/>
    </row>
    <row r="49" spans="2:7" x14ac:dyDescent="0.25">
      <c r="B49" s="104" t="s">
        <v>157</v>
      </c>
      <c r="C49" s="105">
        <f>C11</f>
        <v>0.10012755118688794</v>
      </c>
    </row>
    <row r="50" spans="2:7" x14ac:dyDescent="0.25">
      <c r="B50" s="106" t="s">
        <v>158</v>
      </c>
      <c r="C50" s="107">
        <f>($H$34/(1+C49))+($I$34/(1+C49)^2)+($J$34/(1+C49)^3)+(F24/(1+C49)^3)</f>
        <v>45214.817862362761</v>
      </c>
      <c r="D50" s="1" t="s">
        <v>164</v>
      </c>
    </row>
    <row r="51" spans="2:7" x14ac:dyDescent="0.25">
      <c r="B51" s="108"/>
      <c r="C51" s="107"/>
    </row>
    <row r="52" spans="2:7" x14ac:dyDescent="0.25">
      <c r="B52" s="108" t="s">
        <v>165</v>
      </c>
      <c r="C52" s="109">
        <v>805701266</v>
      </c>
    </row>
    <row r="53" spans="2:7" s="5" customFormat="1" x14ac:dyDescent="0.25">
      <c r="B53" s="106" t="s">
        <v>166</v>
      </c>
      <c r="C53" s="110">
        <f>C50*10^7/C52</f>
        <v>561.18588576678201</v>
      </c>
    </row>
    <row r="54" spans="2:7" s="5" customFormat="1" ht="12" thickBot="1" x14ac:dyDescent="0.3">
      <c r="B54" s="111" t="s">
        <v>167</v>
      </c>
      <c r="C54" s="112">
        <v>638.9</v>
      </c>
    </row>
    <row r="55" spans="2:7" x14ac:dyDescent="0.25">
      <c r="C55" s="69"/>
    </row>
    <row r="56" spans="2:7" s="5" customFormat="1" x14ac:dyDescent="0.25">
      <c r="B56" s="175" t="s">
        <v>173</v>
      </c>
      <c r="C56" s="175"/>
      <c r="D56" s="175"/>
      <c r="E56" s="175"/>
    </row>
    <row r="57" spans="2:7" s="136" customFormat="1" x14ac:dyDescent="0.25">
      <c r="B57" s="137"/>
      <c r="C57" s="137"/>
      <c r="D57" s="137"/>
      <c r="E57" s="137"/>
    </row>
    <row r="58" spans="2:7" s="136" customFormat="1" x14ac:dyDescent="0.25">
      <c r="B58" s="134" t="s">
        <v>174</v>
      </c>
      <c r="C58" s="137"/>
      <c r="D58" s="137"/>
      <c r="E58" s="137"/>
    </row>
    <row r="59" spans="2:7" s="136" customFormat="1" x14ac:dyDescent="0.25">
      <c r="B59" s="135" t="s">
        <v>193</v>
      </c>
      <c r="C59" s="137"/>
      <c r="D59" s="137"/>
      <c r="E59" s="137"/>
    </row>
    <row r="60" spans="2:7" s="136" customFormat="1" x14ac:dyDescent="0.25">
      <c r="B60" s="135" t="s">
        <v>194</v>
      </c>
      <c r="C60" s="137"/>
      <c r="D60" s="137"/>
      <c r="E60" s="137"/>
    </row>
    <row r="61" spans="2:7" x14ac:dyDescent="0.25">
      <c r="B61" s="135" t="s">
        <v>195</v>
      </c>
      <c r="C61" s="69"/>
    </row>
    <row r="62" spans="2:7" x14ac:dyDescent="0.25">
      <c r="D62" s="83"/>
      <c r="E62" s="83"/>
      <c r="F62" s="83"/>
      <c r="G62" s="83"/>
    </row>
    <row r="63" spans="2:7" hidden="1" x14ac:dyDescent="0.25"/>
    <row r="64" spans="2:7" hidden="1" x14ac:dyDescent="0.25"/>
    <row r="65" s="71" customFormat="1" hidden="1" x14ac:dyDescent="0.25"/>
    <row r="66" s="71" customFormat="1" hidden="1" x14ac:dyDescent="0.25"/>
    <row r="67" s="71" customFormat="1" hidden="1" x14ac:dyDescent="0.25"/>
    <row r="68" hidden="1" x14ac:dyDescent="0.25"/>
    <row r="69" hidden="1" x14ac:dyDescent="0.25"/>
    <row r="70" hidden="1" x14ac:dyDescent="0.25"/>
    <row r="71" hidden="1" x14ac:dyDescent="0.25"/>
    <row r="72" hidden="1" x14ac:dyDescent="0.25"/>
    <row r="73" hidden="1" x14ac:dyDescent="0.25"/>
  </sheetData>
  <mergeCells count="11">
    <mergeCell ref="B36:C36"/>
    <mergeCell ref="B40:C40"/>
    <mergeCell ref="B44:C44"/>
    <mergeCell ref="B48:C48"/>
    <mergeCell ref="B56:E56"/>
    <mergeCell ref="B20:F20"/>
    <mergeCell ref="B2:H2"/>
    <mergeCell ref="B4:H4"/>
    <mergeCell ref="C11:H11"/>
    <mergeCell ref="N12:O12"/>
    <mergeCell ref="B13:C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FFD34-7528-4176-ABA7-3453EAF383F4}">
  <dimension ref="A1:L14"/>
  <sheetViews>
    <sheetView showGridLines="0" workbookViewId="0">
      <selection activeCell="C10" sqref="C10"/>
    </sheetView>
  </sheetViews>
  <sheetFormatPr defaultColWidth="0" defaultRowHeight="14" customHeight="1" zeroHeight="1" x14ac:dyDescent="0.3"/>
  <cols>
    <col min="1" max="1" width="8.7265625" style="113" customWidth="1"/>
    <col min="2" max="2" width="27.54296875" style="113" customWidth="1"/>
    <col min="3" max="10" width="12" style="113" bestFit="1" customWidth="1"/>
    <col min="11" max="12" width="8.7265625" style="113" customWidth="1"/>
    <col min="13" max="16384" width="8.7265625" style="113" hidden="1"/>
  </cols>
  <sheetData>
    <row r="1" spans="2:10" x14ac:dyDescent="0.3"/>
    <row r="2" spans="2:10" ht="18" x14ac:dyDescent="0.4">
      <c r="B2" s="114" t="s">
        <v>168</v>
      </c>
    </row>
    <row r="3" spans="2:10" ht="18.5" thickBot="1" x14ac:dyDescent="0.45">
      <c r="B3" s="114"/>
    </row>
    <row r="4" spans="2:10" x14ac:dyDescent="0.3">
      <c r="B4" s="115"/>
      <c r="C4" s="116">
        <v>42094</v>
      </c>
      <c r="D4" s="116">
        <v>42460</v>
      </c>
      <c r="E4" s="116">
        <v>42825</v>
      </c>
      <c r="F4" s="116">
        <v>43190</v>
      </c>
      <c r="G4" s="116">
        <v>43555</v>
      </c>
      <c r="H4" s="116">
        <v>43921</v>
      </c>
      <c r="I4" s="116">
        <v>44286</v>
      </c>
      <c r="J4" s="117">
        <v>44651</v>
      </c>
    </row>
    <row r="5" spans="2:10" x14ac:dyDescent="0.3">
      <c r="B5" s="118"/>
      <c r="C5" s="119"/>
      <c r="D5" s="119"/>
      <c r="E5" s="119"/>
      <c r="F5" s="119"/>
      <c r="G5" s="119"/>
      <c r="H5" s="120" t="s">
        <v>75</v>
      </c>
      <c r="I5" s="120" t="s">
        <v>75</v>
      </c>
      <c r="J5" s="121" t="s">
        <v>75</v>
      </c>
    </row>
    <row r="6" spans="2:10" x14ac:dyDescent="0.3">
      <c r="B6" s="122" t="s">
        <v>78</v>
      </c>
      <c r="C6" s="16">
        <v>160.59</v>
      </c>
      <c r="D6" s="16">
        <v>160.68</v>
      </c>
      <c r="E6" s="16">
        <v>160.9</v>
      </c>
      <c r="F6" s="16">
        <v>161.02000000000001</v>
      </c>
      <c r="G6" s="16">
        <v>161.13999999999999</v>
      </c>
      <c r="H6" s="16">
        <v>161.13999999999999</v>
      </c>
      <c r="I6" s="16">
        <v>161.13999999999999</v>
      </c>
      <c r="J6" s="16">
        <v>161.13999999999999</v>
      </c>
    </row>
    <row r="7" spans="2:10" x14ac:dyDescent="0.3">
      <c r="B7" s="122" t="s">
        <v>79</v>
      </c>
      <c r="C7" s="16">
        <v>10519.12</v>
      </c>
      <c r="D7" s="16">
        <v>11825.2</v>
      </c>
      <c r="E7" s="16">
        <v>12639.61</v>
      </c>
      <c r="F7" s="16">
        <v>13952.5</v>
      </c>
      <c r="G7" s="16">
        <v>15620.77</v>
      </c>
      <c r="H7" s="16">
        <v>16801.86</v>
      </c>
      <c r="I7" s="16">
        <v>18197.300000000003</v>
      </c>
      <c r="J7" s="16">
        <v>19239.710000000003</v>
      </c>
    </row>
    <row r="8" spans="2:10" s="125" customFormat="1" x14ac:dyDescent="0.3">
      <c r="B8" s="118" t="s">
        <v>169</v>
      </c>
      <c r="C8" s="123">
        <f t="shared" ref="C8:J8" si="0">SUM(C6:C7)</f>
        <v>10679.710000000001</v>
      </c>
      <c r="D8" s="123">
        <f t="shared" si="0"/>
        <v>11985.880000000001</v>
      </c>
      <c r="E8" s="123">
        <f t="shared" si="0"/>
        <v>12800.51</v>
      </c>
      <c r="F8" s="123">
        <f t="shared" si="0"/>
        <v>14113.52</v>
      </c>
      <c r="G8" s="123">
        <f t="shared" si="0"/>
        <v>15781.91</v>
      </c>
      <c r="H8" s="123">
        <f t="shared" si="0"/>
        <v>16963</v>
      </c>
      <c r="I8" s="123">
        <f t="shared" si="0"/>
        <v>18358.440000000002</v>
      </c>
      <c r="J8" s="124">
        <f t="shared" si="0"/>
        <v>19400.850000000002</v>
      </c>
    </row>
    <row r="9" spans="2:10" x14ac:dyDescent="0.3">
      <c r="B9" s="122" t="s">
        <v>170</v>
      </c>
      <c r="C9" s="16">
        <f>'P&amp;L'!C31</f>
        <v>1181.0900000000011</v>
      </c>
      <c r="D9" s="16">
        <f>'P&amp;L'!D31</f>
        <v>1395.4400000000005</v>
      </c>
      <c r="E9" s="16">
        <f>'P&amp;L'!E31</f>
        <v>1042.4100000000001</v>
      </c>
      <c r="F9" s="16">
        <f>'P&amp;L'!F31</f>
        <v>1468.5199999999982</v>
      </c>
      <c r="G9" s="16">
        <f>'P&amp;L'!G31</f>
        <v>1888.4099999999999</v>
      </c>
      <c r="H9" s="16">
        <f>'P&amp;L'!H31</f>
        <v>1849.7721976825137</v>
      </c>
      <c r="I9" s="16">
        <f>'P&amp;L'!I31</f>
        <v>2013.4018572197226</v>
      </c>
      <c r="J9" s="16">
        <f>'P&amp;L'!J31</f>
        <v>2165.4386171865376</v>
      </c>
    </row>
    <row r="10" spans="2:10" x14ac:dyDescent="0.3">
      <c r="B10" s="122" t="s">
        <v>171</v>
      </c>
      <c r="C10" s="126">
        <f>C8-C9</f>
        <v>9498.619999999999</v>
      </c>
      <c r="D10" s="126">
        <f t="shared" ref="D10:J10" si="1">D8-D9</f>
        <v>10590.44</v>
      </c>
      <c r="E10" s="126">
        <f t="shared" si="1"/>
        <v>11758.1</v>
      </c>
      <c r="F10" s="126">
        <f t="shared" si="1"/>
        <v>12645.000000000002</v>
      </c>
      <c r="G10" s="126">
        <f t="shared" si="1"/>
        <v>13893.5</v>
      </c>
      <c r="H10" s="126">
        <f t="shared" si="1"/>
        <v>15113.227802317486</v>
      </c>
      <c r="I10" s="126">
        <f t="shared" si="1"/>
        <v>16345.03814278028</v>
      </c>
      <c r="J10" s="127">
        <f t="shared" si="1"/>
        <v>17235.411382813465</v>
      </c>
    </row>
    <row r="11" spans="2:10" s="130" customFormat="1" ht="23.5" thickBot="1" x14ac:dyDescent="0.4">
      <c r="B11" s="88" t="s">
        <v>172</v>
      </c>
      <c r="C11" s="128">
        <v>3634</v>
      </c>
      <c r="D11" s="128">
        <f t="shared" ref="D11:I11" si="2">C8-D10</f>
        <v>89.270000000000437</v>
      </c>
      <c r="E11" s="128">
        <f t="shared" si="2"/>
        <v>227.78000000000065</v>
      </c>
      <c r="F11" s="128">
        <f t="shared" si="2"/>
        <v>155.5099999999984</v>
      </c>
      <c r="G11" s="128">
        <f t="shared" si="2"/>
        <v>220.02000000000044</v>
      </c>
      <c r="H11" s="128">
        <f t="shared" si="2"/>
        <v>668.68219768251402</v>
      </c>
      <c r="I11" s="128">
        <f t="shared" si="2"/>
        <v>617.9618572197196</v>
      </c>
      <c r="J11" s="129">
        <f>I8-J10</f>
        <v>1123.0286171865373</v>
      </c>
    </row>
    <row r="12" spans="2:10" x14ac:dyDescent="0.3"/>
    <row r="13" spans="2:10" x14ac:dyDescent="0.3">
      <c r="D13" s="131"/>
    </row>
    <row r="14" spans="2:10" ht="14" customHeight="1" x14ac:dyDescent="0.3"/>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1940-B13D-450E-8312-087A8870C704}">
  <dimension ref="A1:V29"/>
  <sheetViews>
    <sheetView showGridLines="0" workbookViewId="0">
      <selection activeCell="N25" sqref="N25"/>
    </sheetView>
  </sheetViews>
  <sheetFormatPr defaultRowHeight="11.5" x14ac:dyDescent="0.35"/>
  <cols>
    <col min="1" max="1" width="20.81640625" style="26" customWidth="1"/>
    <col min="2" max="8" width="12" style="26" bestFit="1" customWidth="1"/>
    <col min="9" max="9" width="15.90625" style="26" bestFit="1" customWidth="1"/>
    <col min="10" max="10" width="12" style="26" bestFit="1" customWidth="1"/>
    <col min="11" max="11" width="8.453125" style="26" customWidth="1"/>
    <col min="12" max="12" width="8.7265625" style="26"/>
    <col min="13" max="13" width="8.08984375" style="30" bestFit="1" customWidth="1"/>
    <col min="14" max="14" width="8.7265625" style="27"/>
    <col min="15" max="15" width="14.81640625" style="27" customWidth="1"/>
    <col min="16" max="16" width="12.1796875" style="27" bestFit="1" customWidth="1"/>
    <col min="17" max="17" width="8.7265625" style="27"/>
    <col min="18" max="18" width="15.453125" style="27" customWidth="1"/>
    <col min="19" max="19" width="12.1796875" style="27" bestFit="1" customWidth="1"/>
    <col min="20" max="20" width="8.7265625" style="26"/>
    <col min="21" max="21" width="14.453125" style="27" customWidth="1"/>
    <col min="22" max="22" width="12.1796875" style="27" bestFit="1" customWidth="1"/>
    <col min="23" max="16384" width="8.7265625" style="26"/>
  </cols>
  <sheetData>
    <row r="1" spans="1:22" ht="12" thickBot="1" x14ac:dyDescent="0.4">
      <c r="A1" s="319" t="s">
        <v>41</v>
      </c>
      <c r="B1" s="320" t="s">
        <v>135</v>
      </c>
      <c r="C1" s="320"/>
      <c r="D1" s="320"/>
      <c r="E1" s="320"/>
      <c r="F1" s="320" t="s">
        <v>59</v>
      </c>
      <c r="G1" s="320"/>
      <c r="H1" s="320"/>
      <c r="I1" s="320"/>
      <c r="J1" s="320" t="s">
        <v>136</v>
      </c>
      <c r="K1" s="321"/>
    </row>
    <row r="2" spans="1:22" s="24" customFormat="1" ht="35" thickBot="1" x14ac:dyDescent="0.4">
      <c r="A2" s="319"/>
      <c r="B2" s="328" t="s">
        <v>66</v>
      </c>
      <c r="C2" s="328" t="s">
        <v>214</v>
      </c>
      <c r="D2" s="328" t="s">
        <v>215</v>
      </c>
      <c r="E2" s="330" t="s">
        <v>67</v>
      </c>
      <c r="F2" s="329" t="s">
        <v>42</v>
      </c>
      <c r="G2" s="328" t="s">
        <v>212</v>
      </c>
      <c r="H2" s="328" t="s">
        <v>213</v>
      </c>
      <c r="I2" s="331" t="s">
        <v>43</v>
      </c>
      <c r="J2" s="331" t="s">
        <v>43</v>
      </c>
      <c r="K2" s="332" t="s">
        <v>44</v>
      </c>
      <c r="M2" s="358" t="s">
        <v>45</v>
      </c>
      <c r="N2" s="28"/>
      <c r="O2" s="371" t="s">
        <v>46</v>
      </c>
      <c r="P2" s="372" t="s">
        <v>47</v>
      </c>
      <c r="Q2" s="28"/>
      <c r="R2" s="371" t="s">
        <v>48</v>
      </c>
      <c r="S2" s="372" t="s">
        <v>49</v>
      </c>
      <c r="U2" s="371" t="s">
        <v>46</v>
      </c>
      <c r="V2" s="372" t="s">
        <v>47</v>
      </c>
    </row>
    <row r="3" spans="1:22" ht="23.75" customHeight="1" x14ac:dyDescent="0.35">
      <c r="A3" s="322" t="s">
        <v>50</v>
      </c>
      <c r="B3" s="323"/>
      <c r="C3" s="323"/>
      <c r="D3" s="323"/>
      <c r="E3" s="324"/>
      <c r="F3" s="325"/>
      <c r="G3" s="325"/>
      <c r="H3" s="325"/>
      <c r="I3" s="326"/>
      <c r="J3" s="326"/>
      <c r="K3" s="327"/>
      <c r="M3" s="359"/>
      <c r="O3" s="369"/>
      <c r="P3" s="370"/>
      <c r="R3" s="369"/>
      <c r="S3" s="370"/>
      <c r="U3" s="369"/>
      <c r="V3" s="370"/>
    </row>
    <row r="4" spans="1:22" ht="12" customHeight="1" x14ac:dyDescent="0.25">
      <c r="A4" s="313" t="s">
        <v>51</v>
      </c>
      <c r="B4" s="304"/>
      <c r="C4" s="304"/>
      <c r="D4" s="304"/>
      <c r="E4" s="305"/>
      <c r="F4" s="306"/>
      <c r="G4" s="306"/>
      <c r="H4" s="306"/>
      <c r="I4" s="307"/>
      <c r="J4" s="307"/>
      <c r="K4" s="314"/>
      <c r="M4" s="359"/>
      <c r="O4" s="363"/>
      <c r="P4" s="364"/>
      <c r="R4" s="363"/>
      <c r="S4" s="364"/>
      <c r="U4" s="363"/>
      <c r="V4" s="364"/>
    </row>
    <row r="5" spans="1:22" ht="12" customHeight="1" x14ac:dyDescent="0.35">
      <c r="A5" s="315" t="s">
        <v>64</v>
      </c>
      <c r="B5" s="308">
        <v>39.15</v>
      </c>
      <c r="C5" s="309">
        <v>0</v>
      </c>
      <c r="D5" s="309">
        <v>0</v>
      </c>
      <c r="E5" s="308">
        <f>B5+C5-D5</f>
        <v>39.15</v>
      </c>
      <c r="F5" s="309">
        <v>0</v>
      </c>
      <c r="G5" s="309">
        <v>0</v>
      </c>
      <c r="H5" s="309">
        <v>0</v>
      </c>
      <c r="I5" s="308">
        <f>F5+G5-H5</f>
        <v>0</v>
      </c>
      <c r="J5" s="308">
        <f>-I5+E5</f>
        <v>39.15</v>
      </c>
      <c r="K5" s="316">
        <f>B5-F5</f>
        <v>39.15</v>
      </c>
      <c r="M5" s="360">
        <f>(G5+H5)/(E5-F5)</f>
        <v>0</v>
      </c>
      <c r="O5" s="363">
        <f>J5*M5</f>
        <v>0</v>
      </c>
      <c r="P5" s="364">
        <f>J5-O5</f>
        <v>39.15</v>
      </c>
      <c r="R5" s="363">
        <f>P5*M5</f>
        <v>0</v>
      </c>
      <c r="S5" s="364">
        <f>P5-R5</f>
        <v>39.15</v>
      </c>
      <c r="U5" s="363">
        <f>S5*M5</f>
        <v>0</v>
      </c>
      <c r="V5" s="364">
        <f>S5-U5</f>
        <v>39.15</v>
      </c>
    </row>
    <row r="6" spans="1:22" ht="12" customHeight="1" x14ac:dyDescent="0.35">
      <c r="A6" s="315" t="s">
        <v>65</v>
      </c>
      <c r="B6" s="308">
        <v>22.81</v>
      </c>
      <c r="C6" s="309">
        <v>0.15</v>
      </c>
      <c r="D6" s="309">
        <f>0.15</f>
        <v>0.15</v>
      </c>
      <c r="E6" s="308">
        <f t="shared" ref="E6:E19" si="0">B6+C6-D6</f>
        <v>22.81</v>
      </c>
      <c r="F6" s="310">
        <v>0.73</v>
      </c>
      <c r="G6" s="310">
        <v>0.25</v>
      </c>
      <c r="H6" s="310">
        <v>0</v>
      </c>
      <c r="I6" s="308">
        <f t="shared" ref="I6:I12" si="1">F6+G6-H6</f>
        <v>0.98</v>
      </c>
      <c r="J6" s="308">
        <f t="shared" ref="J6:J12" si="2">-I6+E6</f>
        <v>21.83</v>
      </c>
      <c r="K6" s="316">
        <f t="shared" ref="K6:K11" si="3">B6-F6</f>
        <v>22.08</v>
      </c>
      <c r="M6" s="360">
        <f t="shared" ref="M6:M11" si="4">(G6+H6)/(E6-F6)</f>
        <v>1.1322463768115944E-2</v>
      </c>
      <c r="O6" s="363">
        <f t="shared" ref="O6:O11" si="5">J6*M6</f>
        <v>0.24716938405797104</v>
      </c>
      <c r="P6" s="364">
        <f t="shared" ref="P6:P11" si="6">J6-O6</f>
        <v>21.582830615942026</v>
      </c>
      <c r="R6" s="363">
        <f t="shared" ref="R6:R11" si="7">P6*M6</f>
        <v>0.24437081766238711</v>
      </c>
      <c r="S6" s="364">
        <f t="shared" ref="S6:S11" si="8">P6-R6</f>
        <v>21.33845979827964</v>
      </c>
      <c r="U6" s="363">
        <v>0</v>
      </c>
      <c r="V6" s="364">
        <f t="shared" ref="V6:V11" si="9">S6-U6</f>
        <v>21.33845979827964</v>
      </c>
    </row>
    <row r="7" spans="1:22" ht="12" customHeight="1" x14ac:dyDescent="0.35">
      <c r="A7" s="317" t="s">
        <v>52</v>
      </c>
      <c r="B7" s="308">
        <v>1969.58</v>
      </c>
      <c r="C7" s="309">
        <v>46.56</v>
      </c>
      <c r="D7" s="309">
        <f>0.11+64.69</f>
        <v>64.8</v>
      </c>
      <c r="E7" s="308">
        <f t="shared" si="0"/>
        <v>1951.34</v>
      </c>
      <c r="F7" s="309">
        <v>157.87</v>
      </c>
      <c r="G7" s="309">
        <v>59.18</v>
      </c>
      <c r="H7" s="309">
        <f>0.11+3.19</f>
        <v>3.3</v>
      </c>
      <c r="I7" s="308">
        <f t="shared" si="1"/>
        <v>213.75</v>
      </c>
      <c r="J7" s="308">
        <f t="shared" si="2"/>
        <v>1737.59</v>
      </c>
      <c r="K7" s="316">
        <f t="shared" si="3"/>
        <v>1811.71</v>
      </c>
      <c r="M7" s="360">
        <f t="shared" si="4"/>
        <v>3.4837493796941128E-2</v>
      </c>
      <c r="O7" s="363">
        <f t="shared" si="5"/>
        <v>60.53328084662693</v>
      </c>
      <c r="P7" s="364">
        <f t="shared" si="6"/>
        <v>1677.056719153373</v>
      </c>
      <c r="R7" s="363">
        <f t="shared" si="7"/>
        <v>58.424453050624074</v>
      </c>
      <c r="S7" s="364">
        <f t="shared" si="8"/>
        <v>1618.6322661027489</v>
      </c>
      <c r="U7" s="363">
        <f t="shared" ref="U7:U11" si="10">S7*M7</f>
        <v>56.389091529883274</v>
      </c>
      <c r="V7" s="364">
        <f t="shared" si="9"/>
        <v>1562.2431745728657</v>
      </c>
    </row>
    <row r="8" spans="1:22" ht="12" customHeight="1" x14ac:dyDescent="0.35">
      <c r="A8" s="315" t="s">
        <v>61</v>
      </c>
      <c r="B8" s="308">
        <v>3256.46</v>
      </c>
      <c r="C8" s="309">
        <v>351.27</v>
      </c>
      <c r="D8" s="309">
        <f>0.78+23.27+9.16</f>
        <v>33.21</v>
      </c>
      <c r="E8" s="308">
        <f t="shared" si="0"/>
        <v>3574.52</v>
      </c>
      <c r="F8" s="309">
        <v>1079.28</v>
      </c>
      <c r="G8" s="309">
        <v>420.53</v>
      </c>
      <c r="H8" s="309">
        <f>0.24+21.27+5</f>
        <v>26.509999999999998</v>
      </c>
      <c r="I8" s="308">
        <f t="shared" si="1"/>
        <v>1473.3</v>
      </c>
      <c r="J8" s="308">
        <f t="shared" si="2"/>
        <v>2101.2200000000003</v>
      </c>
      <c r="K8" s="316">
        <f t="shared" si="3"/>
        <v>2177.1800000000003</v>
      </c>
      <c r="M8" s="360">
        <f t="shared" si="4"/>
        <v>0.17915711514724034</v>
      </c>
      <c r="O8" s="363">
        <f t="shared" si="5"/>
        <v>376.44851348968439</v>
      </c>
      <c r="P8" s="364">
        <f t="shared" si="6"/>
        <v>1724.7714865103158</v>
      </c>
      <c r="R8" s="363">
        <f t="shared" si="7"/>
        <v>309.00508381140554</v>
      </c>
      <c r="S8" s="364">
        <f t="shared" si="8"/>
        <v>1415.7664026989103</v>
      </c>
      <c r="U8" s="363">
        <f t="shared" si="10"/>
        <v>253.64462442992289</v>
      </c>
      <c r="V8" s="364">
        <f t="shared" si="9"/>
        <v>1162.1217782689873</v>
      </c>
    </row>
    <row r="9" spans="1:22" ht="12" customHeight="1" x14ac:dyDescent="0.35">
      <c r="A9" s="318" t="s">
        <v>62</v>
      </c>
      <c r="B9" s="308">
        <v>101.53000000000002</v>
      </c>
      <c r="C9" s="309">
        <v>3.72</v>
      </c>
      <c r="D9" s="309">
        <f>0.64+0.92</f>
        <v>1.56</v>
      </c>
      <c r="E9" s="308">
        <f t="shared" si="0"/>
        <v>103.69000000000001</v>
      </c>
      <c r="F9" s="309">
        <v>37.69</v>
      </c>
      <c r="G9" s="309">
        <v>10.59</v>
      </c>
      <c r="H9" s="309">
        <f>0.28+0.42</f>
        <v>0.7</v>
      </c>
      <c r="I9" s="308">
        <f t="shared" si="1"/>
        <v>47.58</v>
      </c>
      <c r="J9" s="308">
        <f t="shared" si="2"/>
        <v>56.110000000000014</v>
      </c>
      <c r="K9" s="316">
        <f t="shared" si="3"/>
        <v>63.840000000000018</v>
      </c>
      <c r="M9" s="360">
        <f t="shared" si="4"/>
        <v>0.17106060606060602</v>
      </c>
      <c r="O9" s="363">
        <f t="shared" si="5"/>
        <v>9.5982106060606061</v>
      </c>
      <c r="P9" s="364">
        <f t="shared" si="6"/>
        <v>46.511789393939409</v>
      </c>
      <c r="R9" s="363">
        <f t="shared" si="7"/>
        <v>7.9563348826905429</v>
      </c>
      <c r="S9" s="364">
        <f t="shared" si="8"/>
        <v>38.555454511248868</v>
      </c>
      <c r="U9" s="363">
        <f t="shared" si="10"/>
        <v>6.5953194156363582</v>
      </c>
      <c r="V9" s="364">
        <f t="shared" si="9"/>
        <v>31.960135095612511</v>
      </c>
    </row>
    <row r="10" spans="1:22" ht="12" customHeight="1" x14ac:dyDescent="0.35">
      <c r="A10" s="315" t="s">
        <v>63</v>
      </c>
      <c r="B10" s="308">
        <v>86.22999999999999</v>
      </c>
      <c r="C10" s="309">
        <v>5.68</v>
      </c>
      <c r="D10" s="309">
        <f>1.06+0.55</f>
        <v>1.61</v>
      </c>
      <c r="E10" s="308">
        <f t="shared" si="0"/>
        <v>90.3</v>
      </c>
      <c r="F10" s="309">
        <v>45.28</v>
      </c>
      <c r="G10" s="309">
        <v>13.17</v>
      </c>
      <c r="H10" s="309">
        <f>0.72+0.44</f>
        <v>1.1599999999999999</v>
      </c>
      <c r="I10" s="308">
        <f t="shared" si="1"/>
        <v>57.290000000000006</v>
      </c>
      <c r="J10" s="308">
        <f t="shared" si="2"/>
        <v>33.009999999999991</v>
      </c>
      <c r="K10" s="316">
        <f t="shared" si="3"/>
        <v>40.949999999999989</v>
      </c>
      <c r="M10" s="360">
        <f t="shared" si="4"/>
        <v>0.31830297645490896</v>
      </c>
      <c r="O10" s="363">
        <f t="shared" si="5"/>
        <v>10.507181252776542</v>
      </c>
      <c r="P10" s="364">
        <f t="shared" si="6"/>
        <v>22.502818747223451</v>
      </c>
      <c r="R10" s="363">
        <f t="shared" si="7"/>
        <v>7.16271418586655</v>
      </c>
      <c r="S10" s="364">
        <f t="shared" si="8"/>
        <v>15.340104561356901</v>
      </c>
      <c r="U10" s="363">
        <f t="shared" si="10"/>
        <v>4.8828009410094273</v>
      </c>
      <c r="V10" s="364">
        <f t="shared" si="9"/>
        <v>10.457303620347474</v>
      </c>
    </row>
    <row r="11" spans="1:22" ht="12" customHeight="1" thickBot="1" x14ac:dyDescent="0.4">
      <c r="A11" s="344" t="s">
        <v>53</v>
      </c>
      <c r="B11" s="334">
        <v>5.91</v>
      </c>
      <c r="C11" s="345">
        <v>0.53</v>
      </c>
      <c r="D11" s="345">
        <v>0.3</v>
      </c>
      <c r="E11" s="334">
        <f t="shared" si="0"/>
        <v>6.1400000000000006</v>
      </c>
      <c r="F11" s="345">
        <v>2.46</v>
      </c>
      <c r="G11" s="345">
        <v>0.74</v>
      </c>
      <c r="H11" s="345">
        <v>0.13</v>
      </c>
      <c r="I11" s="334">
        <f t="shared" si="1"/>
        <v>3.0700000000000003</v>
      </c>
      <c r="J11" s="334">
        <f t="shared" si="2"/>
        <v>3.0700000000000003</v>
      </c>
      <c r="K11" s="335">
        <f t="shared" si="3"/>
        <v>3.45</v>
      </c>
      <c r="M11" s="360">
        <f t="shared" si="4"/>
        <v>0.23641304347826084</v>
      </c>
      <c r="O11" s="363">
        <f t="shared" si="5"/>
        <v>0.72578804347826087</v>
      </c>
      <c r="P11" s="364">
        <f t="shared" si="6"/>
        <v>2.3442119565217396</v>
      </c>
      <c r="R11" s="363">
        <f t="shared" si="7"/>
        <v>0.55420228319943299</v>
      </c>
      <c r="S11" s="364">
        <f t="shared" si="8"/>
        <v>1.7900096733223068</v>
      </c>
      <c r="U11" s="363">
        <f t="shared" si="10"/>
        <v>0.42318163472565401</v>
      </c>
      <c r="V11" s="364">
        <f t="shared" si="9"/>
        <v>1.3668280385966527</v>
      </c>
    </row>
    <row r="12" spans="1:22" s="24" customFormat="1" ht="12" customHeight="1" thickBot="1" x14ac:dyDescent="0.4">
      <c r="A12" s="336" t="s">
        <v>54</v>
      </c>
      <c r="B12" s="352">
        <f>SUM(B5:B11)</f>
        <v>5481.6699999999992</v>
      </c>
      <c r="C12" s="337">
        <f t="shared" ref="C12:H12" si="11">SUM(C5:C11)</f>
        <v>407.90999999999997</v>
      </c>
      <c r="D12" s="337">
        <f t="shared" si="11"/>
        <v>101.63</v>
      </c>
      <c r="E12" s="352">
        <f t="shared" si="0"/>
        <v>5787.9499999999989</v>
      </c>
      <c r="F12" s="337">
        <f t="shared" si="11"/>
        <v>1323.31</v>
      </c>
      <c r="G12" s="337">
        <f t="shared" si="11"/>
        <v>504.46</v>
      </c>
      <c r="H12" s="337">
        <f t="shared" si="11"/>
        <v>31.799999999999997</v>
      </c>
      <c r="I12" s="352">
        <f t="shared" si="1"/>
        <v>1795.97</v>
      </c>
      <c r="J12" s="352">
        <f t="shared" si="2"/>
        <v>3991.9799999999987</v>
      </c>
      <c r="K12" s="338">
        <f>SUM(K5:K11)</f>
        <v>4158.3599999999997</v>
      </c>
      <c r="M12" s="361"/>
      <c r="N12" s="25"/>
      <c r="O12" s="365">
        <f>SUM(O5:O11)</f>
        <v>458.06014362268468</v>
      </c>
      <c r="P12" s="366">
        <f>SUM(P5:P11)</f>
        <v>3533.9198563773152</v>
      </c>
      <c r="Q12" s="25"/>
      <c r="R12" s="365">
        <f>SUM(R5:R11)</f>
        <v>383.34715903144854</v>
      </c>
      <c r="S12" s="366">
        <f>SUM(S5:S11)</f>
        <v>3150.5726973458668</v>
      </c>
      <c r="U12" s="365">
        <f>SUM(U5:U11)</f>
        <v>321.9350179511776</v>
      </c>
      <c r="V12" s="366">
        <f>SUM(V5:V11)</f>
        <v>2828.6376793946897</v>
      </c>
    </row>
    <row r="13" spans="1:22" ht="12" customHeight="1" x14ac:dyDescent="0.25">
      <c r="A13" s="346" t="s">
        <v>55</v>
      </c>
      <c r="B13" s="347"/>
      <c r="C13" s="347"/>
      <c r="D13" s="347"/>
      <c r="E13" s="348"/>
      <c r="F13" s="349"/>
      <c r="G13" s="349"/>
      <c r="H13" s="349"/>
      <c r="I13" s="350"/>
      <c r="J13" s="350"/>
      <c r="K13" s="351"/>
      <c r="M13" s="360"/>
      <c r="O13" s="363"/>
      <c r="P13" s="364"/>
      <c r="R13" s="363"/>
      <c r="S13" s="364"/>
      <c r="U13" s="363"/>
      <c r="V13" s="364"/>
    </row>
    <row r="14" spans="1:22" ht="12" customHeight="1" x14ac:dyDescent="0.35">
      <c r="A14" s="315" t="s">
        <v>68</v>
      </c>
      <c r="B14" s="309">
        <v>185.53</v>
      </c>
      <c r="C14" s="309">
        <v>3.3</v>
      </c>
      <c r="D14" s="310">
        <v>0</v>
      </c>
      <c r="E14" s="312">
        <f t="shared" si="0"/>
        <v>188.83</v>
      </c>
      <c r="F14" s="309">
        <v>82.76</v>
      </c>
      <c r="G14" s="309">
        <v>37.619999999999997</v>
      </c>
      <c r="H14" s="310">
        <v>0</v>
      </c>
      <c r="I14" s="308">
        <f t="shared" ref="I14:I19" si="12">F14+G14-H14</f>
        <v>120.38</v>
      </c>
      <c r="J14" s="308">
        <f t="shared" ref="J14:J19" si="13">-I14+E14</f>
        <v>68.450000000000017</v>
      </c>
      <c r="K14" s="316">
        <f t="shared" ref="K14:K19" si="14">B14-F14</f>
        <v>102.77</v>
      </c>
      <c r="M14" s="360">
        <f t="shared" ref="M14:M18" si="15">(G14+H14)/(E14-F14)</f>
        <v>0.35467144338644285</v>
      </c>
      <c r="O14" s="363">
        <f t="shared" ref="O14:O17" si="16">J14*M14</f>
        <v>24.27726029980202</v>
      </c>
      <c r="P14" s="364">
        <f t="shared" ref="P14:P17" si="17">J14-O14</f>
        <v>44.172739700197994</v>
      </c>
      <c r="R14" s="363">
        <f t="shared" ref="R14:R17" si="18">P14*M14</f>
        <v>15.666809347802849</v>
      </c>
      <c r="S14" s="364">
        <f t="shared" ref="S14:S17" si="19">P14-R14</f>
        <v>28.505930352395147</v>
      </c>
      <c r="U14" s="363">
        <f t="shared" ref="U14:U17" si="20">S14*M14</f>
        <v>10.110239463157399</v>
      </c>
      <c r="V14" s="364">
        <f t="shared" ref="V14:V17" si="21">S14-U14</f>
        <v>18.395690889237748</v>
      </c>
    </row>
    <row r="15" spans="1:22" ht="12" customHeight="1" x14ac:dyDescent="0.35">
      <c r="A15" s="315" t="s">
        <v>69</v>
      </c>
      <c r="B15" s="309">
        <v>71.42</v>
      </c>
      <c r="C15" s="309">
        <v>28.68</v>
      </c>
      <c r="D15" s="309">
        <v>0</v>
      </c>
      <c r="E15" s="312">
        <f t="shared" si="0"/>
        <v>100.1</v>
      </c>
      <c r="F15" s="309">
        <v>23.11</v>
      </c>
      <c r="G15" s="309">
        <v>16.84</v>
      </c>
      <c r="H15" s="309">
        <v>0</v>
      </c>
      <c r="I15" s="308">
        <f t="shared" si="12"/>
        <v>39.950000000000003</v>
      </c>
      <c r="J15" s="308">
        <f t="shared" si="13"/>
        <v>60.149999999999991</v>
      </c>
      <c r="K15" s="316">
        <f t="shared" si="14"/>
        <v>48.31</v>
      </c>
      <c r="M15" s="360">
        <f t="shared" si="15"/>
        <v>0.21872970515651385</v>
      </c>
      <c r="O15" s="363">
        <f t="shared" si="16"/>
        <v>13.156591765164306</v>
      </c>
      <c r="P15" s="364">
        <f t="shared" si="17"/>
        <v>46.993408234835684</v>
      </c>
      <c r="R15" s="363">
        <f t="shared" si="18"/>
        <v>10.2788543275053</v>
      </c>
      <c r="S15" s="364">
        <f t="shared" si="19"/>
        <v>36.714553907330384</v>
      </c>
      <c r="U15" s="363">
        <f t="shared" si="20"/>
        <v>8.0305635511033078</v>
      </c>
      <c r="V15" s="364">
        <f t="shared" si="21"/>
        <v>28.683990356227078</v>
      </c>
    </row>
    <row r="16" spans="1:22" ht="12" customHeight="1" x14ac:dyDescent="0.35">
      <c r="A16" s="315" t="s">
        <v>70</v>
      </c>
      <c r="B16" s="309">
        <v>4.66</v>
      </c>
      <c r="C16" s="309">
        <v>0</v>
      </c>
      <c r="D16" s="310">
        <v>0</v>
      </c>
      <c r="E16" s="312">
        <f t="shared" si="0"/>
        <v>4.66</v>
      </c>
      <c r="F16" s="309">
        <v>2.37</v>
      </c>
      <c r="G16" s="309">
        <f>0.48+1.81</f>
        <v>2.29</v>
      </c>
      <c r="H16" s="310">
        <v>0</v>
      </c>
      <c r="I16" s="308">
        <f t="shared" si="12"/>
        <v>4.66</v>
      </c>
      <c r="J16" s="308">
        <f t="shared" si="13"/>
        <v>0</v>
      </c>
      <c r="K16" s="316">
        <f t="shared" si="14"/>
        <v>2.29</v>
      </c>
      <c r="M16" s="360">
        <f t="shared" si="15"/>
        <v>1</v>
      </c>
      <c r="O16" s="363">
        <f t="shared" si="16"/>
        <v>0</v>
      </c>
      <c r="P16" s="364">
        <f t="shared" si="17"/>
        <v>0</v>
      </c>
      <c r="R16" s="363">
        <f t="shared" si="18"/>
        <v>0</v>
      </c>
      <c r="S16" s="364">
        <f t="shared" si="19"/>
        <v>0</v>
      </c>
      <c r="U16" s="363">
        <f t="shared" si="20"/>
        <v>0</v>
      </c>
      <c r="V16" s="364">
        <f t="shared" si="21"/>
        <v>0</v>
      </c>
    </row>
    <row r="17" spans="1:22" ht="12" customHeight="1" x14ac:dyDescent="0.35">
      <c r="A17" s="315" t="s">
        <v>71</v>
      </c>
      <c r="B17" s="309">
        <v>10.45</v>
      </c>
      <c r="C17" s="309">
        <v>0</v>
      </c>
      <c r="D17" s="310">
        <v>0</v>
      </c>
      <c r="E17" s="312">
        <f t="shared" si="0"/>
        <v>10.45</v>
      </c>
      <c r="F17" s="309">
        <v>2.68</v>
      </c>
      <c r="G17" s="309">
        <f>1.04</f>
        <v>1.04</v>
      </c>
      <c r="H17" s="310">
        <v>0</v>
      </c>
      <c r="I17" s="308">
        <f t="shared" si="12"/>
        <v>3.72</v>
      </c>
      <c r="J17" s="308">
        <f t="shared" si="13"/>
        <v>6.7299999999999986</v>
      </c>
      <c r="K17" s="316">
        <f t="shared" si="14"/>
        <v>7.77</v>
      </c>
      <c r="M17" s="360">
        <f t="shared" si="15"/>
        <v>0.13384813384813385</v>
      </c>
      <c r="O17" s="363">
        <f t="shared" si="16"/>
        <v>0.90079794079794062</v>
      </c>
      <c r="P17" s="364">
        <f t="shared" si="17"/>
        <v>5.8292020592020579</v>
      </c>
      <c r="R17" s="363">
        <f t="shared" si="18"/>
        <v>0.78022781744789449</v>
      </c>
      <c r="S17" s="364">
        <f t="shared" si="19"/>
        <v>5.0489742417541636</v>
      </c>
      <c r="U17" s="363">
        <f t="shared" si="20"/>
        <v>0.67579578010609143</v>
      </c>
      <c r="V17" s="364">
        <f t="shared" si="21"/>
        <v>4.373178461648072</v>
      </c>
    </row>
    <row r="18" spans="1:22" ht="12" customHeight="1" thickBot="1" x14ac:dyDescent="0.4">
      <c r="A18" s="353" t="s">
        <v>72</v>
      </c>
      <c r="B18" s="345">
        <v>1.08</v>
      </c>
      <c r="C18" s="345">
        <v>0</v>
      </c>
      <c r="D18" s="354">
        <v>0</v>
      </c>
      <c r="E18" s="333">
        <f t="shared" si="0"/>
        <v>1.08</v>
      </c>
      <c r="F18" s="345">
        <v>0.56000000000000005</v>
      </c>
      <c r="G18" s="345">
        <f>0.11+0.42</f>
        <v>0.53</v>
      </c>
      <c r="H18" s="354">
        <v>0</v>
      </c>
      <c r="I18" s="334">
        <f t="shared" si="12"/>
        <v>1.0900000000000001</v>
      </c>
      <c r="J18" s="334">
        <f t="shared" si="13"/>
        <v>-1.0000000000000009E-2</v>
      </c>
      <c r="K18" s="335">
        <f t="shared" si="14"/>
        <v>0.52</v>
      </c>
      <c r="M18" s="362">
        <f t="shared" si="15"/>
        <v>1.0192307692307692</v>
      </c>
      <c r="O18" s="363"/>
      <c r="P18" s="364"/>
      <c r="R18" s="363"/>
      <c r="S18" s="364"/>
      <c r="U18" s="363"/>
      <c r="V18" s="364"/>
    </row>
    <row r="19" spans="1:22" s="24" customFormat="1" ht="12" customHeight="1" thickBot="1" x14ac:dyDescent="0.4">
      <c r="A19" s="336" t="s">
        <v>56</v>
      </c>
      <c r="B19" s="355">
        <f>SUM(B14:B18)</f>
        <v>273.14</v>
      </c>
      <c r="C19" s="355">
        <f t="shared" ref="C19:H19" si="22">SUM(C14:C18)</f>
        <v>31.98</v>
      </c>
      <c r="D19" s="355">
        <v>0</v>
      </c>
      <c r="E19" s="352">
        <f t="shared" si="0"/>
        <v>305.12</v>
      </c>
      <c r="F19" s="355">
        <f t="shared" si="22"/>
        <v>111.48000000000002</v>
      </c>
      <c r="G19" s="355">
        <f>SUM(G14:G18)</f>
        <v>58.319999999999993</v>
      </c>
      <c r="H19" s="355">
        <f t="shared" si="22"/>
        <v>0</v>
      </c>
      <c r="I19" s="356">
        <f t="shared" si="12"/>
        <v>169.8</v>
      </c>
      <c r="J19" s="356">
        <f t="shared" si="13"/>
        <v>135.32</v>
      </c>
      <c r="K19" s="357">
        <f t="shared" si="14"/>
        <v>161.65999999999997</v>
      </c>
      <c r="M19" s="31"/>
      <c r="N19" s="25"/>
      <c r="O19" s="365">
        <f>SUM(O14:O17)</f>
        <v>38.334650005764267</v>
      </c>
      <c r="P19" s="366">
        <f>SUM(P14:P17)</f>
        <v>96.995349994235738</v>
      </c>
      <c r="Q19" s="25"/>
      <c r="R19" s="365">
        <f>SUM(R14:R17)</f>
        <v>26.725891492756041</v>
      </c>
      <c r="S19" s="366">
        <f>SUM(S14:S17)</f>
        <v>70.269458501479704</v>
      </c>
      <c r="U19" s="365">
        <f>SUM(U14:U17)</f>
        <v>18.816598794366797</v>
      </c>
      <c r="V19" s="366">
        <f>SUM(V14:V17)</f>
        <v>51.4528597071129</v>
      </c>
    </row>
    <row r="20" spans="1:22" s="24" customFormat="1" ht="12" customHeight="1" thickBot="1" x14ac:dyDescent="0.4">
      <c r="A20" s="336" t="s">
        <v>57</v>
      </c>
      <c r="B20" s="337">
        <f>B19+B12</f>
        <v>5754.8099999999995</v>
      </c>
      <c r="C20" s="337">
        <f t="shared" ref="C20:K20" si="23">C19+C12</f>
        <v>439.89</v>
      </c>
      <c r="D20" s="337">
        <f t="shared" si="23"/>
        <v>101.63</v>
      </c>
      <c r="E20" s="337">
        <f t="shared" si="23"/>
        <v>6093.0699999999988</v>
      </c>
      <c r="F20" s="337">
        <f t="shared" si="23"/>
        <v>1434.79</v>
      </c>
      <c r="G20" s="337">
        <f t="shared" si="23"/>
        <v>562.78</v>
      </c>
      <c r="H20" s="337">
        <f t="shared" si="23"/>
        <v>31.799999999999997</v>
      </c>
      <c r="I20" s="337">
        <f t="shared" si="23"/>
        <v>1965.77</v>
      </c>
      <c r="J20" s="337">
        <f t="shared" si="23"/>
        <v>4127.2999999999984</v>
      </c>
      <c r="K20" s="338">
        <f t="shared" si="23"/>
        <v>4320.0199999999995</v>
      </c>
      <c r="M20" s="31"/>
      <c r="N20" s="25"/>
      <c r="O20" s="367">
        <f>O12+O19</f>
        <v>496.39479362844895</v>
      </c>
      <c r="P20" s="368">
        <f>P12+P19</f>
        <v>3630.915206371551</v>
      </c>
      <c r="Q20" s="25"/>
      <c r="R20" s="367">
        <f>R12+R19</f>
        <v>410.07305052420458</v>
      </c>
      <c r="S20" s="368">
        <f>S12+S19</f>
        <v>3220.8421558473465</v>
      </c>
      <c r="U20" s="367">
        <f>U12+U19</f>
        <v>340.75161674554442</v>
      </c>
      <c r="V20" s="368">
        <f>V12+V19</f>
        <v>2880.0905391018027</v>
      </c>
    </row>
    <row r="21" spans="1:22" ht="10.75" customHeight="1" thickBot="1" x14ac:dyDescent="0.3">
      <c r="A21" s="339"/>
      <c r="B21" s="340"/>
      <c r="C21" s="340"/>
      <c r="D21" s="340"/>
      <c r="E21" s="341"/>
      <c r="F21" s="340"/>
      <c r="G21" s="340"/>
      <c r="H21" s="340"/>
      <c r="I21" s="342"/>
      <c r="J21" s="342"/>
      <c r="K21" s="343"/>
    </row>
    <row r="23" spans="1:22" ht="12" thickBot="1" x14ac:dyDescent="0.4"/>
    <row r="24" spans="1:22" s="59" customFormat="1" ht="12" thickBot="1" x14ac:dyDescent="0.4">
      <c r="A24" s="386"/>
      <c r="B24" s="381">
        <v>41729</v>
      </c>
      <c r="C24" s="379">
        <v>42094</v>
      </c>
      <c r="D24" s="379">
        <v>42460</v>
      </c>
      <c r="E24" s="379">
        <v>42825</v>
      </c>
      <c r="F24" s="379">
        <v>43190</v>
      </c>
      <c r="G24" s="379">
        <v>43555</v>
      </c>
      <c r="H24" s="379">
        <v>43921</v>
      </c>
      <c r="I24" s="379">
        <v>44286</v>
      </c>
      <c r="J24" s="380">
        <v>44651</v>
      </c>
      <c r="K24" s="57"/>
      <c r="L24" s="57"/>
      <c r="M24" s="58"/>
      <c r="T24" s="57"/>
    </row>
    <row r="25" spans="1:22" s="27" customFormat="1" x14ac:dyDescent="0.35">
      <c r="A25" s="387"/>
      <c r="B25" s="382"/>
      <c r="C25" s="377"/>
      <c r="D25" s="377"/>
      <c r="E25" s="377"/>
      <c r="F25" s="377"/>
      <c r="G25" s="377"/>
      <c r="H25" s="377"/>
      <c r="I25" s="377"/>
      <c r="J25" s="378"/>
      <c r="K25" s="26"/>
      <c r="L25" s="26"/>
      <c r="M25" s="30"/>
      <c r="T25" s="26"/>
    </row>
    <row r="26" spans="1:22" s="27" customFormat="1" x14ac:dyDescent="0.35">
      <c r="A26" s="388" t="s">
        <v>58</v>
      </c>
      <c r="B26" s="383">
        <f>3519.59+4.6+319.64+57.05</f>
        <v>3900.88</v>
      </c>
      <c r="C26" s="29">
        <v>3936.43</v>
      </c>
      <c r="D26" s="29">
        <v>4377.16</v>
      </c>
      <c r="E26" s="29">
        <v>4791.3500000000004</v>
      </c>
      <c r="F26" s="29">
        <v>4782.9499999999989</v>
      </c>
      <c r="G26" s="29">
        <v>4486.6400000000003</v>
      </c>
      <c r="H26" s="29">
        <v>3928.2452063715514</v>
      </c>
      <c r="I26" s="29">
        <v>3518.1721558473469</v>
      </c>
      <c r="J26" s="373">
        <v>3177.4205391018031</v>
      </c>
      <c r="K26" s="26"/>
      <c r="L26" s="26"/>
      <c r="M26" s="30"/>
      <c r="T26" s="26"/>
    </row>
    <row r="27" spans="1:22" s="27" customFormat="1" x14ac:dyDescent="0.35">
      <c r="A27" s="388" t="s">
        <v>59</v>
      </c>
      <c r="B27" s="383">
        <v>323.61</v>
      </c>
      <c r="C27" s="29">
        <v>433.2</v>
      </c>
      <c r="D27" s="29">
        <v>754.22</v>
      </c>
      <c r="E27" s="29">
        <v>1322.93</v>
      </c>
      <c r="F27" s="29">
        <v>529.61</v>
      </c>
      <c r="G27" s="29">
        <v>569.72</v>
      </c>
      <c r="H27" s="29">
        <v>496.39479362844895</v>
      </c>
      <c r="I27" s="29">
        <v>410.07305052420458</v>
      </c>
      <c r="J27" s="373">
        <v>340.75161674554442</v>
      </c>
      <c r="K27" s="26"/>
      <c r="L27" s="26"/>
      <c r="M27" s="30"/>
      <c r="T27" s="26"/>
    </row>
    <row r="28" spans="1:22" s="27" customFormat="1" x14ac:dyDescent="0.35">
      <c r="A28" s="388"/>
      <c r="B28" s="384">
        <f t="shared" ref="B28:I28" si="24">B26+B27</f>
        <v>4224.49</v>
      </c>
      <c r="C28" s="311">
        <f t="shared" si="24"/>
        <v>4369.63</v>
      </c>
      <c r="D28" s="311">
        <f t="shared" si="24"/>
        <v>5131.38</v>
      </c>
      <c r="E28" s="311">
        <f t="shared" si="24"/>
        <v>6114.2800000000007</v>
      </c>
      <c r="F28" s="311">
        <f t="shared" si="24"/>
        <v>5312.5599999999986</v>
      </c>
      <c r="G28" s="311">
        <f t="shared" si="24"/>
        <v>5056.3600000000006</v>
      </c>
      <c r="H28" s="311">
        <f t="shared" si="24"/>
        <v>4424.6400000000003</v>
      </c>
      <c r="I28" s="311">
        <f t="shared" si="24"/>
        <v>3928.2452063715514</v>
      </c>
      <c r="J28" s="374">
        <f>J26+J27</f>
        <v>3518.1721558473473</v>
      </c>
      <c r="K28" s="26"/>
      <c r="L28" s="26"/>
      <c r="M28" s="30"/>
      <c r="T28" s="26"/>
    </row>
    <row r="29" spans="1:22" s="27" customFormat="1" ht="12" thickBot="1" x14ac:dyDescent="0.4">
      <c r="A29" s="389" t="s">
        <v>60</v>
      </c>
      <c r="B29" s="385"/>
      <c r="C29" s="375">
        <f t="shared" ref="C29:I29" si="25">B26-C28</f>
        <v>-468.75</v>
      </c>
      <c r="D29" s="375">
        <f t="shared" si="25"/>
        <v>-1194.9500000000003</v>
      </c>
      <c r="E29" s="375">
        <f t="shared" si="25"/>
        <v>-1737.1200000000008</v>
      </c>
      <c r="F29" s="375">
        <f t="shared" si="25"/>
        <v>-521.20999999999822</v>
      </c>
      <c r="G29" s="375">
        <f t="shared" si="25"/>
        <v>-273.41000000000167</v>
      </c>
      <c r="H29" s="375">
        <f t="shared" si="25"/>
        <v>62</v>
      </c>
      <c r="I29" s="375">
        <f t="shared" si="25"/>
        <v>0</v>
      </c>
      <c r="J29" s="376">
        <f>I26-J28</f>
        <v>0</v>
      </c>
      <c r="K29" s="26"/>
      <c r="L29" s="26"/>
      <c r="M29" s="30"/>
      <c r="T29" s="26"/>
    </row>
  </sheetData>
  <mergeCells count="3">
    <mergeCell ref="B1:E1"/>
    <mergeCell ref="F1:I1"/>
    <mergeCell ref="J1:K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B411-24E2-477C-8404-FC6796FFC9E2}">
  <dimension ref="B1:I18"/>
  <sheetViews>
    <sheetView workbookViewId="0">
      <selection activeCell="I17" sqref="I17"/>
    </sheetView>
  </sheetViews>
  <sheetFormatPr defaultRowHeight="14.5" x14ac:dyDescent="0.35"/>
  <cols>
    <col min="2" max="2" width="26.7265625" customWidth="1"/>
    <col min="9" max="9" width="44.6328125" customWidth="1"/>
  </cols>
  <sheetData>
    <row r="1" spans="2:9" ht="22.5" customHeight="1" x14ac:dyDescent="0.35">
      <c r="C1" t="s">
        <v>206</v>
      </c>
      <c r="D1" t="s">
        <v>207</v>
      </c>
      <c r="E1" t="s">
        <v>208</v>
      </c>
      <c r="F1" t="s">
        <v>209</v>
      </c>
      <c r="G1" t="s">
        <v>210</v>
      </c>
    </row>
    <row r="2" spans="2:9" ht="58" x14ac:dyDescent="0.35">
      <c r="B2" s="142" t="s">
        <v>196</v>
      </c>
      <c r="C2">
        <v>136.5</v>
      </c>
      <c r="D2">
        <v>147.69999999999999</v>
      </c>
      <c r="E2">
        <v>161.4</v>
      </c>
      <c r="F2">
        <v>181.1</v>
      </c>
      <c r="G2">
        <v>190.4</v>
      </c>
      <c r="I2" s="138" t="s">
        <v>197</v>
      </c>
    </row>
    <row r="3" spans="2:9" x14ac:dyDescent="0.35">
      <c r="B3" s="142"/>
      <c r="C3" t="s">
        <v>206</v>
      </c>
      <c r="D3" t="s">
        <v>207</v>
      </c>
      <c r="E3" t="s">
        <v>208</v>
      </c>
      <c r="F3" t="s">
        <v>209</v>
      </c>
      <c r="G3" t="s">
        <v>210</v>
      </c>
      <c r="I3" s="138"/>
    </row>
    <row r="4" spans="2:9" ht="43.5" x14ac:dyDescent="0.35">
      <c r="B4" t="s">
        <v>198</v>
      </c>
      <c r="C4">
        <v>0.15409999999999999</v>
      </c>
      <c r="D4">
        <v>0.14480000000000001</v>
      </c>
      <c r="E4">
        <v>7.8200000000000006E-2</v>
      </c>
      <c r="F4">
        <v>9.7799999999999998E-2</v>
      </c>
      <c r="G4">
        <v>0.1113</v>
      </c>
      <c r="I4" s="139" t="s">
        <v>199</v>
      </c>
    </row>
    <row r="5" spans="2:9" x14ac:dyDescent="0.35">
      <c r="C5" t="s">
        <v>206</v>
      </c>
      <c r="D5" t="s">
        <v>207</v>
      </c>
      <c r="E5" t="s">
        <v>208</v>
      </c>
      <c r="F5" t="s">
        <v>209</v>
      </c>
      <c r="G5" t="s">
        <v>210</v>
      </c>
      <c r="I5" s="139"/>
    </row>
    <row r="6" spans="2:9" s="138" customFormat="1" ht="58" x14ac:dyDescent="0.35">
      <c r="B6" s="141" t="s">
        <v>200</v>
      </c>
      <c r="C6" s="138">
        <v>0.1105</v>
      </c>
      <c r="D6" s="138">
        <v>0.1011</v>
      </c>
      <c r="E6" s="138">
        <v>7.2400000000000006E-2</v>
      </c>
      <c r="F6" s="138">
        <v>9.3600000000000003E-2</v>
      </c>
      <c r="G6" s="138">
        <v>9.2200000000000004E-2</v>
      </c>
      <c r="I6" s="140" t="s">
        <v>205</v>
      </c>
    </row>
    <row r="7" spans="2:9" s="138" customFormat="1" x14ac:dyDescent="0.35">
      <c r="B7" s="141"/>
      <c r="C7" t="s">
        <v>206</v>
      </c>
      <c r="D7" t="s">
        <v>207</v>
      </c>
      <c r="E7" t="s">
        <v>208</v>
      </c>
      <c r="F7" t="s">
        <v>209</v>
      </c>
      <c r="G7" t="s">
        <v>210</v>
      </c>
      <c r="I7" s="140"/>
    </row>
    <row r="8" spans="2:9" ht="49.5" customHeight="1" x14ac:dyDescent="0.35">
      <c r="B8" t="s">
        <v>201</v>
      </c>
      <c r="C8">
        <v>1.9</v>
      </c>
      <c r="D8">
        <v>1.1000000000000001</v>
      </c>
      <c r="E8">
        <v>2.6</v>
      </c>
      <c r="F8">
        <v>2.8</v>
      </c>
      <c r="G8">
        <v>3.3</v>
      </c>
      <c r="I8" s="142" t="s">
        <v>202</v>
      </c>
    </row>
    <row r="9" spans="2:9" ht="49.5" customHeight="1" x14ac:dyDescent="0.35">
      <c r="C9" t="s">
        <v>206</v>
      </c>
      <c r="D9" t="s">
        <v>207</v>
      </c>
      <c r="E9" t="s">
        <v>208</v>
      </c>
      <c r="F9" t="s">
        <v>209</v>
      </c>
      <c r="G9" t="s">
        <v>210</v>
      </c>
      <c r="I9" s="142"/>
    </row>
    <row r="10" spans="2:9" ht="58" x14ac:dyDescent="0.35">
      <c r="B10" t="s">
        <v>203</v>
      </c>
      <c r="C10" s="143">
        <v>3.3845282585312164E-2</v>
      </c>
      <c r="D10" s="143">
        <v>2.4315035597472612E-2</v>
      </c>
      <c r="E10" s="143">
        <v>1.922247362158358E-2</v>
      </c>
      <c r="F10" s="143">
        <v>1.7388101734493566E-2</v>
      </c>
      <c r="G10" s="143">
        <v>1.6748147903553279E-2</v>
      </c>
      <c r="I10" s="138" t="s">
        <v>204</v>
      </c>
    </row>
    <row r="12" spans="2:9" ht="15" thickBot="1" x14ac:dyDescent="0.4"/>
    <row r="13" spans="2:9" ht="15" thickBot="1" x14ac:dyDescent="0.4">
      <c r="B13" s="157"/>
      <c r="C13" s="158" t="s">
        <v>206</v>
      </c>
      <c r="D13" s="158" t="s">
        <v>207</v>
      </c>
      <c r="E13" s="158" t="s">
        <v>208</v>
      </c>
      <c r="F13" s="158" t="s">
        <v>209</v>
      </c>
      <c r="G13" s="159" t="s">
        <v>210</v>
      </c>
    </row>
    <row r="14" spans="2:9" ht="29" x14ac:dyDescent="0.35">
      <c r="B14" s="154" t="s">
        <v>196</v>
      </c>
      <c r="C14" s="155">
        <v>136.5</v>
      </c>
      <c r="D14" s="155">
        <v>147.69999999999999</v>
      </c>
      <c r="E14" s="155">
        <v>161.4</v>
      </c>
      <c r="F14" s="155">
        <v>181.1</v>
      </c>
      <c r="G14" s="156">
        <v>190.4</v>
      </c>
    </row>
    <row r="15" spans="2:9" x14ac:dyDescent="0.35">
      <c r="B15" s="148" t="s">
        <v>198</v>
      </c>
      <c r="C15" s="145">
        <v>0.15409999999999999</v>
      </c>
      <c r="D15" s="145">
        <v>0.14480000000000001</v>
      </c>
      <c r="E15" s="145">
        <v>7.8200000000000006E-2</v>
      </c>
      <c r="F15" s="145">
        <v>9.7799999999999998E-2</v>
      </c>
      <c r="G15" s="147">
        <v>0.1113</v>
      </c>
    </row>
    <row r="16" spans="2:9" s="144" customFormat="1" x14ac:dyDescent="0.35">
      <c r="B16" s="149" t="s">
        <v>200</v>
      </c>
      <c r="C16" s="146">
        <v>0.1105</v>
      </c>
      <c r="D16" s="146">
        <v>0.1011</v>
      </c>
      <c r="E16" s="146">
        <v>7.2400000000000006E-2</v>
      </c>
      <c r="F16" s="146">
        <v>9.3600000000000003E-2</v>
      </c>
      <c r="G16" s="150">
        <v>9.2200000000000004E-2</v>
      </c>
    </row>
    <row r="17" spans="2:7" x14ac:dyDescent="0.35">
      <c r="B17" s="148" t="s">
        <v>201</v>
      </c>
      <c r="C17" s="145">
        <v>1.9</v>
      </c>
      <c r="D17" s="145">
        <v>1.1000000000000001</v>
      </c>
      <c r="E17" s="145">
        <v>2.6</v>
      </c>
      <c r="F17" s="145">
        <v>2.8</v>
      </c>
      <c r="G17" s="147">
        <v>3.3</v>
      </c>
    </row>
    <row r="18" spans="2:7" ht="15" thickBot="1" x14ac:dyDescent="0.4">
      <c r="B18" s="151" t="s">
        <v>203</v>
      </c>
      <c r="C18" s="152">
        <v>3.3845282585312164E-2</v>
      </c>
      <c r="D18" s="152">
        <v>2.4315035597472612E-2</v>
      </c>
      <c r="E18" s="152">
        <v>1.922247362158358E-2</v>
      </c>
      <c r="F18" s="152">
        <v>1.7388101734493566E-2</v>
      </c>
      <c r="G18" s="153">
        <v>1.6748147903553279E-2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P&amp;L</vt:lpstr>
      <vt:lpstr>Balance Sheet</vt:lpstr>
      <vt:lpstr>FCF, UCFF</vt:lpstr>
      <vt:lpstr>Discounted Cash Flow, Valuation</vt:lpstr>
      <vt:lpstr>Net Worth</vt:lpstr>
      <vt:lpstr>PPE</vt:lpstr>
      <vt:lpstr>Key Ratios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Kuntal Desai</dc:creator>
  <cp:lastModifiedBy>Kuntal Desai</cp:lastModifiedBy>
  <dcterms:created xsi:type="dcterms:W3CDTF">2020-06-25T11:23:58Z</dcterms:created>
  <dcterms:modified xsi:type="dcterms:W3CDTF">2020-07-13T14:37:33Z</dcterms:modified>
</cp:coreProperties>
</file>