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Personal\FA Stock\"/>
    </mc:Choice>
  </mc:AlternateContent>
  <xr:revisionPtr revIDLastSave="0" documentId="13_ncr:1_{FA74B062-9E4D-4162-B1D2-8424ED9D281A}" xr6:coauthVersionLast="45" xr6:coauthVersionMax="45" xr10:uidLastSave="{00000000-0000-0000-0000-000000000000}"/>
  <bookViews>
    <workbookView xWindow="-110" yWindow="-110" windowWidth="19420" windowHeight="10420" activeTab="3" xr2:uid="{6109BD87-722F-45FC-B9E0-5D61245739AE}"/>
  </bookViews>
  <sheets>
    <sheet name="P&amp;L" sheetId="1" r:id="rId1"/>
    <sheet name="Balance Sheet" sheetId="2" r:id="rId2"/>
    <sheet name="FCF, UCFF" sheetId="9" r:id="rId3"/>
    <sheet name="Discounted Cash Flow, Valuation" sheetId="11" r:id="rId4"/>
    <sheet name="Net Worth" sheetId="10" r:id="rId5"/>
    <sheet name="Borrowings" sheetId="7" r:id="rId6"/>
    <sheet name="PPE" sheetId="6" r:id="rId7"/>
    <sheet name="Key Ratios" sheetId="12" state="hidden"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8" i="6" l="1"/>
  <c r="K28" i="6"/>
  <c r="J28" i="6"/>
  <c r="I28" i="6"/>
  <c r="H28" i="6"/>
  <c r="G28" i="6"/>
  <c r="F28" i="6"/>
  <c r="E28" i="6"/>
  <c r="D28" i="6"/>
  <c r="C28" i="6"/>
  <c r="L22" i="6"/>
  <c r="L29" i="6" s="1"/>
  <c r="E22" i="6"/>
  <c r="E29" i="6" s="1"/>
  <c r="D22" i="6"/>
  <c r="D29" i="6" s="1"/>
  <c r="L21" i="6"/>
  <c r="K21" i="6"/>
  <c r="J21" i="6"/>
  <c r="I21" i="6"/>
  <c r="H21" i="6"/>
  <c r="G21" i="6"/>
  <c r="G22" i="6" s="1"/>
  <c r="G29" i="6" s="1"/>
  <c r="F21" i="6"/>
  <c r="F22" i="6" s="1"/>
  <c r="F29" i="6" s="1"/>
  <c r="E21" i="6"/>
  <c r="D21" i="6"/>
  <c r="C21" i="6"/>
  <c r="L17" i="6"/>
  <c r="K17" i="6"/>
  <c r="K22" i="6" s="1"/>
  <c r="K29" i="6" s="1"/>
  <c r="J17" i="6"/>
  <c r="J22" i="6" s="1"/>
  <c r="J29" i="6" s="1"/>
  <c r="I17" i="6"/>
  <c r="I22" i="6" s="1"/>
  <c r="I29" i="6" s="1"/>
  <c r="H17" i="6"/>
  <c r="H22" i="6" s="1"/>
  <c r="H29" i="6" s="1"/>
  <c r="G17" i="6"/>
  <c r="F17" i="6"/>
  <c r="E17" i="6"/>
  <c r="D17" i="6"/>
  <c r="C17" i="6"/>
  <c r="C22" i="6" s="1"/>
  <c r="C29" i="6" s="1"/>
  <c r="H10" i="11" l="1"/>
  <c r="G9" i="11"/>
  <c r="F9" i="11"/>
  <c r="E9" i="11"/>
  <c r="D9" i="11"/>
  <c r="C9" i="11"/>
  <c r="C17" i="11"/>
  <c r="C18" i="11" s="1"/>
  <c r="G8" i="11" s="1"/>
  <c r="H9" i="11" l="1"/>
  <c r="D8" i="11"/>
  <c r="C8" i="11"/>
  <c r="E8" i="11"/>
  <c r="F8" i="11"/>
  <c r="G10" i="9"/>
  <c r="G19" i="9" s="1"/>
  <c r="F10" i="9"/>
  <c r="F19" i="9" s="1"/>
  <c r="E10" i="9"/>
  <c r="E19" i="9" s="1"/>
  <c r="D10" i="9"/>
  <c r="D19" i="9" s="1"/>
  <c r="C10" i="9"/>
  <c r="C19" i="9" s="1"/>
  <c r="C24" i="9"/>
  <c r="J23" i="9"/>
  <c r="I23" i="9"/>
  <c r="H23" i="9"/>
  <c r="G23" i="9"/>
  <c r="F23" i="9"/>
  <c r="E23" i="9"/>
  <c r="D23" i="9"/>
  <c r="C23" i="9"/>
  <c r="I12" i="10"/>
  <c r="H12" i="10"/>
  <c r="G12" i="10"/>
  <c r="F12" i="10"/>
  <c r="E12" i="10"/>
  <c r="D12" i="10"/>
  <c r="J12" i="10"/>
  <c r="I11" i="10"/>
  <c r="H11" i="10"/>
  <c r="G11" i="10"/>
  <c r="F11" i="10"/>
  <c r="E11" i="10"/>
  <c r="D11" i="10"/>
  <c r="C11" i="10"/>
  <c r="J9" i="10"/>
  <c r="J11" i="10" s="1"/>
  <c r="I9" i="10"/>
  <c r="H9" i="10"/>
  <c r="G9" i="10"/>
  <c r="F9" i="10"/>
  <c r="E9" i="10"/>
  <c r="D9" i="10"/>
  <c r="C9" i="10"/>
  <c r="H8" i="11" l="1"/>
  <c r="J35" i="6"/>
  <c r="J36" i="6" s="1"/>
  <c r="I18" i="9" s="1"/>
  <c r="I35" i="9" s="1"/>
  <c r="I33" i="11" s="1"/>
  <c r="I35" i="6"/>
  <c r="I36" i="6" s="1"/>
  <c r="H18" i="9" s="1"/>
  <c r="H35" i="9" s="1"/>
  <c r="H33" i="11" s="1"/>
  <c r="H35" i="6"/>
  <c r="H36" i="6" s="1"/>
  <c r="G18" i="9" s="1"/>
  <c r="G35" i="9" s="1"/>
  <c r="G33" i="11" s="1"/>
  <c r="G35" i="6"/>
  <c r="G36" i="6" s="1"/>
  <c r="F18" i="9" s="1"/>
  <c r="F35" i="9" s="1"/>
  <c r="F33" i="11" s="1"/>
  <c r="F35" i="6"/>
  <c r="F36" i="6" s="1"/>
  <c r="E18" i="9" s="1"/>
  <c r="E35" i="9" s="1"/>
  <c r="E33" i="11" s="1"/>
  <c r="E35" i="6"/>
  <c r="E36" i="6" s="1"/>
  <c r="D18" i="9" s="1"/>
  <c r="D35" i="9" s="1"/>
  <c r="D33" i="11" s="1"/>
  <c r="D35" i="6"/>
  <c r="K35" i="6"/>
  <c r="K36" i="6" s="1"/>
  <c r="J18" i="9" s="1"/>
  <c r="J35" i="9" s="1"/>
  <c r="J33" i="11" s="1"/>
  <c r="C33" i="6"/>
  <c r="G8" i="9"/>
  <c r="G25" i="9" s="1"/>
  <c r="F8" i="9"/>
  <c r="F25" i="9" s="1"/>
  <c r="E8" i="9"/>
  <c r="E25" i="9" s="1"/>
  <c r="D8" i="9"/>
  <c r="D25" i="9" s="1"/>
  <c r="C8" i="9"/>
  <c r="C25" i="9" s="1"/>
  <c r="C26" i="9" s="1"/>
  <c r="G13" i="9"/>
  <c r="F13" i="9"/>
  <c r="E13" i="9"/>
  <c r="D13" i="9"/>
  <c r="C13" i="9"/>
  <c r="C12" i="9"/>
  <c r="C34" i="9" s="1"/>
  <c r="C32" i="11" s="1"/>
  <c r="G12" i="9"/>
  <c r="F12" i="9"/>
  <c r="E12" i="9"/>
  <c r="D12" i="9"/>
  <c r="G7" i="9"/>
  <c r="G33" i="9" s="1"/>
  <c r="G31" i="11" s="1"/>
  <c r="F7" i="9"/>
  <c r="F33" i="9" s="1"/>
  <c r="F31" i="11" s="1"/>
  <c r="E7" i="9"/>
  <c r="E33" i="9" s="1"/>
  <c r="E31" i="11" s="1"/>
  <c r="D7" i="9"/>
  <c r="D33" i="9" s="1"/>
  <c r="D31" i="11" s="1"/>
  <c r="C7" i="9"/>
  <c r="C33" i="9" s="1"/>
  <c r="C31" i="11" s="1"/>
  <c r="G36" i="2"/>
  <c r="F36" i="2"/>
  <c r="E36" i="2"/>
  <c r="D36" i="2"/>
  <c r="C36" i="2"/>
  <c r="D36" i="6" l="1"/>
  <c r="C18" i="9" s="1"/>
  <c r="C35" i="9" s="1"/>
  <c r="C33" i="11" s="1"/>
  <c r="C35" i="6"/>
  <c r="F34" i="9"/>
  <c r="F32" i="11" s="1"/>
  <c r="D34" i="9"/>
  <c r="D32" i="11" s="1"/>
  <c r="E34" i="9"/>
  <c r="E32" i="11" s="1"/>
  <c r="G34" i="9"/>
  <c r="G32" i="11" s="1"/>
  <c r="E20" i="9"/>
  <c r="D20" i="9"/>
  <c r="F20" i="9"/>
  <c r="G20" i="9"/>
  <c r="C20" i="9" l="1"/>
  <c r="J31" i="2"/>
  <c r="I31" i="2"/>
  <c r="H31" i="2"/>
  <c r="J30" i="2"/>
  <c r="I30" i="2"/>
  <c r="H30" i="2"/>
  <c r="J29" i="2"/>
  <c r="I29" i="2"/>
  <c r="H29" i="2"/>
  <c r="J27" i="2"/>
  <c r="I27" i="2"/>
  <c r="H27" i="2"/>
  <c r="J26" i="2"/>
  <c r="I26" i="2"/>
  <c r="H26" i="2"/>
  <c r="J24" i="1"/>
  <c r="J10" i="1"/>
  <c r="H18" i="2" l="1"/>
  <c r="I18" i="2" s="1"/>
  <c r="J18" i="2" s="1"/>
  <c r="H14" i="7"/>
  <c r="H16" i="7" s="1"/>
  <c r="G14" i="7"/>
  <c r="G16" i="7" s="1"/>
  <c r="F14" i="7"/>
  <c r="F16" i="7" s="1"/>
  <c r="D14" i="7"/>
  <c r="D16" i="7" s="1"/>
  <c r="J15" i="2" s="1"/>
  <c r="E13" i="7"/>
  <c r="C13" i="7" s="1"/>
  <c r="E12" i="7"/>
  <c r="N27" i="6"/>
  <c r="O27" i="6" s="1"/>
  <c r="N26" i="6"/>
  <c r="O26" i="6" s="1"/>
  <c r="P26" i="6" s="1"/>
  <c r="N25" i="6"/>
  <c r="O25" i="6" s="1"/>
  <c r="N24" i="6"/>
  <c r="O24" i="6" s="1"/>
  <c r="P24" i="6" s="1"/>
  <c r="N19" i="6"/>
  <c r="O19" i="6" s="1"/>
  <c r="P19" i="6" s="1"/>
  <c r="N16" i="6"/>
  <c r="N15" i="6"/>
  <c r="O15" i="6" s="1"/>
  <c r="P15" i="6" s="1"/>
  <c r="N14" i="6"/>
  <c r="N13" i="6"/>
  <c r="O13" i="6" s="1"/>
  <c r="P13" i="6" s="1"/>
  <c r="N12" i="6"/>
  <c r="O12" i="6" s="1"/>
  <c r="N11" i="6"/>
  <c r="N10" i="6"/>
  <c r="N9" i="6"/>
  <c r="O9" i="6" s="1"/>
  <c r="P9" i="6" s="1"/>
  <c r="N8" i="6"/>
  <c r="N7" i="6"/>
  <c r="O7" i="6" s="1"/>
  <c r="E14" i="7" l="1"/>
  <c r="E16" i="7" s="1"/>
  <c r="H15" i="2" s="1"/>
  <c r="C12" i="7"/>
  <c r="C14" i="7" s="1"/>
  <c r="C16" i="7" s="1"/>
  <c r="O14" i="6"/>
  <c r="P14" i="6" s="1"/>
  <c r="Q14" i="6" s="1"/>
  <c r="R14" i="6" s="1"/>
  <c r="O8" i="6"/>
  <c r="O16" i="6"/>
  <c r="P16" i="6" s="1"/>
  <c r="Q16" i="6" s="1"/>
  <c r="R16" i="6" s="1"/>
  <c r="S16" i="6" s="1"/>
  <c r="T16" i="6" s="1"/>
  <c r="O28" i="6"/>
  <c r="P12" i="6"/>
  <c r="Q12" i="6" s="1"/>
  <c r="R12" i="6" s="1"/>
  <c r="O10" i="6"/>
  <c r="P10" i="6" s="1"/>
  <c r="Q10" i="6" s="1"/>
  <c r="R10" i="6" s="1"/>
  <c r="O11" i="6"/>
  <c r="P11" i="6" s="1"/>
  <c r="Q11" i="6" s="1"/>
  <c r="R11" i="6" s="1"/>
  <c r="P25" i="6"/>
  <c r="Q25" i="6" s="1"/>
  <c r="R25" i="6" s="1"/>
  <c r="S25" i="6" s="1"/>
  <c r="T25" i="6" s="1"/>
  <c r="P27" i="6"/>
  <c r="Q19" i="6"/>
  <c r="R19" i="6" s="1"/>
  <c r="Q24" i="6"/>
  <c r="Q26" i="6"/>
  <c r="R26" i="6" s="1"/>
  <c r="S26" i="6" s="1"/>
  <c r="T26" i="6" s="1"/>
  <c r="Q13" i="6"/>
  <c r="R13" i="6" s="1"/>
  <c r="Q9" i="6"/>
  <c r="R9" i="6" s="1"/>
  <c r="Q15" i="6"/>
  <c r="R15" i="6" s="1"/>
  <c r="S15" i="6" s="1"/>
  <c r="T15" i="6" s="1"/>
  <c r="P7" i="6"/>
  <c r="H16" i="2"/>
  <c r="I16" i="2" s="1"/>
  <c r="J16" i="2" s="1"/>
  <c r="H17" i="2"/>
  <c r="I17" i="2" s="1"/>
  <c r="J17" i="2" s="1"/>
  <c r="I13" i="2"/>
  <c r="H10" i="2"/>
  <c r="I10" i="2" s="1"/>
  <c r="J10" i="2" s="1"/>
  <c r="G28" i="2"/>
  <c r="G32" i="2" s="1"/>
  <c r="G37" i="2" s="1"/>
  <c r="F28" i="2"/>
  <c r="F32" i="2" s="1"/>
  <c r="F37" i="2" s="1"/>
  <c r="E28" i="2"/>
  <c r="E32" i="2" s="1"/>
  <c r="E37" i="2" s="1"/>
  <c r="D28" i="2"/>
  <c r="D32" i="2" s="1"/>
  <c r="D37" i="2" s="1"/>
  <c r="C28" i="2"/>
  <c r="C32" i="2" s="1"/>
  <c r="C37" i="2" s="1"/>
  <c r="G19" i="2"/>
  <c r="F19" i="2"/>
  <c r="G24" i="9" s="1"/>
  <c r="G26" i="9" s="1"/>
  <c r="E19" i="2"/>
  <c r="F24" i="9" s="1"/>
  <c r="F26" i="9" s="1"/>
  <c r="D19" i="2"/>
  <c r="C19" i="2"/>
  <c r="C12" i="2"/>
  <c r="C6" i="11" s="1"/>
  <c r="D12" i="2"/>
  <c r="D6" i="11" s="1"/>
  <c r="D7" i="11" s="1"/>
  <c r="E12" i="2"/>
  <c r="F12" i="2"/>
  <c r="G12" i="2"/>
  <c r="G6" i="11" s="1"/>
  <c r="G7" i="11" s="1"/>
  <c r="I24" i="1"/>
  <c r="H24" i="1"/>
  <c r="I21" i="1"/>
  <c r="I8" i="9" s="1"/>
  <c r="I25" i="9" s="1"/>
  <c r="H12" i="1"/>
  <c r="H10" i="9" s="1"/>
  <c r="H19" i="9" s="1"/>
  <c r="H20" i="9" s="1"/>
  <c r="S21" i="1"/>
  <c r="J21" i="1" s="1"/>
  <c r="J8" i="9" s="1"/>
  <c r="J25" i="9" s="1"/>
  <c r="R20" i="1"/>
  <c r="S20" i="1" s="1"/>
  <c r="Q20" i="1"/>
  <c r="P20" i="1"/>
  <c r="O20" i="1"/>
  <c r="S12" i="1"/>
  <c r="J12" i="1" s="1"/>
  <c r="J10" i="9" s="1"/>
  <c r="J19" i="9" s="1"/>
  <c r="J20" i="9" s="1"/>
  <c r="I10" i="1"/>
  <c r="H10" i="1"/>
  <c r="G33" i="1"/>
  <c r="G32" i="9" s="1"/>
  <c r="G30" i="11" s="1"/>
  <c r="F33" i="1"/>
  <c r="F32" i="9" s="1"/>
  <c r="F30" i="11" s="1"/>
  <c r="E33" i="1"/>
  <c r="E32" i="9" s="1"/>
  <c r="E30" i="11" s="1"/>
  <c r="D33" i="1"/>
  <c r="D32" i="9" s="1"/>
  <c r="D30" i="11" s="1"/>
  <c r="C33" i="1"/>
  <c r="C32" i="9" s="1"/>
  <c r="C30" i="11" s="1"/>
  <c r="G19" i="1"/>
  <c r="G25" i="1" s="1"/>
  <c r="F19" i="1"/>
  <c r="F25" i="1" s="1"/>
  <c r="E19" i="1"/>
  <c r="E25" i="1" s="1"/>
  <c r="D19" i="1"/>
  <c r="D25" i="1" s="1"/>
  <c r="C19" i="1"/>
  <c r="C25" i="1" s="1"/>
  <c r="G10" i="1"/>
  <c r="G11" i="1" s="1"/>
  <c r="F10" i="1"/>
  <c r="F11" i="1" s="1"/>
  <c r="E10" i="1"/>
  <c r="E11" i="1" s="1"/>
  <c r="D10" i="1"/>
  <c r="D11" i="1" s="1"/>
  <c r="C10" i="1"/>
  <c r="C11" i="1" s="1"/>
  <c r="G21" i="2" l="1"/>
  <c r="F6" i="11"/>
  <c r="F7" i="11" s="1"/>
  <c r="E6" i="11"/>
  <c r="E7" i="11" s="1"/>
  <c r="C7" i="11"/>
  <c r="C21" i="2"/>
  <c r="D24" i="9"/>
  <c r="D26" i="9" s="1"/>
  <c r="E24" i="9"/>
  <c r="E26" i="9" s="1"/>
  <c r="O22" i="6"/>
  <c r="O29" i="6" s="1"/>
  <c r="H22" i="1" s="1"/>
  <c r="H7" i="9" s="1"/>
  <c r="H33" i="9" s="1"/>
  <c r="H31" i="11" s="1"/>
  <c r="P28" i="6"/>
  <c r="H25" i="2" s="1"/>
  <c r="P8" i="6"/>
  <c r="Q8" i="6" s="1"/>
  <c r="R8" i="6" s="1"/>
  <c r="T8" i="6" s="1"/>
  <c r="H20" i="1"/>
  <c r="I20" i="1" s="1"/>
  <c r="J20" i="1" s="1"/>
  <c r="O34" i="2"/>
  <c r="O20" i="2"/>
  <c r="I12" i="1"/>
  <c r="I10" i="9" s="1"/>
  <c r="I19" i="9" s="1"/>
  <c r="I20" i="9" s="1"/>
  <c r="E13" i="1"/>
  <c r="P34" i="2"/>
  <c r="P20" i="2"/>
  <c r="F13" i="1"/>
  <c r="F27" i="1" s="1"/>
  <c r="F29" i="1" s="1"/>
  <c r="F31" i="9" s="1"/>
  <c r="Q34" i="2"/>
  <c r="Q20" i="2"/>
  <c r="C13" i="1"/>
  <c r="N34" i="2"/>
  <c r="N20" i="2"/>
  <c r="R19" i="1"/>
  <c r="R34" i="2"/>
  <c r="R20" i="2"/>
  <c r="H21" i="1"/>
  <c r="H8" i="9" s="1"/>
  <c r="H25" i="9" s="1"/>
  <c r="S14" i="6"/>
  <c r="T14" i="6" s="1"/>
  <c r="S9" i="6"/>
  <c r="T9" i="6" s="1"/>
  <c r="S10" i="6"/>
  <c r="T10" i="6" s="1"/>
  <c r="S19" i="6"/>
  <c r="T19" i="6" s="1"/>
  <c r="S11" i="6"/>
  <c r="T11" i="6" s="1"/>
  <c r="S12" i="6"/>
  <c r="T12" i="6" s="1"/>
  <c r="R24" i="6"/>
  <c r="S13" i="6"/>
  <c r="T13" i="6" s="1"/>
  <c r="D21" i="2"/>
  <c r="E21" i="2"/>
  <c r="F21" i="2"/>
  <c r="J13" i="2"/>
  <c r="J19" i="2"/>
  <c r="I15" i="2"/>
  <c r="I19" i="2" s="1"/>
  <c r="Q27" i="6"/>
  <c r="R27" i="6" s="1"/>
  <c r="S27" i="6" s="1"/>
  <c r="T27" i="6" s="1"/>
  <c r="Q7" i="6"/>
  <c r="Q22" i="6" s="1"/>
  <c r="H19" i="2"/>
  <c r="R11" i="1"/>
  <c r="Q19" i="1"/>
  <c r="D13" i="1"/>
  <c r="D27" i="1" s="1"/>
  <c r="D29" i="1" s="1"/>
  <c r="D31" i="9" s="1"/>
  <c r="O19" i="1"/>
  <c r="O23" i="1"/>
  <c r="O11" i="1"/>
  <c r="P11" i="1"/>
  <c r="N23" i="1"/>
  <c r="Q11" i="1"/>
  <c r="N19" i="1"/>
  <c r="S19" i="1" s="1"/>
  <c r="P23" i="1"/>
  <c r="E27" i="1"/>
  <c r="E29" i="1" s="1"/>
  <c r="E31" i="9" s="1"/>
  <c r="Q23" i="1"/>
  <c r="P19" i="1"/>
  <c r="R23" i="1"/>
  <c r="C27" i="1"/>
  <c r="C29" i="1" s="1"/>
  <c r="C31" i="9" s="1"/>
  <c r="G13" i="1"/>
  <c r="G27" i="1" s="1"/>
  <c r="G29" i="1" s="1"/>
  <c r="G31" i="9" s="1"/>
  <c r="H7" i="11" l="1"/>
  <c r="S34" i="2"/>
  <c r="H6" i="11"/>
  <c r="P22" i="6"/>
  <c r="P29" i="6" s="1"/>
  <c r="F29" i="11"/>
  <c r="F36" i="9"/>
  <c r="F34" i="11" s="1"/>
  <c r="E29" i="11"/>
  <c r="E36" i="9"/>
  <c r="E34" i="11" s="1"/>
  <c r="G29" i="11"/>
  <c r="G36" i="9"/>
  <c r="G34" i="11" s="1"/>
  <c r="S20" i="2"/>
  <c r="D29" i="11"/>
  <c r="D36" i="9"/>
  <c r="D34" i="11" s="1"/>
  <c r="C29" i="11"/>
  <c r="C36" i="9"/>
  <c r="C34" i="11" s="1"/>
  <c r="S23" i="1"/>
  <c r="S11" i="1"/>
  <c r="H11" i="1" s="1"/>
  <c r="H13" i="1" s="1"/>
  <c r="J24" i="9"/>
  <c r="J26" i="9" s="1"/>
  <c r="I24" i="9"/>
  <c r="I26" i="9" s="1"/>
  <c r="H24" i="9"/>
  <c r="H26" i="9" s="1"/>
  <c r="S24" i="6"/>
  <c r="S28" i="6" s="1"/>
  <c r="R28" i="6"/>
  <c r="I25" i="2" s="1"/>
  <c r="Q28" i="6"/>
  <c r="Q29" i="6" s="1"/>
  <c r="I22" i="1" s="1"/>
  <c r="R7" i="6"/>
  <c r="I11" i="1"/>
  <c r="D34" i="1"/>
  <c r="D5" i="9" s="1"/>
  <c r="D15" i="9" s="1"/>
  <c r="D27" i="9" s="1"/>
  <c r="O33" i="1"/>
  <c r="G34" i="1"/>
  <c r="G5" i="9" s="1"/>
  <c r="G15" i="9" s="1"/>
  <c r="G27" i="9" s="1"/>
  <c r="R33" i="1"/>
  <c r="E34" i="1"/>
  <c r="E5" i="9" s="1"/>
  <c r="E15" i="9" s="1"/>
  <c r="E27" i="9" s="1"/>
  <c r="P33" i="1"/>
  <c r="F34" i="1"/>
  <c r="F5" i="9" s="1"/>
  <c r="F15" i="9" s="1"/>
  <c r="F27" i="9" s="1"/>
  <c r="Q33" i="1"/>
  <c r="H19" i="1"/>
  <c r="C34" i="1"/>
  <c r="C5" i="9" s="1"/>
  <c r="C15" i="9" s="1"/>
  <c r="C27" i="9" s="1"/>
  <c r="N33" i="1"/>
  <c r="S33" i="1" l="1"/>
  <c r="H34" i="2"/>
  <c r="C11" i="11"/>
  <c r="C49" i="11" s="1"/>
  <c r="H24" i="2"/>
  <c r="H28" i="2" s="1"/>
  <c r="H32" i="2" s="1"/>
  <c r="I13" i="1"/>
  <c r="J11" i="1"/>
  <c r="J20" i="2" s="1"/>
  <c r="I23" i="1"/>
  <c r="H36" i="2"/>
  <c r="H12" i="9"/>
  <c r="I20" i="2"/>
  <c r="H20" i="2"/>
  <c r="H13" i="9" s="1"/>
  <c r="I19" i="1"/>
  <c r="H23" i="1"/>
  <c r="H25" i="1" s="1"/>
  <c r="H27" i="1" s="1"/>
  <c r="H29" i="1" s="1"/>
  <c r="I34" i="2"/>
  <c r="I12" i="9" s="1"/>
  <c r="R22" i="6"/>
  <c r="S7" i="6"/>
  <c r="T24" i="6"/>
  <c r="T28" i="6" s="1"/>
  <c r="J25" i="2" s="1"/>
  <c r="I7" i="9"/>
  <c r="I33" i="9" s="1"/>
  <c r="I31" i="11" s="1"/>
  <c r="I25" i="1" l="1"/>
  <c r="J23" i="1"/>
  <c r="D22" i="11"/>
  <c r="D23" i="11" s="1"/>
  <c r="F22" i="11"/>
  <c r="F23" i="11" s="1"/>
  <c r="E22" i="11"/>
  <c r="C22" i="11"/>
  <c r="C23" i="11"/>
  <c r="C37" i="11"/>
  <c r="J13" i="9"/>
  <c r="C45" i="11"/>
  <c r="E23" i="11"/>
  <c r="H37" i="2"/>
  <c r="T7" i="6"/>
  <c r="T22" i="6" s="1"/>
  <c r="T29" i="6" s="1"/>
  <c r="S22" i="6"/>
  <c r="S29" i="6" s="1"/>
  <c r="J22" i="1" s="1"/>
  <c r="J7" i="9" s="1"/>
  <c r="J33" i="9" s="1"/>
  <c r="J31" i="11" s="1"/>
  <c r="H34" i="9"/>
  <c r="H32" i="11" s="1"/>
  <c r="H31" i="9"/>
  <c r="H29" i="11" s="1"/>
  <c r="H33" i="1"/>
  <c r="H34" i="1" s="1"/>
  <c r="H5" i="9" s="1"/>
  <c r="H15" i="9" s="1"/>
  <c r="H27" i="9" s="1"/>
  <c r="I27" i="1"/>
  <c r="I29" i="1" s="1"/>
  <c r="I31" i="9" s="1"/>
  <c r="I29" i="11" s="1"/>
  <c r="I36" i="2"/>
  <c r="I13" i="9"/>
  <c r="I34" i="9" s="1"/>
  <c r="I32" i="11" s="1"/>
  <c r="J13" i="1"/>
  <c r="J19" i="1"/>
  <c r="J34" i="2"/>
  <c r="J36" i="2" s="1"/>
  <c r="I24" i="2"/>
  <c r="R29" i="6"/>
  <c r="C41" i="11" l="1"/>
  <c r="J12" i="9"/>
  <c r="J34" i="9" s="1"/>
  <c r="J32" i="11" s="1"/>
  <c r="J25" i="1"/>
  <c r="J27" i="1" s="1"/>
  <c r="J29" i="1" s="1"/>
  <c r="J31" i="9" s="1"/>
  <c r="J29" i="11" s="1"/>
  <c r="J24" i="2"/>
  <c r="J28" i="2" s="1"/>
  <c r="J32" i="2" s="1"/>
  <c r="J37" i="2" s="1"/>
  <c r="H32" i="9"/>
  <c r="H36" i="9" s="1"/>
  <c r="H34" i="11" s="1"/>
  <c r="H11" i="2"/>
  <c r="H12" i="2" s="1"/>
  <c r="I33" i="1"/>
  <c r="I34" i="1" s="1"/>
  <c r="I5" i="9" s="1"/>
  <c r="I15" i="9" s="1"/>
  <c r="I27" i="9" s="1"/>
  <c r="I28" i="2"/>
  <c r="I32" i="2" s="1"/>
  <c r="I37" i="2" s="1"/>
  <c r="J33" i="1" l="1"/>
  <c r="J32" i="9" s="1"/>
  <c r="J36" i="9" s="1"/>
  <c r="J34" i="11" s="1"/>
  <c r="H30" i="11"/>
  <c r="I32" i="9"/>
  <c r="I36" i="9" s="1"/>
  <c r="I34" i="11" s="1"/>
  <c r="I11" i="2"/>
  <c r="I12" i="2" s="1"/>
  <c r="H21" i="2"/>
  <c r="J34" i="1" l="1"/>
  <c r="J5" i="9" s="1"/>
  <c r="J15" i="9" s="1"/>
  <c r="J27" i="9" s="1"/>
  <c r="J30" i="11"/>
  <c r="I30" i="11"/>
  <c r="F24" i="11"/>
  <c r="C50" i="11" s="1"/>
  <c r="C53" i="11" s="1"/>
  <c r="E24" i="11"/>
  <c r="C46" i="11" s="1"/>
  <c r="C24" i="11"/>
  <c r="C38" i="11" s="1"/>
  <c r="D24" i="11"/>
  <c r="C42" i="11" s="1"/>
  <c r="I21" i="2"/>
  <c r="J11" i="2" l="1"/>
  <c r="J12" i="2" s="1"/>
  <c r="J21" i="2" s="1"/>
</calcChain>
</file>

<file path=xl/sharedStrings.xml><?xml version="1.0" encoding="utf-8"?>
<sst xmlns="http://schemas.openxmlformats.org/spreadsheetml/2006/main" count="343" uniqueCount="227">
  <si>
    <t>Reliance Industries</t>
  </si>
  <si>
    <t>Standalone Profit &amp; Loss account</t>
  </si>
  <si>
    <t>INCOME</t>
  </si>
  <si>
    <t>Revenue From Operations [Gross]</t>
  </si>
  <si>
    <t>Less: Excise/Sevice Tax/Other Levies</t>
  </si>
  <si>
    <t>Revenue From Operations [Net]</t>
  </si>
  <si>
    <t>Other Income</t>
  </si>
  <si>
    <t>Total Revenue</t>
  </si>
  <si>
    <t>EXPENSES</t>
  </si>
  <si>
    <t>Cost Of Materials Consumed</t>
  </si>
  <si>
    <t>Purchase Of Stock-In Trade</t>
  </si>
  <si>
    <t>Changes In Inventories Of FG,WIP And Stock-In Trade</t>
  </si>
  <si>
    <t>Employee Benefit Expenses</t>
  </si>
  <si>
    <t>Finance Costs</t>
  </si>
  <si>
    <t>Depreciation And Amortisation Expenses</t>
  </si>
  <si>
    <t>Less: Transfer to / From Investment / Fixed Assets / Others</t>
  </si>
  <si>
    <t>Total Expenses</t>
  </si>
  <si>
    <t>Profit/Loss Before Exceptional, ExtraOrdinary Items And Tax</t>
  </si>
  <si>
    <t>Exceptional Items</t>
  </si>
  <si>
    <t>Profit/Loss Before Tax</t>
  </si>
  <si>
    <t>Tax Expenses-Continued Operations</t>
  </si>
  <si>
    <t>Current Tax</t>
  </si>
  <si>
    <t>Deferred Tax</t>
  </si>
  <si>
    <t>Total Tax Expenses</t>
  </si>
  <si>
    <t>Profit/Loss For The Period</t>
  </si>
  <si>
    <t>Standalone Balance Sheet</t>
  </si>
  <si>
    <t>EQUITIES AND LIABILITIES</t>
  </si>
  <si>
    <t>SHAREHOLDER'S FUNDS</t>
  </si>
  <si>
    <t>Equity Share Capital</t>
  </si>
  <si>
    <t>Reserves and Surplus</t>
  </si>
  <si>
    <t>Total Shareholders Funds</t>
  </si>
  <si>
    <t>Equity Share Application Money</t>
  </si>
  <si>
    <t>NON-CURRENT LIABILITIES</t>
  </si>
  <si>
    <t>Long Term Borrowings</t>
  </si>
  <si>
    <t>Deferred Tax Liabilities [Net]</t>
  </si>
  <si>
    <t>Other Long Term Liabilities</t>
  </si>
  <si>
    <t>Long Term Provisions</t>
  </si>
  <si>
    <t>Total Non-Current Liabilities</t>
  </si>
  <si>
    <t>CURRENT LIABILITIES</t>
  </si>
  <si>
    <t>Total Capital And Liabilities</t>
  </si>
  <si>
    <t>ASSETS</t>
  </si>
  <si>
    <t>NON-CURRENT ASSETS</t>
  </si>
  <si>
    <t>Tangible Assets</t>
  </si>
  <si>
    <t>Intangible Assets</t>
  </si>
  <si>
    <t>Capital Work-In-Progress</t>
  </si>
  <si>
    <t>Intangible Assets Under Development</t>
  </si>
  <si>
    <t>Fixed Assets</t>
  </si>
  <si>
    <t>Non-Current Investments</t>
  </si>
  <si>
    <t>Long Term Loans And Advances</t>
  </si>
  <si>
    <t>Other Non-Current Assets</t>
  </si>
  <si>
    <t>Total Non-Current Assets</t>
  </si>
  <si>
    <t>CURRENT ASSETS</t>
  </si>
  <si>
    <t>Total Current Assets</t>
  </si>
  <si>
    <t>Total Assets</t>
  </si>
  <si>
    <t>14-15</t>
  </si>
  <si>
    <t>15-16</t>
  </si>
  <si>
    <t>16-17</t>
  </si>
  <si>
    <t>17-18</t>
  </si>
  <si>
    <t>Year</t>
  </si>
  <si>
    <t>Operating Revenues</t>
  </si>
  <si>
    <t>Cost of goods sold</t>
  </si>
  <si>
    <t>Operating cost and other Expense</t>
  </si>
  <si>
    <t>18-19</t>
  </si>
  <si>
    <t>19-20 (Forecasted)</t>
  </si>
  <si>
    <t>20-21 (Forecasted)</t>
  </si>
  <si>
    <t>Weighted Average Growth</t>
  </si>
  <si>
    <t>Average</t>
  </si>
  <si>
    <t xml:space="preserve">Average of cost of goods sold to sales ratio  </t>
  </si>
  <si>
    <t>Constant</t>
  </si>
  <si>
    <t>Average Growth</t>
  </si>
  <si>
    <t xml:space="preserve">Average of Operating  Expense to sales ratio  </t>
  </si>
  <si>
    <t>Average of Tax / EBIT</t>
  </si>
  <si>
    <t>Forecasted</t>
  </si>
  <si>
    <t>Borrowing</t>
  </si>
  <si>
    <t>SECURED - AT AMORTISED COST</t>
  </si>
  <si>
    <t>Non-Convertible Debentures</t>
  </si>
  <si>
    <t>UNSECURED - AT AMORTISED COST</t>
  </si>
  <si>
    <t>Bonds</t>
  </si>
  <si>
    <t>Term Loans</t>
  </si>
  <si>
    <t>Non Current</t>
  </si>
  <si>
    <t>Current</t>
  </si>
  <si>
    <r>
      <rPr>
        <b/>
        <sz val="9"/>
        <color rgb="FF383434"/>
        <rFont val="Arial"/>
        <family val="2"/>
      </rPr>
      <t>As at 01-04-2018</t>
    </r>
  </si>
  <si>
    <r>
      <rPr>
        <b/>
        <sz val="9"/>
        <color rgb="FF383434"/>
        <rFont val="Arial"/>
        <family val="2"/>
      </rPr>
      <t>Additions IAdjustments</t>
    </r>
  </si>
  <si>
    <r>
      <rPr>
        <b/>
        <sz val="9"/>
        <color rgb="FF383434"/>
        <rFont val="Arial"/>
        <family val="2"/>
      </rPr>
      <t>Deductions IAdjustments</t>
    </r>
  </si>
  <si>
    <r>
      <rPr>
        <b/>
        <sz val="9"/>
        <color rgb="FF383434"/>
        <rFont val="Arial"/>
        <family val="2"/>
      </rPr>
      <t>As at 31-03-2019</t>
    </r>
  </si>
  <si>
    <r>
      <rPr>
        <b/>
        <sz val="9"/>
        <color rgb="FF383434"/>
        <rFont val="Arial"/>
        <family val="2"/>
      </rPr>
      <t xml:space="preserve">For the Year </t>
    </r>
    <r>
      <rPr>
        <b/>
        <vertAlign val="superscript"/>
        <sz val="9"/>
        <color rgb="FF383434"/>
        <rFont val="Arial"/>
        <family val="2"/>
      </rPr>
      <t>#</t>
    </r>
  </si>
  <si>
    <r>
      <rPr>
        <b/>
        <sz val="9"/>
        <color rgb="FF383434"/>
        <rFont val="Arial"/>
        <family val="2"/>
      </rPr>
      <t>As at 31-03-2018</t>
    </r>
  </si>
  <si>
    <t>Depreciation Rates</t>
  </si>
  <si>
    <t>Depreciation and Amortization for 19-20</t>
  </si>
  <si>
    <t>Net Block as on 31-3-20</t>
  </si>
  <si>
    <t>Depreciation and Amortization for 20-21</t>
  </si>
  <si>
    <t>Net Block as on 31-3-21</t>
  </si>
  <si>
    <r>
      <rPr>
        <b/>
        <sz val="9"/>
        <color rgb="FF64489E"/>
        <rFont val="Arial"/>
        <family val="2"/>
      </rPr>
      <t>Own Assets :</t>
    </r>
  </si>
  <si>
    <r>
      <rPr>
        <sz val="9"/>
        <color rgb="FF383434"/>
        <rFont val="Arial"/>
        <family val="2"/>
      </rPr>
      <t>Leasehold Land</t>
    </r>
  </si>
  <si>
    <r>
      <rPr>
        <sz val="9"/>
        <color rgb="FF383434"/>
        <rFont val="Arial"/>
        <family val="2"/>
      </rPr>
      <t>Freehold Land</t>
    </r>
  </si>
  <si>
    <r>
      <rPr>
        <sz val="9"/>
        <color rgb="FF383434"/>
        <rFont val="Arial"/>
        <family val="2"/>
      </rPr>
      <t>-</t>
    </r>
  </si>
  <si>
    <r>
      <rPr>
        <sz val="9"/>
        <color rgb="FF383434"/>
        <rFont val="Arial"/>
        <family val="2"/>
      </rPr>
      <t>Buildings</t>
    </r>
  </si>
  <si>
    <r>
      <rPr>
        <sz val="9"/>
        <color rgb="FF383434"/>
        <rFont val="Arial"/>
        <family val="2"/>
      </rPr>
      <t>Plant and Machinery</t>
    </r>
  </si>
  <si>
    <r>
      <rPr>
        <sz val="9"/>
        <color rgb="FF383434"/>
        <rFont val="Arial"/>
        <family val="2"/>
      </rPr>
      <t>Electrical Installations</t>
    </r>
  </si>
  <si>
    <r>
      <rPr>
        <sz val="9"/>
        <color rgb="FF383434"/>
        <rFont val="Arial"/>
        <family val="2"/>
      </rPr>
      <t xml:space="preserve">Equipments </t>
    </r>
    <r>
      <rPr>
        <vertAlign val="superscript"/>
        <sz val="9"/>
        <color rgb="FF383434"/>
        <rFont val="Arial"/>
        <family val="2"/>
      </rPr>
      <t>$</t>
    </r>
  </si>
  <si>
    <r>
      <rPr>
        <sz val="9"/>
        <color rgb="FF383434"/>
        <rFont val="Arial"/>
        <family val="2"/>
      </rPr>
      <t>Furniture and Fixtures</t>
    </r>
  </si>
  <si>
    <r>
      <rPr>
        <sz val="9"/>
        <color rgb="FF383434"/>
        <rFont val="Arial"/>
        <family val="2"/>
      </rPr>
      <t>Vehicles</t>
    </r>
  </si>
  <si>
    <r>
      <rPr>
        <sz val="9"/>
        <color rgb="FF383434"/>
        <rFont val="Arial"/>
        <family val="2"/>
      </rPr>
      <t>Ships</t>
    </r>
  </si>
  <si>
    <r>
      <rPr>
        <sz val="9"/>
        <color rgb="FF383434"/>
        <rFont val="Arial"/>
        <family val="2"/>
      </rPr>
      <t>Aircrafs and Helicopters</t>
    </r>
  </si>
  <si>
    <r>
      <rPr>
        <b/>
        <sz val="9"/>
        <color rgb="FF231F1F"/>
        <rFont val="Arial"/>
        <family val="2"/>
      </rPr>
      <t>Sub-Total</t>
    </r>
  </si>
  <si>
    <r>
      <rPr>
        <b/>
        <sz val="9"/>
        <color rgb="FF64489E"/>
        <rFont val="Arial"/>
        <family val="2"/>
      </rPr>
      <t>Leased Assets :</t>
    </r>
  </si>
  <si>
    <r>
      <rPr>
        <b/>
        <sz val="9"/>
        <color rgb="FF231F1F"/>
        <rFont val="Arial"/>
        <family val="2"/>
      </rPr>
      <t>Total (A)</t>
    </r>
  </si>
  <si>
    <r>
      <rPr>
        <b/>
        <sz val="9"/>
        <color rgb="FF231F1F"/>
        <rFont val="Arial"/>
        <family val="2"/>
      </rPr>
      <t xml:space="preserve">INTANGIBLE ASSETS </t>
    </r>
    <r>
      <rPr>
        <sz val="9"/>
        <color rgb="FF231F1F"/>
        <rFont val="Arial"/>
        <family val="2"/>
      </rPr>
      <t>*</t>
    </r>
  </si>
  <si>
    <r>
      <rPr>
        <sz val="9"/>
        <color rgb="FF383434"/>
        <rFont val="Arial"/>
        <family val="2"/>
      </rPr>
      <t>Technical Knowhow Fees</t>
    </r>
  </si>
  <si>
    <r>
      <rPr>
        <sz val="9"/>
        <color rgb="FF383434"/>
        <rFont val="Arial"/>
        <family val="2"/>
      </rPr>
      <t>Sofware</t>
    </r>
  </si>
  <si>
    <r>
      <rPr>
        <sz val="9"/>
        <color rgb="FF383434"/>
        <rFont val="Arial"/>
        <family val="2"/>
      </rPr>
      <t>Development Rights</t>
    </r>
  </si>
  <si>
    <r>
      <rPr>
        <sz val="9"/>
        <color rgb="FF383434"/>
        <rFont val="Arial"/>
        <family val="2"/>
      </rPr>
      <t>Others</t>
    </r>
  </si>
  <si>
    <r>
      <rPr>
        <b/>
        <sz val="9"/>
        <color rgb="FF231F1F"/>
        <rFont val="Arial"/>
        <family val="2"/>
      </rPr>
      <t>Total (B)</t>
    </r>
  </si>
  <si>
    <r>
      <rPr>
        <b/>
        <sz val="9"/>
        <color rgb="FF231F1F"/>
        <rFont val="Arial"/>
        <family val="2"/>
      </rPr>
      <t>Total (A + B)</t>
    </r>
  </si>
  <si>
    <t>Current Assets</t>
  </si>
  <si>
    <t>21-22 (Forecasted)</t>
  </si>
  <si>
    <t>Based on current liabilities to sales ratio</t>
  </si>
  <si>
    <t>Based on current assets to sales ratio</t>
  </si>
  <si>
    <t>Net Profit</t>
  </si>
  <si>
    <t>Depreciation</t>
  </si>
  <si>
    <t>Change in Current Assets</t>
  </si>
  <si>
    <t>Change in Current Liabilities</t>
  </si>
  <si>
    <t>Change in NWC</t>
  </si>
  <si>
    <t>Free Cash Flow (FCF)</t>
  </si>
  <si>
    <t>UCFF or FCFF (in Cr.)</t>
  </si>
  <si>
    <t>EBIT</t>
  </si>
  <si>
    <t>Tax</t>
  </si>
  <si>
    <t>Unlevered Free Cash Flow</t>
  </si>
  <si>
    <t>Cash and Cash Equivalents</t>
  </si>
  <si>
    <t>Add:</t>
  </si>
  <si>
    <t>Less:</t>
  </si>
  <si>
    <t>Interest income</t>
  </si>
  <si>
    <t>Adjusted for:</t>
  </si>
  <si>
    <t>Cash flow from financing activities</t>
  </si>
  <si>
    <t>Cash Flow from Investing</t>
  </si>
  <si>
    <t>Cash Flow from Operations</t>
  </si>
  <si>
    <t>Change in PPE</t>
  </si>
  <si>
    <t>Interest income earned</t>
  </si>
  <si>
    <t>Total CFI</t>
  </si>
  <si>
    <t>Payment / Borrowing of Loans</t>
  </si>
  <si>
    <t>Financing Costs</t>
  </si>
  <si>
    <t>Capital Expenditure</t>
  </si>
  <si>
    <t>Profit After Tax</t>
  </si>
  <si>
    <t>Money received from equity share holders</t>
  </si>
  <si>
    <t>Net Worth</t>
  </si>
  <si>
    <t>Net Worth - Profit</t>
  </si>
  <si>
    <t>Actual money received from Shareholders</t>
  </si>
  <si>
    <t>Total</t>
  </si>
  <si>
    <t>Total CFF</t>
  </si>
  <si>
    <t>Finance cost</t>
  </si>
  <si>
    <t>Purchase or Disposal of PPE</t>
  </si>
  <si>
    <t>Refer PPE</t>
  </si>
  <si>
    <t>Refer PPE Sheet</t>
  </si>
  <si>
    <t>WACC</t>
  </si>
  <si>
    <t>Weight of Equity</t>
  </si>
  <si>
    <t>Weight of Debt</t>
  </si>
  <si>
    <t>Cost of Equity (CAPM)</t>
  </si>
  <si>
    <t>Cost of Debt</t>
  </si>
  <si>
    <t>Tax Rate</t>
  </si>
  <si>
    <t>Terminal Value</t>
  </si>
  <si>
    <t>Rate</t>
  </si>
  <si>
    <t>Terminal value using Perpetual Growth (in Cr.)</t>
  </si>
  <si>
    <t>Best Case Scenario</t>
  </si>
  <si>
    <t>Discount Rate (WACC + 1.5%)</t>
  </si>
  <si>
    <t>NPV of the company</t>
  </si>
  <si>
    <t>Average Case Scenario</t>
  </si>
  <si>
    <t>Discount Rate (WACC + 3%)</t>
  </si>
  <si>
    <t>Worst Case Scenario</t>
  </si>
  <si>
    <t>Discount Rate (WACC + 5%)</t>
  </si>
  <si>
    <t>Adding all the profit to Reserves and Surplus</t>
  </si>
  <si>
    <t>Calculation of Cost of Equity as per CAPM</t>
  </si>
  <si>
    <t xml:space="preserve">Risk free rate </t>
  </si>
  <si>
    <t>Beta</t>
  </si>
  <si>
    <t>Market Risk Premium</t>
  </si>
  <si>
    <t>Rm</t>
  </si>
  <si>
    <t xml:space="preserve">Cost of Equity </t>
  </si>
  <si>
    <t>Growth</t>
  </si>
  <si>
    <t>Rate - Growth</t>
  </si>
  <si>
    <t>Refer Borrowings</t>
  </si>
  <si>
    <t>Calculation of Intrinsic Value</t>
  </si>
  <si>
    <t>No. of Shares</t>
  </si>
  <si>
    <t>in crores</t>
  </si>
  <si>
    <t>Intrinsic Value of shares</t>
  </si>
  <si>
    <t>Market Value of Share</t>
  </si>
  <si>
    <t>As Intrinsic Value is greater than Market Value, Market Price is Undervalued</t>
  </si>
  <si>
    <t>Assumption for Forecasting</t>
  </si>
  <si>
    <t>Assumptions for Forecast</t>
  </si>
  <si>
    <t>CASH FLOW STATEMENT</t>
  </si>
  <si>
    <t>Particulars</t>
  </si>
  <si>
    <t>DISCOUNTED CASH FLOW</t>
  </si>
  <si>
    <t>NET WORTH</t>
  </si>
  <si>
    <t>*Assuming that all the payments are made on maturity</t>
  </si>
  <si>
    <t>Gross Block</t>
  </si>
  <si>
    <t>Net Block</t>
  </si>
  <si>
    <r>
      <rPr>
        <b/>
        <sz val="14"/>
        <color rgb="FF231F1F"/>
        <rFont val="Arial"/>
        <family val="2"/>
      </rPr>
      <t>PROPERTY, PLANT AND EQUIPMENT</t>
    </r>
  </si>
  <si>
    <t>ROCE</t>
  </si>
  <si>
    <t>2018-19</t>
  </si>
  <si>
    <t>2017-18</t>
  </si>
  <si>
    <t>2016-17</t>
  </si>
  <si>
    <t>2015-16</t>
  </si>
  <si>
    <t>2014-15</t>
  </si>
  <si>
    <t>RONW</t>
  </si>
  <si>
    <t>Debt:Equity Ratio</t>
  </si>
  <si>
    <t>Turnover per Share</t>
  </si>
  <si>
    <t>Earnings per Share</t>
  </si>
  <si>
    <t>Key Ratios</t>
  </si>
  <si>
    <t>Reason</t>
  </si>
  <si>
    <t>Assuming no dividends are paid, no capital profit is earned</t>
  </si>
  <si>
    <t>Assuming current liabilities are comparable to sales</t>
  </si>
  <si>
    <t>Reasons</t>
  </si>
  <si>
    <t>A trend of increase in profit is observed, so weighted average is used</t>
  </si>
  <si>
    <t>Assuming average investment, and thus average returns</t>
  </si>
  <si>
    <t>COGS and sales have positive correlation. It is assumed that cost of goods will proportionally affected with change in sales.</t>
  </si>
  <si>
    <t>The employee cost will increase due to inflation over the years. Therefore it is assumed to grow at past rates.</t>
  </si>
  <si>
    <t>Assume that interest expenses will not change in future.</t>
  </si>
  <si>
    <t>Working has been done as per rate of depreciation used by company in past. It is assumed that company is underutilising the fixed assets and hence no fixed assets will be purchased.</t>
  </si>
  <si>
    <t>Operating Expense and sales have positive correlation. It is assumed that operating expense will proportionally affected with change in sales.</t>
  </si>
  <si>
    <t>It is assumed that tax rate in future will be same as previous year</t>
  </si>
  <si>
    <t>Assuming no equity shares will be issued in future.</t>
  </si>
  <si>
    <t>Assuming that no new loans will be taken and principle payments of existing loan will be made on maturity dates.</t>
  </si>
  <si>
    <t>Assuming that cash conversion cycle will remain constant</t>
  </si>
  <si>
    <t>Assuming that new loans and advances of same amount will be granted or old loans  will be renewed on date of maturity of existing liabilities.</t>
  </si>
  <si>
    <t>Assuming that new liabilities of same amount will be taken or old liabilities will be renewed on date of maturity of existing liabilities.</t>
  </si>
  <si>
    <t>Assumptions</t>
  </si>
  <si>
    <t>1. The risk free rate is assumed to be same as RBI Bond rate issued.</t>
  </si>
  <si>
    <t>2. It is assumed that the tax rate of 30% is constant</t>
  </si>
  <si>
    <t>3. Growth rate of company is assumed to be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</si>
</sst>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 #,##0;[Red]&quot;₹&quot;\ \-#,##0"/>
    <numFmt numFmtId="43" formatCode="_ * #,##0.00_ ;_ * \-#,##0.00_ ;_ * &quot;-&quot;??_ ;_ @_ "/>
    <numFmt numFmtId="164" formatCode="[$-F800]dddd\,\ mmmm\ dd\,\ yyyy"/>
    <numFmt numFmtId="165" formatCode="_ * #,##0_ ;_ * \-#,##0_ ;_ * &quot;-&quot;??_ ;_ @_ "/>
    <numFmt numFmtId="166" formatCode="&quot;₹&quot;\ #,##0"/>
  </numFmts>
  <fonts count="40" x14ac:knownFonts="1">
    <font>
      <sz val="11"/>
      <color theme="1"/>
      <name val="Calibri"/>
      <family val="2"/>
      <scheme val="minor"/>
    </font>
    <font>
      <sz val="11"/>
      <color theme="1"/>
      <name val="Calibri"/>
      <family val="2"/>
      <scheme val="minor"/>
    </font>
    <font>
      <sz val="8"/>
      <name val="Calibri"/>
      <family val="2"/>
      <scheme val="minor"/>
    </font>
    <font>
      <b/>
      <sz val="9"/>
      <color theme="1"/>
      <name val="Arial"/>
      <family val="2"/>
    </font>
    <font>
      <sz val="9"/>
      <color theme="1"/>
      <name val="Arial"/>
      <family val="2"/>
    </font>
    <font>
      <b/>
      <sz val="9"/>
      <color rgb="FF000000"/>
      <name val="Arial"/>
      <family val="2"/>
    </font>
    <font>
      <sz val="9"/>
      <color rgb="FF000000"/>
      <name val="Arial"/>
      <family val="2"/>
    </font>
    <font>
      <b/>
      <sz val="14"/>
      <color theme="1"/>
      <name val="Arial"/>
      <family val="2"/>
    </font>
    <font>
      <b/>
      <sz val="9"/>
      <color rgb="FF0000FF"/>
      <name val="Arial"/>
      <family val="2"/>
    </font>
    <font>
      <b/>
      <sz val="12"/>
      <color theme="1"/>
      <name val="Arial"/>
      <family val="2"/>
    </font>
    <font>
      <sz val="10"/>
      <color rgb="FF000000"/>
      <name val="Times New Roman"/>
      <family val="1"/>
    </font>
    <font>
      <b/>
      <sz val="9"/>
      <name val="Arial"/>
      <family val="2"/>
    </font>
    <font>
      <b/>
      <sz val="9"/>
      <color rgb="FF383434"/>
      <name val="Arial"/>
      <family val="2"/>
    </font>
    <font>
      <sz val="9"/>
      <name val="Arial"/>
      <family val="2"/>
    </font>
    <font>
      <b/>
      <sz val="9"/>
      <color rgb="FF231F1F"/>
      <name val="Arial"/>
      <family val="2"/>
    </font>
    <font>
      <sz val="9"/>
      <color rgb="FF383434"/>
      <name val="Arial"/>
      <family val="2"/>
    </font>
    <font>
      <b/>
      <sz val="9"/>
      <color rgb="FF64489E"/>
      <name val="Arial"/>
      <family val="2"/>
    </font>
    <font>
      <b/>
      <vertAlign val="superscript"/>
      <sz val="9"/>
      <color rgb="FF383434"/>
      <name val="Arial"/>
      <family val="2"/>
    </font>
    <font>
      <vertAlign val="superscript"/>
      <sz val="9"/>
      <color rgb="FF383434"/>
      <name val="Arial"/>
      <family val="2"/>
    </font>
    <font>
      <sz val="9"/>
      <color rgb="FF231F1F"/>
      <name val="Arial"/>
      <family val="2"/>
    </font>
    <font>
      <b/>
      <sz val="13"/>
      <color theme="3"/>
      <name val="Calibri"/>
      <family val="2"/>
      <scheme val="minor"/>
    </font>
    <font>
      <sz val="11"/>
      <color rgb="FF3F3F76"/>
      <name val="Calibri"/>
      <family val="2"/>
      <scheme val="minor"/>
    </font>
    <font>
      <b/>
      <sz val="11"/>
      <color theme="1"/>
      <name val="Calibri"/>
      <family val="2"/>
      <scheme val="minor"/>
    </font>
    <font>
      <b/>
      <sz val="15"/>
      <color theme="3"/>
      <name val="Calibri"/>
      <family val="2"/>
      <scheme val="minor"/>
    </font>
    <font>
      <b/>
      <sz val="11"/>
      <color theme="3"/>
      <name val="Calibri"/>
      <family val="2"/>
      <scheme val="minor"/>
    </font>
    <font>
      <sz val="11"/>
      <color rgb="FFFF0000"/>
      <name val="Calibri"/>
      <family val="2"/>
      <scheme val="minor"/>
    </font>
    <font>
      <u/>
      <sz val="11"/>
      <color theme="10"/>
      <name val="Calibri"/>
      <family val="2"/>
      <scheme val="minor"/>
    </font>
    <font>
      <b/>
      <sz val="9"/>
      <color theme="3"/>
      <name val="Arial"/>
      <family val="2"/>
    </font>
    <font>
      <sz val="9"/>
      <color rgb="FFFF0000"/>
      <name val="Arial"/>
      <family val="2"/>
    </font>
    <font>
      <u/>
      <sz val="9"/>
      <color theme="10"/>
      <name val="Arial"/>
      <family val="2"/>
    </font>
    <font>
      <sz val="9"/>
      <color rgb="FF3F3F76"/>
      <name val="Arial"/>
      <family val="2"/>
    </font>
    <font>
      <b/>
      <sz val="9"/>
      <color rgb="FF3F3F76"/>
      <name val="Arial"/>
      <family val="2"/>
    </font>
    <font>
      <sz val="9"/>
      <color rgb="FF333333"/>
      <name val="Arial"/>
      <family val="2"/>
    </font>
    <font>
      <b/>
      <sz val="20"/>
      <color theme="1"/>
      <name val="Arial"/>
      <family val="2"/>
    </font>
    <font>
      <b/>
      <sz val="14"/>
      <name val="Arial"/>
      <family val="2"/>
    </font>
    <font>
      <sz val="11"/>
      <color theme="1"/>
      <name val="Arial"/>
      <family val="2"/>
    </font>
    <font>
      <b/>
      <sz val="11"/>
      <color theme="1"/>
      <name val="Arial"/>
      <family val="2"/>
    </font>
    <font>
      <b/>
      <sz val="10"/>
      <color rgb="FF000000"/>
      <name val="Arial"/>
      <family val="2"/>
    </font>
    <font>
      <b/>
      <sz val="14"/>
      <color rgb="FF231F1F"/>
      <name val="Arial"/>
      <family val="2"/>
    </font>
    <font>
      <b/>
      <sz val="16"/>
      <color theme="1"/>
      <name val="Arial"/>
      <family val="2"/>
    </font>
  </fonts>
  <fills count="4">
    <fill>
      <patternFill patternType="none"/>
    </fill>
    <fill>
      <patternFill patternType="gray125"/>
    </fill>
    <fill>
      <patternFill patternType="solid">
        <fgColor rgb="FFFFFF00"/>
        <bgColor indexed="64"/>
      </patternFill>
    </fill>
    <fill>
      <patternFill patternType="solid">
        <fgColor rgb="FFFFCC99"/>
      </patternFill>
    </fill>
  </fills>
  <borders count="43">
    <border>
      <left/>
      <right/>
      <top/>
      <bottom/>
      <diagonal/>
    </border>
    <border>
      <left style="medium">
        <color rgb="FFEEEEEE"/>
      </left>
      <right style="medium">
        <color rgb="FFEEEEEE"/>
      </right>
      <top/>
      <bottom/>
      <diagonal/>
    </border>
    <border>
      <left style="medium">
        <color rgb="FFEEEEEE"/>
      </left>
      <right/>
      <top/>
      <bottom/>
      <diagonal/>
    </border>
    <border>
      <left style="thin">
        <color indexed="64"/>
      </left>
      <right style="thin">
        <color indexed="64"/>
      </right>
      <top style="thin">
        <color indexed="64"/>
      </top>
      <bottom style="thin">
        <color indexed="6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thick">
        <color theme="4"/>
      </bottom>
      <diagonal/>
    </border>
    <border>
      <left style="thin">
        <color auto="1"/>
      </left>
      <right style="thin">
        <color auto="1"/>
      </right>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thin">
        <color rgb="FF7F7F7F"/>
      </bottom>
      <diagonal/>
    </border>
    <border>
      <left style="medium">
        <color indexed="64"/>
      </left>
      <right/>
      <top style="thin">
        <color rgb="FF7F7F7F"/>
      </top>
      <bottom style="thin">
        <color rgb="FF7F7F7F"/>
      </bottom>
      <diagonal/>
    </border>
    <border>
      <left style="medium">
        <color indexed="64"/>
      </left>
      <right/>
      <top style="thin">
        <color rgb="FF7F7F7F"/>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3">
    <xf numFmtId="0" fontId="0" fillId="0" borderId="0"/>
    <xf numFmtId="43" fontId="1" fillId="0" borderId="0" applyFont="0" applyFill="0" applyBorder="0" applyAlignment="0" applyProtection="0"/>
    <xf numFmtId="9" fontId="1" fillId="0" borderId="0" applyFont="0" applyFill="0" applyBorder="0" applyAlignment="0" applyProtection="0"/>
    <xf numFmtId="0" fontId="10" fillId="0" borderId="0"/>
    <xf numFmtId="43" fontId="10" fillId="0" borderId="0" applyFont="0" applyFill="0" applyBorder="0" applyAlignment="0" applyProtection="0"/>
    <xf numFmtId="9" fontId="10" fillId="0" borderId="0" applyFont="0" applyFill="0" applyBorder="0" applyAlignment="0" applyProtection="0"/>
    <xf numFmtId="0" fontId="20" fillId="0" borderId="4" applyNumberFormat="0" applyFill="0" applyAlignment="0" applyProtection="0"/>
    <xf numFmtId="0" fontId="21" fillId="3" borderId="5" applyNumberFormat="0" applyAlignment="0" applyProtection="0"/>
    <xf numFmtId="0" fontId="22" fillId="0" borderId="6" applyNumberFormat="0" applyFill="0" applyAlignment="0" applyProtection="0"/>
    <xf numFmtId="0" fontId="23" fillId="0" borderId="7" applyNumberFormat="0" applyFill="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cellStyleXfs>
  <cellXfs count="353">
    <xf numFmtId="0" fontId="0" fillId="0" borderId="0" xfId="0"/>
    <xf numFmtId="0" fontId="3" fillId="0" borderId="1" xfId="0" applyFont="1" applyFill="1" applyBorder="1" applyAlignment="1">
      <alignment vertical="center" wrapText="1"/>
    </xf>
    <xf numFmtId="0" fontId="4" fillId="0" borderId="0" xfId="0" applyFont="1" applyFill="1"/>
    <xf numFmtId="17" fontId="5" fillId="0" borderId="0" xfId="0" applyNumberFormat="1" applyFont="1" applyFill="1" applyBorder="1" applyAlignment="1">
      <alignment horizontal="right" vertical="center" wrapText="1"/>
    </xf>
    <xf numFmtId="0" fontId="5" fillId="0" borderId="3" xfId="0" applyFont="1" applyFill="1" applyBorder="1" applyAlignment="1">
      <alignment vertical="center" wrapText="1"/>
    </xf>
    <xf numFmtId="0" fontId="3" fillId="0" borderId="3" xfId="0" applyFont="1" applyFill="1" applyBorder="1" applyAlignment="1">
      <alignment vertical="center" wrapText="1"/>
    </xf>
    <xf numFmtId="0" fontId="5" fillId="0" borderId="3" xfId="0" applyFont="1" applyFill="1" applyBorder="1" applyAlignment="1">
      <alignment horizontal="right" vertical="center" wrapText="1"/>
    </xf>
    <xf numFmtId="0" fontId="5" fillId="0" borderId="0" xfId="0" applyFont="1" applyFill="1" applyBorder="1" applyAlignment="1">
      <alignment vertical="center" wrapText="1"/>
    </xf>
    <xf numFmtId="4" fontId="3" fillId="0" borderId="3" xfId="0" applyNumberFormat="1" applyFont="1" applyFill="1" applyBorder="1" applyAlignment="1">
      <alignment horizontal="right" vertical="center" wrapText="1"/>
    </xf>
    <xf numFmtId="4" fontId="5" fillId="0" borderId="3" xfId="0" applyNumberFormat="1" applyFont="1" applyFill="1" applyBorder="1" applyAlignment="1">
      <alignment horizontal="right" vertical="center" wrapText="1"/>
    </xf>
    <xf numFmtId="4" fontId="5" fillId="0" borderId="0" xfId="0" applyNumberFormat="1" applyFont="1" applyFill="1" applyBorder="1" applyAlignment="1">
      <alignment horizontal="right" vertical="center" wrapText="1"/>
    </xf>
    <xf numFmtId="4" fontId="4" fillId="0" borderId="3" xfId="0" applyNumberFormat="1" applyFont="1" applyFill="1" applyBorder="1" applyAlignment="1">
      <alignment horizontal="right" vertical="center" wrapText="1"/>
    </xf>
    <xf numFmtId="4" fontId="6" fillId="0" borderId="3" xfId="0" applyNumberFormat="1" applyFont="1" applyFill="1" applyBorder="1" applyAlignment="1">
      <alignment horizontal="right" vertical="center" wrapText="1"/>
    </xf>
    <xf numFmtId="4" fontId="6" fillId="0" borderId="0" xfId="0" applyNumberFormat="1" applyFont="1" applyFill="1" applyBorder="1" applyAlignment="1">
      <alignment horizontal="right" vertical="center" wrapText="1"/>
    </xf>
    <xf numFmtId="0" fontId="6" fillId="0" borderId="3" xfId="0" applyFont="1" applyFill="1" applyBorder="1" applyAlignment="1">
      <alignment horizontal="right" vertical="center" wrapText="1"/>
    </xf>
    <xf numFmtId="0" fontId="6" fillId="0" borderId="0" xfId="0" applyFont="1" applyFill="1" applyBorder="1" applyAlignment="1">
      <alignment horizontal="right" vertical="center" wrapText="1"/>
    </xf>
    <xf numFmtId="0" fontId="4" fillId="0" borderId="3" xfId="0" applyFont="1" applyFill="1" applyBorder="1"/>
    <xf numFmtId="0" fontId="4" fillId="0" borderId="3" xfId="0" applyFont="1" applyFill="1" applyBorder="1" applyAlignment="1">
      <alignment horizontal="right" vertical="center" wrapText="1"/>
    </xf>
    <xf numFmtId="0" fontId="3" fillId="0" borderId="0" xfId="0" applyFont="1" applyFill="1" applyAlignment="1">
      <alignment horizontal="center" vertical="center" wrapText="1"/>
    </xf>
    <xf numFmtId="4" fontId="4" fillId="0" borderId="0" xfId="0" applyNumberFormat="1" applyFont="1" applyFill="1"/>
    <xf numFmtId="0" fontId="3" fillId="0" borderId="1" xfId="0" applyFont="1" applyFill="1" applyBorder="1" applyAlignment="1">
      <alignment horizontal="center" vertical="center" wrapText="1"/>
    </xf>
    <xf numFmtId="4" fontId="3" fillId="2" borderId="3" xfId="0" applyNumberFormat="1" applyFont="1" applyFill="1" applyBorder="1" applyAlignment="1">
      <alignment horizontal="right" vertical="center" wrapText="1"/>
    </xf>
    <xf numFmtId="4" fontId="5" fillId="2" borderId="3" xfId="0" applyNumberFormat="1" applyFont="1" applyFill="1" applyBorder="1" applyAlignment="1">
      <alignment horizontal="right" vertical="center" wrapText="1"/>
    </xf>
    <xf numFmtId="4" fontId="4" fillId="2" borderId="3" xfId="0" applyNumberFormat="1" applyFont="1" applyFill="1" applyBorder="1" applyAlignment="1">
      <alignment horizontal="right" vertical="center" wrapText="1"/>
    </xf>
    <xf numFmtId="4" fontId="6" fillId="2" borderId="3" xfId="0" applyNumberFormat="1" applyFont="1" applyFill="1" applyBorder="1" applyAlignment="1">
      <alignment horizontal="right" vertical="center" wrapText="1"/>
    </xf>
    <xf numFmtId="0" fontId="6" fillId="2" borderId="3" xfId="0" applyFont="1" applyFill="1" applyBorder="1" applyAlignment="1">
      <alignment horizontal="right" vertical="center" wrapText="1"/>
    </xf>
    <xf numFmtId="0" fontId="4" fillId="2" borderId="3" xfId="0" applyFont="1" applyFill="1" applyBorder="1" applyAlignment="1">
      <alignment horizontal="right" vertical="center" wrapText="1"/>
    </xf>
    <xf numFmtId="0" fontId="3" fillId="0" borderId="0" xfId="0" applyFont="1" applyFill="1" applyAlignment="1">
      <alignment vertical="center" wrapText="1"/>
    </xf>
    <xf numFmtId="0" fontId="8" fillId="0" borderId="0" xfId="0" applyFont="1" applyFill="1" applyAlignment="1">
      <alignment horizontal="right" vertical="center" wrapText="1"/>
    </xf>
    <xf numFmtId="0" fontId="3" fillId="0" borderId="3" xfId="0" applyFont="1" applyFill="1" applyBorder="1" applyAlignment="1">
      <alignment horizontal="right" vertical="center" wrapText="1"/>
    </xf>
    <xf numFmtId="0" fontId="4" fillId="0" borderId="0" xfId="0" applyFont="1" applyFill="1" applyAlignment="1"/>
    <xf numFmtId="43" fontId="4" fillId="0" borderId="0" xfId="0" applyNumberFormat="1" applyFont="1" applyFill="1"/>
    <xf numFmtId="0" fontId="6" fillId="0" borderId="0" xfId="3" applyFont="1" applyAlignment="1">
      <alignment horizontal="left" vertical="top" wrapText="1"/>
    </xf>
    <xf numFmtId="43" fontId="6" fillId="0" borderId="0" xfId="4" applyFont="1" applyFill="1" applyBorder="1" applyAlignment="1">
      <alignment horizontal="left" vertical="top" wrapText="1"/>
    </xf>
    <xf numFmtId="0" fontId="5" fillId="0" borderId="0" xfId="3" applyFont="1" applyAlignment="1">
      <alignment horizontal="left" vertical="top" wrapText="1"/>
    </xf>
    <xf numFmtId="43" fontId="4" fillId="0" borderId="3" xfId="1" applyFont="1" applyFill="1" applyBorder="1"/>
    <xf numFmtId="43" fontId="4" fillId="0" borderId="0" xfId="1" applyFont="1" applyFill="1"/>
    <xf numFmtId="43" fontId="3" fillId="0" borderId="3" xfId="1" applyFont="1" applyFill="1" applyBorder="1" applyAlignment="1">
      <alignment horizontal="right" vertical="center" wrapText="1"/>
    </xf>
    <xf numFmtId="43" fontId="3" fillId="0" borderId="3" xfId="1" applyFont="1" applyFill="1" applyBorder="1" applyAlignment="1">
      <alignment vertical="center"/>
    </xf>
    <xf numFmtId="43" fontId="5" fillId="0" borderId="0" xfId="1" applyFont="1" applyAlignment="1">
      <alignment horizontal="left" vertical="top" wrapText="1"/>
    </xf>
    <xf numFmtId="43" fontId="5" fillId="0" borderId="0" xfId="1" applyNumberFormat="1" applyFont="1" applyAlignment="1">
      <alignment horizontal="left" vertical="top" wrapText="1"/>
    </xf>
    <xf numFmtId="10" fontId="4" fillId="0" borderId="0" xfId="2" applyNumberFormat="1" applyFont="1" applyFill="1" applyAlignment="1">
      <alignment wrapText="1"/>
    </xf>
    <xf numFmtId="10" fontId="4" fillId="0" borderId="0" xfId="0" applyNumberFormat="1" applyFont="1" applyFill="1" applyAlignment="1">
      <alignment wrapText="1"/>
    </xf>
    <xf numFmtId="43" fontId="4" fillId="0" borderId="3" xfId="1" applyFont="1" applyFill="1" applyBorder="1" applyAlignment="1">
      <alignment horizontal="right" vertical="center" wrapText="1"/>
    </xf>
    <xf numFmtId="0" fontId="13" fillId="0" borderId="0" xfId="0" applyFont="1" applyFill="1" applyBorder="1"/>
    <xf numFmtId="43" fontId="13" fillId="0" borderId="3" xfId="1" applyFont="1" applyFill="1" applyBorder="1"/>
    <xf numFmtId="0" fontId="11" fillId="0" borderId="0" xfId="0" applyFont="1" applyFill="1" applyBorder="1"/>
    <xf numFmtId="43" fontId="11" fillId="0" borderId="3" xfId="1" applyFont="1" applyFill="1" applyBorder="1"/>
    <xf numFmtId="0" fontId="13" fillId="0" borderId="3" xfId="0" applyFont="1" applyFill="1" applyBorder="1"/>
    <xf numFmtId="165" fontId="13" fillId="0" borderId="0" xfId="0" applyNumberFormat="1" applyFont="1" applyFill="1" applyBorder="1"/>
    <xf numFmtId="4" fontId="3" fillId="0" borderId="3" xfId="0" applyNumberFormat="1" applyFont="1" applyBorder="1"/>
    <xf numFmtId="4" fontId="4" fillId="0" borderId="3" xfId="0" applyNumberFormat="1" applyFont="1" applyBorder="1"/>
    <xf numFmtId="165" fontId="4" fillId="0" borderId="3" xfId="1" applyNumberFormat="1" applyFont="1" applyFill="1" applyBorder="1"/>
    <xf numFmtId="43" fontId="4" fillId="0" borderId="3" xfId="1" applyNumberFormat="1" applyFont="1" applyFill="1" applyBorder="1"/>
    <xf numFmtId="0" fontId="3" fillId="0" borderId="0" xfId="0" applyFont="1" applyFill="1" applyAlignment="1"/>
    <xf numFmtId="0" fontId="3" fillId="0" borderId="0" xfId="0" applyFont="1" applyFill="1" applyAlignment="1">
      <alignment wrapText="1"/>
    </xf>
    <xf numFmtId="43" fontId="3" fillId="0" borderId="0" xfId="0" applyNumberFormat="1" applyFont="1" applyFill="1" applyAlignment="1"/>
    <xf numFmtId="0" fontId="3" fillId="0" borderId="0" xfId="0" applyFont="1" applyFill="1" applyAlignment="1">
      <alignment horizontal="left"/>
    </xf>
    <xf numFmtId="4" fontId="5" fillId="0" borderId="0" xfId="0" applyNumberFormat="1" applyFont="1" applyFill="1" applyBorder="1" applyAlignment="1">
      <alignment horizontal="left" vertical="center"/>
    </xf>
    <xf numFmtId="0" fontId="28" fillId="0" borderId="0" xfId="11" applyFont="1" applyFill="1" applyBorder="1" applyAlignment="1">
      <alignment horizontal="center"/>
    </xf>
    <xf numFmtId="17" fontId="4" fillId="0" borderId="3" xfId="0" applyNumberFormat="1" applyFont="1" applyFill="1" applyBorder="1" applyAlignment="1">
      <alignment horizontal="center"/>
    </xf>
    <xf numFmtId="0" fontId="4" fillId="0" borderId="3" xfId="0" applyFont="1" applyFill="1" applyBorder="1" applyAlignment="1">
      <alignment horizontal="center"/>
    </xf>
    <xf numFmtId="0" fontId="4" fillId="0" borderId="0" xfId="0" applyFont="1" applyFill="1" applyBorder="1"/>
    <xf numFmtId="0" fontId="3" fillId="0" borderId="0" xfId="0" applyFont="1" applyFill="1" applyBorder="1"/>
    <xf numFmtId="43" fontId="4" fillId="0" borderId="0" xfId="1" applyFont="1" applyFill="1" applyBorder="1"/>
    <xf numFmtId="0" fontId="30" fillId="0" borderId="0" xfId="7" applyFont="1" applyFill="1" applyBorder="1"/>
    <xf numFmtId="10" fontId="4" fillId="0" borderId="0" xfId="0" applyNumberFormat="1" applyFont="1" applyFill="1" applyBorder="1"/>
    <xf numFmtId="165" fontId="4" fillId="0" borderId="0" xfId="1" applyNumberFormat="1" applyFont="1" applyFill="1" applyBorder="1"/>
    <xf numFmtId="10" fontId="4" fillId="0" borderId="0" xfId="2" applyNumberFormat="1" applyFont="1" applyFill="1" applyBorder="1"/>
    <xf numFmtId="0" fontId="5" fillId="0" borderId="12" xfId="0" applyFont="1" applyFill="1" applyBorder="1" applyAlignment="1">
      <alignment vertical="center" wrapText="1"/>
    </xf>
    <xf numFmtId="0" fontId="5" fillId="0" borderId="13" xfId="0" applyFont="1" applyFill="1" applyBorder="1" applyAlignment="1">
      <alignment vertical="center" wrapText="1"/>
    </xf>
    <xf numFmtId="0" fontId="5" fillId="2" borderId="12" xfId="0" applyFont="1" applyFill="1" applyBorder="1" applyAlignment="1">
      <alignment vertical="center" wrapText="1"/>
    </xf>
    <xf numFmtId="4" fontId="5" fillId="2" borderId="13" xfId="0" applyNumberFormat="1" applyFont="1" applyFill="1" applyBorder="1" applyAlignment="1">
      <alignment horizontal="right" vertical="center" wrapText="1"/>
    </xf>
    <xf numFmtId="0" fontId="6" fillId="2" borderId="12" xfId="0" applyFont="1" applyFill="1" applyBorder="1" applyAlignment="1">
      <alignment vertical="center" wrapText="1"/>
    </xf>
    <xf numFmtId="4" fontId="6" fillId="2" borderId="13" xfId="0" applyNumberFormat="1" applyFont="1" applyFill="1" applyBorder="1" applyAlignment="1">
      <alignment horizontal="right" vertical="center" wrapText="1"/>
    </xf>
    <xf numFmtId="4" fontId="5" fillId="0" borderId="13" xfId="0" applyNumberFormat="1" applyFont="1" applyFill="1" applyBorder="1" applyAlignment="1">
      <alignment horizontal="right" vertical="center" wrapText="1"/>
    </xf>
    <xf numFmtId="0" fontId="6" fillId="0" borderId="12" xfId="0" applyFont="1" applyFill="1" applyBorder="1" applyAlignment="1">
      <alignment vertical="center" wrapText="1"/>
    </xf>
    <xf numFmtId="4" fontId="6" fillId="0" borderId="13" xfId="0" applyNumberFormat="1" applyFont="1" applyFill="1" applyBorder="1" applyAlignment="1">
      <alignment horizontal="right" vertical="center" wrapText="1"/>
    </xf>
    <xf numFmtId="4" fontId="3" fillId="0" borderId="13" xfId="0" applyNumberFormat="1" applyFont="1" applyFill="1" applyBorder="1" applyAlignment="1">
      <alignment horizontal="right" vertical="center" wrapText="1"/>
    </xf>
    <xf numFmtId="4" fontId="4" fillId="0" borderId="13" xfId="0" applyNumberFormat="1" applyFont="1" applyFill="1" applyBorder="1" applyAlignment="1">
      <alignment horizontal="right" vertical="center" wrapText="1"/>
    </xf>
    <xf numFmtId="0" fontId="6" fillId="0" borderId="13" xfId="0" applyFont="1" applyFill="1" applyBorder="1" applyAlignment="1">
      <alignment horizontal="right" vertical="center" wrapText="1"/>
    </xf>
    <xf numFmtId="0" fontId="5" fillId="0" borderId="14" xfId="0" applyFont="1" applyFill="1" applyBorder="1" applyAlignment="1">
      <alignment vertical="center" wrapText="1"/>
    </xf>
    <xf numFmtId="4" fontId="3" fillId="0" borderId="15" xfId="0" applyNumberFormat="1" applyFont="1" applyFill="1" applyBorder="1" applyAlignment="1">
      <alignment horizontal="right" vertical="center" wrapText="1"/>
    </xf>
    <xf numFmtId="4" fontId="3" fillId="0" borderId="16" xfId="0" applyNumberFormat="1" applyFont="1" applyFill="1" applyBorder="1" applyAlignment="1">
      <alignment horizontal="right" vertical="center" wrapText="1"/>
    </xf>
    <xf numFmtId="0" fontId="5" fillId="0" borderId="17" xfId="0" applyFont="1" applyFill="1" applyBorder="1" applyAlignment="1">
      <alignment vertical="center" wrapText="1"/>
    </xf>
    <xf numFmtId="0" fontId="3" fillId="0" borderId="8" xfId="0" applyFont="1" applyFill="1" applyBorder="1" applyAlignment="1">
      <alignment vertical="center" wrapText="1"/>
    </xf>
    <xf numFmtId="0" fontId="5" fillId="0" borderId="8" xfId="0" applyFont="1" applyFill="1" applyBorder="1" applyAlignment="1">
      <alignment horizontal="right" vertical="center" wrapText="1"/>
    </xf>
    <xf numFmtId="0" fontId="5" fillId="0" borderId="8" xfId="0" applyFont="1" applyFill="1" applyBorder="1" applyAlignment="1">
      <alignment vertical="center" wrapText="1"/>
    </xf>
    <xf numFmtId="0" fontId="5" fillId="0" borderId="18" xfId="0" applyFont="1" applyFill="1" applyBorder="1" applyAlignment="1">
      <alignment vertical="center" wrapText="1"/>
    </xf>
    <xf numFmtId="0" fontId="5" fillId="0" borderId="19" xfId="0" applyFont="1" applyFill="1" applyBorder="1" applyAlignment="1">
      <alignment vertical="center" wrapText="1"/>
    </xf>
    <xf numFmtId="17" fontId="3" fillId="0" borderId="20" xfId="0" applyNumberFormat="1" applyFont="1" applyFill="1" applyBorder="1" applyAlignment="1">
      <alignment horizontal="right" vertical="center" wrapText="1"/>
    </xf>
    <xf numFmtId="17" fontId="5" fillId="0" borderId="20" xfId="0" applyNumberFormat="1" applyFont="1" applyFill="1" applyBorder="1" applyAlignment="1">
      <alignment horizontal="right" vertical="center" wrapText="1"/>
    </xf>
    <xf numFmtId="17" fontId="5" fillId="0" borderId="21" xfId="0" applyNumberFormat="1" applyFont="1" applyFill="1" applyBorder="1" applyAlignment="1">
      <alignment horizontal="right" vertical="center" wrapText="1"/>
    </xf>
    <xf numFmtId="9" fontId="4" fillId="0" borderId="3" xfId="2" applyFont="1" applyFill="1" applyBorder="1"/>
    <xf numFmtId="10" fontId="4" fillId="0" borderId="3" xfId="0" applyNumberFormat="1" applyFont="1" applyFill="1" applyBorder="1"/>
    <xf numFmtId="10" fontId="4" fillId="0" borderId="3" xfId="2" applyNumberFormat="1" applyFont="1" applyFill="1" applyBorder="1"/>
    <xf numFmtId="0" fontId="5" fillId="0" borderId="12" xfId="0" applyFont="1" applyFill="1" applyBorder="1" applyAlignment="1">
      <alignment horizontal="left" vertical="center"/>
    </xf>
    <xf numFmtId="0" fontId="4" fillId="0" borderId="13" xfId="0" applyFont="1" applyFill="1" applyBorder="1"/>
    <xf numFmtId="4" fontId="5" fillId="0" borderId="12" xfId="0" applyNumberFormat="1" applyFont="1" applyFill="1" applyBorder="1" applyAlignment="1">
      <alignment horizontal="left" vertical="center"/>
    </xf>
    <xf numFmtId="10" fontId="4" fillId="0" borderId="13" xfId="0" applyNumberFormat="1" applyFont="1" applyFill="1" applyBorder="1"/>
    <xf numFmtId="0" fontId="3" fillId="0" borderId="12" xfId="0" applyFont="1" applyFill="1" applyBorder="1" applyAlignment="1">
      <alignment horizontal="left"/>
    </xf>
    <xf numFmtId="4" fontId="4" fillId="0" borderId="13" xfId="0" applyNumberFormat="1" applyFont="1" applyFill="1" applyBorder="1"/>
    <xf numFmtId="4" fontId="5" fillId="0" borderId="14" xfId="0" applyNumberFormat="1" applyFont="1" applyFill="1" applyBorder="1" applyAlignment="1">
      <alignment horizontal="left" vertical="center"/>
    </xf>
    <xf numFmtId="10" fontId="4" fillId="0" borderId="15" xfId="2" applyNumberFormat="1" applyFont="1" applyFill="1" applyBorder="1"/>
    <xf numFmtId="10" fontId="4" fillId="0" borderId="16" xfId="0" applyNumberFormat="1" applyFont="1" applyFill="1" applyBorder="1"/>
    <xf numFmtId="43" fontId="4" fillId="0" borderId="23" xfId="1" applyFont="1" applyFill="1" applyBorder="1"/>
    <xf numFmtId="0" fontId="3" fillId="0" borderId="12" xfId="0" applyFont="1" applyFill="1" applyBorder="1" applyAlignment="1">
      <alignment vertical="center"/>
    </xf>
    <xf numFmtId="43" fontId="4" fillId="0" borderId="13" xfId="1" applyFont="1" applyFill="1" applyBorder="1"/>
    <xf numFmtId="0" fontId="4" fillId="0" borderId="12" xfId="0" applyFont="1" applyFill="1" applyBorder="1" applyAlignment="1">
      <alignment vertical="center"/>
    </xf>
    <xf numFmtId="43" fontId="3" fillId="0" borderId="13" xfId="1" applyFont="1" applyFill="1" applyBorder="1" applyAlignment="1">
      <alignment horizontal="right" vertical="center" wrapText="1"/>
    </xf>
    <xf numFmtId="43" fontId="3" fillId="0" borderId="13" xfId="1" applyFont="1" applyFill="1" applyBorder="1" applyAlignment="1">
      <alignment vertical="center"/>
    </xf>
    <xf numFmtId="0" fontId="3" fillId="0" borderId="12" xfId="0" applyFont="1" applyFill="1" applyBorder="1" applyAlignment="1">
      <alignment vertical="center" wrapText="1"/>
    </xf>
    <xf numFmtId="0" fontId="4" fillId="0" borderId="12" xfId="0" applyFont="1" applyFill="1" applyBorder="1" applyAlignment="1">
      <alignment vertical="center" wrapText="1"/>
    </xf>
    <xf numFmtId="43" fontId="4" fillId="0" borderId="13" xfId="1" applyFont="1" applyFill="1" applyBorder="1" applyAlignment="1">
      <alignment horizontal="right" vertical="center" wrapText="1"/>
    </xf>
    <xf numFmtId="0" fontId="4" fillId="0" borderId="12" xfId="0" applyFont="1" applyFill="1" applyBorder="1"/>
    <xf numFmtId="0" fontId="3" fillId="0" borderId="14" xfId="0" applyFont="1" applyFill="1" applyBorder="1" applyAlignment="1">
      <alignment vertical="center"/>
    </xf>
    <xf numFmtId="164" fontId="3" fillId="0" borderId="3" xfId="0" applyNumberFormat="1" applyFont="1" applyFill="1" applyBorder="1" applyAlignment="1">
      <alignment horizontal="right" vertical="center" wrapText="1"/>
    </xf>
    <xf numFmtId="43" fontId="15" fillId="0" borderId="3" xfId="4" applyFont="1" applyFill="1" applyBorder="1" applyAlignment="1">
      <alignment vertical="top" shrinkToFit="1"/>
    </xf>
    <xf numFmtId="0" fontId="3" fillId="0" borderId="9" xfId="0" applyFont="1" applyFill="1" applyBorder="1" applyAlignment="1">
      <alignment vertical="center"/>
    </xf>
    <xf numFmtId="164" fontId="3" fillId="0" borderId="10" xfId="0" applyNumberFormat="1" applyFont="1" applyFill="1" applyBorder="1" applyAlignment="1">
      <alignment horizontal="right" vertical="center" wrapText="1"/>
    </xf>
    <xf numFmtId="164" fontId="3" fillId="0" borderId="11" xfId="0" applyNumberFormat="1" applyFont="1" applyFill="1" applyBorder="1" applyAlignment="1">
      <alignment horizontal="right" vertical="center" wrapText="1"/>
    </xf>
    <xf numFmtId="0" fontId="5" fillId="0" borderId="17" xfId="0" applyFont="1" applyFill="1" applyBorder="1" applyAlignment="1">
      <alignment horizontal="left" vertical="center"/>
    </xf>
    <xf numFmtId="0" fontId="4" fillId="0" borderId="8" xfId="0" applyFont="1" applyFill="1" applyBorder="1"/>
    <xf numFmtId="0" fontId="4" fillId="0" borderId="18" xfId="0" applyFont="1" applyFill="1" applyBorder="1"/>
    <xf numFmtId="0" fontId="3" fillId="0" borderId="19" xfId="0" applyFont="1" applyFill="1" applyBorder="1" applyAlignment="1">
      <alignment horizontal="center" vertical="center"/>
    </xf>
    <xf numFmtId="0" fontId="3" fillId="0" borderId="21" xfId="0" applyFont="1" applyFill="1" applyBorder="1" applyAlignment="1">
      <alignment horizontal="center" vertical="center"/>
    </xf>
    <xf numFmtId="43" fontId="4" fillId="0" borderId="3" xfId="0" applyNumberFormat="1" applyFont="1" applyFill="1" applyBorder="1"/>
    <xf numFmtId="0" fontId="3" fillId="0" borderId="12" xfId="0" applyFont="1" applyFill="1" applyBorder="1" applyAlignment="1"/>
    <xf numFmtId="0" fontId="3" fillId="0" borderId="12" xfId="0" applyFont="1" applyFill="1" applyBorder="1" applyAlignment="1">
      <alignment wrapText="1"/>
    </xf>
    <xf numFmtId="0" fontId="5" fillId="0" borderId="12" xfId="3" applyFont="1" applyBorder="1" applyAlignment="1">
      <alignment wrapText="1"/>
    </xf>
    <xf numFmtId="0" fontId="3" fillId="0" borderId="14" xfId="0" applyFont="1" applyFill="1" applyBorder="1" applyAlignment="1">
      <alignment wrapText="1"/>
    </xf>
    <xf numFmtId="0" fontId="3" fillId="0" borderId="17" xfId="0" applyFont="1" applyFill="1" applyBorder="1" applyAlignment="1"/>
    <xf numFmtId="0" fontId="3" fillId="0" borderId="19" xfId="0" applyFont="1" applyFill="1" applyBorder="1" applyAlignment="1"/>
    <xf numFmtId="164" fontId="3" fillId="0" borderId="20" xfId="0" applyNumberFormat="1" applyFont="1" applyFill="1" applyBorder="1" applyAlignment="1">
      <alignment horizontal="right" vertical="center" wrapText="1"/>
    </xf>
    <xf numFmtId="0" fontId="3" fillId="0" borderId="21" xfId="0" applyFont="1" applyFill="1" applyBorder="1"/>
    <xf numFmtId="43" fontId="3" fillId="0" borderId="3" xfId="1" applyFont="1" applyFill="1" applyBorder="1"/>
    <xf numFmtId="43" fontId="3" fillId="0" borderId="13" xfId="1" applyFont="1" applyFill="1" applyBorder="1"/>
    <xf numFmtId="0" fontId="13" fillId="0" borderId="24" xfId="7" applyFont="1" applyFill="1" applyBorder="1"/>
    <xf numFmtId="43" fontId="13" fillId="0" borderId="13" xfId="1" applyFont="1" applyFill="1" applyBorder="1"/>
    <xf numFmtId="0" fontId="13" fillId="0" borderId="25" xfId="7" applyFont="1" applyFill="1" applyBorder="1"/>
    <xf numFmtId="0" fontId="11" fillId="0" borderId="25" xfId="7" applyFont="1" applyFill="1" applyBorder="1"/>
    <xf numFmtId="43" fontId="11" fillId="0" borderId="13" xfId="1" applyFont="1" applyFill="1" applyBorder="1"/>
    <xf numFmtId="0" fontId="13" fillId="0" borderId="13" xfId="0" applyFont="1" applyFill="1" applyBorder="1"/>
    <xf numFmtId="0" fontId="13" fillId="0" borderId="26" xfId="7" applyFont="1" applyFill="1" applyBorder="1"/>
    <xf numFmtId="0" fontId="13" fillId="0" borderId="12" xfId="0" applyFont="1" applyFill="1" applyBorder="1"/>
    <xf numFmtId="0" fontId="11" fillId="0" borderId="12" xfId="0" applyFont="1" applyFill="1" applyBorder="1"/>
    <xf numFmtId="0" fontId="11" fillId="0" borderId="14" xfId="8" applyFont="1" applyFill="1" applyBorder="1"/>
    <xf numFmtId="43" fontId="11" fillId="0" borderId="15" xfId="1" applyFont="1" applyFill="1" applyBorder="1"/>
    <xf numFmtId="43" fontId="11" fillId="0" borderId="16" xfId="1" applyFont="1" applyFill="1" applyBorder="1"/>
    <xf numFmtId="43" fontId="13" fillId="0" borderId="8" xfId="1" applyFont="1" applyFill="1" applyBorder="1"/>
    <xf numFmtId="43" fontId="13" fillId="0" borderId="18" xfId="1" applyFont="1" applyFill="1" applyBorder="1"/>
    <xf numFmtId="0" fontId="11" fillId="0" borderId="19" xfId="6" applyFont="1" applyFill="1" applyBorder="1" applyAlignment="1">
      <alignment horizontal="center" vertical="center"/>
    </xf>
    <xf numFmtId="0" fontId="13" fillId="0" borderId="12" xfId="7" applyFont="1" applyFill="1" applyBorder="1"/>
    <xf numFmtId="0" fontId="11" fillId="0" borderId="9" xfId="6" applyFont="1" applyFill="1" applyBorder="1" applyAlignment="1">
      <alignment horizontal="center" vertical="center"/>
    </xf>
    <xf numFmtId="17" fontId="4" fillId="0" borderId="0" xfId="0" applyNumberFormat="1" applyFont="1" applyFill="1" applyBorder="1"/>
    <xf numFmtId="10" fontId="3" fillId="0" borderId="0" xfId="2" applyNumberFormat="1" applyFont="1" applyFill="1" applyBorder="1"/>
    <xf numFmtId="0" fontId="29" fillId="0" borderId="0" xfId="12" applyFont="1" applyFill="1" applyBorder="1"/>
    <xf numFmtId="43" fontId="4" fillId="0" borderId="0" xfId="0" applyNumberFormat="1" applyFont="1" applyFill="1" applyBorder="1"/>
    <xf numFmtId="0" fontId="3" fillId="0" borderId="0" xfId="0" applyFont="1" applyFill="1" applyBorder="1" applyAlignment="1"/>
    <xf numFmtId="0" fontId="4" fillId="0" borderId="0" xfId="0" applyFont="1" applyFill="1" applyBorder="1" applyAlignment="1">
      <alignment horizontal="center"/>
    </xf>
    <xf numFmtId="10" fontId="4" fillId="0" borderId="0" xfId="0" applyNumberFormat="1" applyFont="1" applyFill="1" applyBorder="1" applyAlignment="1">
      <alignment horizontal="center"/>
    </xf>
    <xf numFmtId="0" fontId="27" fillId="0" borderId="0" xfId="10" applyFont="1" applyFill="1" applyBorder="1" applyAlignment="1">
      <alignment vertical="center" wrapText="1"/>
    </xf>
    <xf numFmtId="166" fontId="3" fillId="0" borderId="0" xfId="1" applyNumberFormat="1" applyFont="1" applyFill="1" applyBorder="1" applyAlignment="1">
      <alignment vertical="center"/>
    </xf>
    <xf numFmtId="43" fontId="4" fillId="0" borderId="0" xfId="1" applyFont="1" applyFill="1" applyBorder="1" applyAlignment="1">
      <alignment vertical="center"/>
    </xf>
    <xf numFmtId="6" fontId="4" fillId="0" borderId="0" xfId="0" applyNumberFormat="1" applyFont="1" applyFill="1" applyBorder="1"/>
    <xf numFmtId="0" fontId="4" fillId="0" borderId="3" xfId="0" applyFont="1" applyFill="1" applyBorder="1" applyAlignment="1">
      <alignment horizontal="right"/>
    </xf>
    <xf numFmtId="43" fontId="4" fillId="0" borderId="3" xfId="1" applyFont="1" applyFill="1" applyBorder="1" applyAlignment="1">
      <alignment horizontal="right"/>
    </xf>
    <xf numFmtId="10" fontId="32" fillId="0" borderId="3" xfId="1" applyNumberFormat="1" applyFont="1" applyBorder="1"/>
    <xf numFmtId="10" fontId="4" fillId="0" borderId="3" xfId="2" applyNumberFormat="1" applyFont="1" applyFill="1" applyBorder="1" applyAlignment="1">
      <alignment horizontal="right"/>
    </xf>
    <xf numFmtId="9" fontId="4" fillId="0" borderId="3" xfId="1" applyNumberFormat="1" applyFont="1" applyFill="1" applyBorder="1"/>
    <xf numFmtId="10" fontId="3" fillId="0" borderId="3" xfId="2" applyNumberFormat="1" applyFont="1" applyFill="1" applyBorder="1" applyAlignment="1">
      <alignment horizontal="right"/>
    </xf>
    <xf numFmtId="0" fontId="27" fillId="0" borderId="0" xfId="9" applyFont="1" applyFill="1" applyBorder="1" applyAlignment="1"/>
    <xf numFmtId="17" fontId="4" fillId="0" borderId="8" xfId="0" applyNumberFormat="1" applyFont="1" applyFill="1" applyBorder="1"/>
    <xf numFmtId="10" fontId="3" fillId="0" borderId="3" xfId="2" applyNumberFormat="1" applyFont="1" applyFill="1" applyBorder="1" applyAlignment="1"/>
    <xf numFmtId="0" fontId="4" fillId="0" borderId="9" xfId="0" applyFont="1" applyFill="1" applyBorder="1"/>
    <xf numFmtId="9" fontId="4" fillId="0" borderId="10" xfId="0" applyNumberFormat="1" applyFont="1" applyFill="1" applyBorder="1"/>
    <xf numFmtId="9" fontId="4" fillId="0" borderId="11" xfId="0" applyNumberFormat="1" applyFont="1" applyFill="1" applyBorder="1"/>
    <xf numFmtId="0" fontId="3" fillId="0" borderId="12" xfId="0" applyFont="1" applyFill="1" applyBorder="1"/>
    <xf numFmtId="10" fontId="3" fillId="0" borderId="13" xfId="2" applyNumberFormat="1" applyFont="1" applyFill="1" applyBorder="1" applyAlignment="1"/>
    <xf numFmtId="0" fontId="3" fillId="0" borderId="14" xfId="0" applyFont="1" applyFill="1" applyBorder="1" applyAlignment="1">
      <alignment vertical="center" wrapText="1"/>
    </xf>
    <xf numFmtId="43" fontId="3" fillId="0" borderId="15" xfId="1" applyFont="1" applyFill="1" applyBorder="1" applyAlignment="1">
      <alignment horizontal="center" vertical="center"/>
    </xf>
    <xf numFmtId="43" fontId="3" fillId="0" borderId="16" xfId="1" applyFont="1" applyFill="1" applyBorder="1" applyAlignment="1">
      <alignment horizontal="center" vertical="center"/>
    </xf>
    <xf numFmtId="0" fontId="27" fillId="0" borderId="9" xfId="6" applyFont="1" applyFill="1" applyBorder="1" applyAlignment="1">
      <alignment horizontal="center"/>
    </xf>
    <xf numFmtId="17" fontId="3" fillId="0" borderId="10" xfId="0" applyNumberFormat="1" applyFont="1" applyFill="1" applyBorder="1"/>
    <xf numFmtId="17" fontId="3" fillId="0" borderId="11" xfId="0" applyNumberFormat="1" applyFont="1" applyFill="1" applyBorder="1"/>
    <xf numFmtId="0" fontId="30" fillId="0" borderId="12" xfId="7" applyFont="1" applyFill="1" applyBorder="1"/>
    <xf numFmtId="0" fontId="3" fillId="0" borderId="14" xfId="8" applyFont="1" applyFill="1" applyBorder="1"/>
    <xf numFmtId="43" fontId="3" fillId="0" borderId="15" xfId="1" applyFont="1" applyFill="1" applyBorder="1"/>
    <xf numFmtId="43" fontId="3" fillId="0" borderId="16" xfId="1" applyFont="1" applyFill="1" applyBorder="1"/>
    <xf numFmtId="10" fontId="4" fillId="0" borderId="12" xfId="2" applyNumberFormat="1" applyFont="1" applyFill="1" applyBorder="1"/>
    <xf numFmtId="10" fontId="4" fillId="0" borderId="13" xfId="2" applyNumberFormat="1" applyFont="1" applyFill="1" applyBorder="1"/>
    <xf numFmtId="10" fontId="4" fillId="0" borderId="14" xfId="2" applyNumberFormat="1" applyFont="1" applyFill="1" applyBorder="1"/>
    <xf numFmtId="10" fontId="4" fillId="0" borderId="16" xfId="2" applyNumberFormat="1" applyFont="1" applyFill="1" applyBorder="1"/>
    <xf numFmtId="0" fontId="30" fillId="0" borderId="33" xfId="7" applyFont="1" applyFill="1" applyBorder="1"/>
    <xf numFmtId="10" fontId="4" fillId="0" borderId="34" xfId="0" applyNumberFormat="1" applyFont="1" applyFill="1" applyBorder="1"/>
    <xf numFmtId="0" fontId="3" fillId="0" borderId="22" xfId="0" applyFont="1" applyFill="1" applyBorder="1"/>
    <xf numFmtId="0" fontId="4" fillId="0" borderId="22" xfId="0" applyFont="1" applyFill="1" applyBorder="1"/>
    <xf numFmtId="165" fontId="4" fillId="0" borderId="23" xfId="1" applyNumberFormat="1" applyFont="1" applyFill="1" applyBorder="1"/>
    <xf numFmtId="43" fontId="3" fillId="0" borderId="23" xfId="1" applyFont="1" applyFill="1" applyBorder="1"/>
    <xf numFmtId="0" fontId="3" fillId="0" borderId="35" xfId="0" applyFont="1" applyFill="1" applyBorder="1"/>
    <xf numFmtId="43" fontId="3" fillId="0" borderId="36" xfId="1" applyFont="1" applyFill="1" applyBorder="1"/>
    <xf numFmtId="0" fontId="35" fillId="0" borderId="0" xfId="0" applyFont="1"/>
    <xf numFmtId="0" fontId="36" fillId="0" borderId="0" xfId="0" applyFont="1"/>
    <xf numFmtId="0" fontId="36" fillId="0" borderId="0" xfId="0" applyFont="1" applyAlignment="1">
      <alignment vertical="center"/>
    </xf>
    <xf numFmtId="4" fontId="35" fillId="0" borderId="0" xfId="0" applyNumberFormat="1" applyFont="1"/>
    <xf numFmtId="0" fontId="7" fillId="0" borderId="0" xfId="0" applyFont="1"/>
    <xf numFmtId="4" fontId="3" fillId="0" borderId="13" xfId="0" applyNumberFormat="1" applyFont="1" applyBorder="1"/>
    <xf numFmtId="4" fontId="4" fillId="0" borderId="13" xfId="0" applyNumberFormat="1" applyFont="1" applyBorder="1"/>
    <xf numFmtId="4" fontId="3" fillId="0" borderId="15" xfId="0" applyNumberFormat="1" applyFont="1" applyBorder="1" applyAlignment="1">
      <alignment vertical="center"/>
    </xf>
    <xf numFmtId="4" fontId="3" fillId="0" borderId="16" xfId="0" applyNumberFormat="1" applyFont="1" applyBorder="1" applyAlignment="1">
      <alignment vertical="center"/>
    </xf>
    <xf numFmtId="0" fontId="4" fillId="0" borderId="13" xfId="0" applyFont="1" applyFill="1" applyBorder="1" applyAlignment="1">
      <alignment horizontal="center"/>
    </xf>
    <xf numFmtId="43" fontId="4" fillId="0" borderId="13" xfId="1" applyNumberFormat="1" applyFont="1" applyFill="1" applyBorder="1"/>
    <xf numFmtId="0" fontId="3" fillId="0" borderId="14" xfId="0" applyFont="1" applyFill="1" applyBorder="1"/>
    <xf numFmtId="43" fontId="3" fillId="0" borderId="15" xfId="1" applyNumberFormat="1" applyFont="1" applyFill="1" applyBorder="1"/>
    <xf numFmtId="43" fontId="3" fillId="0" borderId="16" xfId="1" applyNumberFormat="1" applyFont="1" applyFill="1" applyBorder="1"/>
    <xf numFmtId="0" fontId="6" fillId="0" borderId="0" xfId="3" applyFont="1" applyFill="1" applyAlignment="1">
      <alignment horizontal="left" vertical="top" wrapText="1"/>
    </xf>
    <xf numFmtId="43" fontId="5" fillId="0" borderId="0" xfId="1" applyNumberFormat="1" applyFont="1" applyFill="1" applyAlignment="1">
      <alignment horizontal="left" vertical="top" wrapText="1"/>
    </xf>
    <xf numFmtId="43" fontId="5" fillId="0" borderId="0" xfId="1" applyFont="1" applyFill="1" applyAlignment="1">
      <alignment horizontal="left" vertical="top" wrapText="1"/>
    </xf>
    <xf numFmtId="4" fontId="6" fillId="0" borderId="0" xfId="3" applyNumberFormat="1" applyFont="1" applyFill="1" applyAlignment="1">
      <alignment horizontal="left" vertical="top" wrapText="1"/>
    </xf>
    <xf numFmtId="0" fontId="11" fillId="0" borderId="3" xfId="3" applyFont="1" applyFill="1" applyBorder="1" applyAlignment="1">
      <alignment vertical="top" wrapText="1"/>
    </xf>
    <xf numFmtId="0" fontId="6" fillId="0" borderId="3" xfId="3" applyFont="1" applyFill="1" applyBorder="1" applyAlignment="1">
      <alignment horizontal="left" wrapText="1"/>
    </xf>
    <xf numFmtId="0" fontId="6" fillId="0" borderId="3" xfId="3" applyFont="1" applyFill="1" applyBorder="1" applyAlignment="1">
      <alignment wrapText="1"/>
    </xf>
    <xf numFmtId="3" fontId="15" fillId="0" borderId="3" xfId="3" applyNumberFormat="1" applyFont="1" applyFill="1" applyBorder="1" applyAlignment="1">
      <alignment horizontal="right" vertical="top" wrapText="1" shrinkToFit="1"/>
    </xf>
    <xf numFmtId="1" fontId="15" fillId="0" borderId="3" xfId="3" applyNumberFormat="1" applyFont="1" applyFill="1" applyBorder="1" applyAlignment="1">
      <alignment horizontal="right" vertical="top" wrapText="1" shrinkToFit="1"/>
    </xf>
    <xf numFmtId="0" fontId="13" fillId="0" borderId="3" xfId="3" applyFont="1" applyFill="1" applyBorder="1" applyAlignment="1">
      <alignment horizontal="right" vertical="top" wrapText="1"/>
    </xf>
    <xf numFmtId="1" fontId="12" fillId="0" borderId="3" xfId="3" applyNumberFormat="1" applyFont="1" applyFill="1" applyBorder="1" applyAlignment="1">
      <alignment horizontal="right" vertical="top" wrapText="1" shrinkToFit="1"/>
    </xf>
    <xf numFmtId="43" fontId="11" fillId="0" borderId="3" xfId="1" applyNumberFormat="1" applyFont="1" applyFill="1" applyBorder="1" applyAlignment="1">
      <alignment horizontal="right" vertical="top" wrapText="1"/>
    </xf>
    <xf numFmtId="0" fontId="6" fillId="0" borderId="3" xfId="3" applyFont="1" applyFill="1" applyBorder="1" applyAlignment="1">
      <alignment vertical="top" wrapText="1"/>
    </xf>
    <xf numFmtId="43" fontId="12" fillId="0" borderId="3" xfId="1" applyFont="1" applyFill="1" applyBorder="1" applyAlignment="1">
      <alignment horizontal="right" vertical="top" wrapText="1" shrinkToFit="1"/>
    </xf>
    <xf numFmtId="0" fontId="6" fillId="0" borderId="9" xfId="3" applyFont="1" applyBorder="1" applyAlignment="1">
      <alignment horizontal="left" vertical="top" wrapText="1"/>
    </xf>
    <xf numFmtId="0" fontId="11" fillId="0" borderId="12" xfId="3" applyFont="1" applyFill="1" applyBorder="1" applyAlignment="1">
      <alignment vertical="top" wrapText="1"/>
    </xf>
    <xf numFmtId="0" fontId="6" fillId="0" borderId="13" xfId="3" applyFont="1" applyFill="1" applyBorder="1" applyAlignment="1">
      <alignment horizontal="left" wrapText="1"/>
    </xf>
    <xf numFmtId="0" fontId="13" fillId="0" borderId="12" xfId="3" applyFont="1" applyFill="1" applyBorder="1" applyAlignment="1">
      <alignment horizontal="left" vertical="top" wrapText="1"/>
    </xf>
    <xf numFmtId="3" fontId="15" fillId="0" borderId="13" xfId="3" applyNumberFormat="1" applyFont="1" applyFill="1" applyBorder="1" applyAlignment="1">
      <alignment horizontal="right" vertical="top" wrapText="1" shrinkToFit="1"/>
    </xf>
    <xf numFmtId="0" fontId="13" fillId="0" borderId="13" xfId="3" applyFont="1" applyFill="1" applyBorder="1" applyAlignment="1">
      <alignment horizontal="right" vertical="top" wrapText="1"/>
    </xf>
    <xf numFmtId="0" fontId="6" fillId="0" borderId="12" xfId="3" applyFont="1" applyFill="1" applyBorder="1" applyAlignment="1">
      <alignment horizontal="left" vertical="top" wrapText="1"/>
    </xf>
    <xf numFmtId="1" fontId="15" fillId="0" borderId="13" xfId="3" applyNumberFormat="1" applyFont="1" applyFill="1" applyBorder="1" applyAlignment="1">
      <alignment horizontal="right" vertical="top" wrapText="1" shrinkToFit="1"/>
    </xf>
    <xf numFmtId="0" fontId="11" fillId="0" borderId="12" xfId="3" applyFont="1" applyFill="1" applyBorder="1" applyAlignment="1">
      <alignment horizontal="left" vertical="top" wrapText="1"/>
    </xf>
    <xf numFmtId="43" fontId="11" fillId="0" borderId="12" xfId="1" applyNumberFormat="1" applyFont="1" applyFill="1" applyBorder="1" applyAlignment="1">
      <alignment horizontal="left" vertical="top" wrapText="1"/>
    </xf>
    <xf numFmtId="43" fontId="11" fillId="0" borderId="13" xfId="1" applyNumberFormat="1" applyFont="1" applyFill="1" applyBorder="1" applyAlignment="1">
      <alignment horizontal="right" vertical="top" wrapText="1"/>
    </xf>
    <xf numFmtId="0" fontId="6" fillId="0" borderId="12" xfId="3" applyFont="1" applyFill="1" applyBorder="1" applyAlignment="1">
      <alignment vertical="top" wrapText="1"/>
    </xf>
    <xf numFmtId="43" fontId="11" fillId="0" borderId="12" xfId="1" applyFont="1" applyFill="1" applyBorder="1" applyAlignment="1">
      <alignment horizontal="left" vertical="top" wrapText="1"/>
    </xf>
    <xf numFmtId="43" fontId="12" fillId="0" borderId="13" xfId="1" applyFont="1" applyFill="1" applyBorder="1" applyAlignment="1">
      <alignment horizontal="right" vertical="top" wrapText="1" shrinkToFit="1"/>
    </xf>
    <xf numFmtId="43" fontId="6" fillId="0" borderId="3" xfId="4" applyFont="1" applyFill="1" applyBorder="1" applyAlignment="1">
      <alignment horizontal="left" vertical="top" wrapText="1"/>
    </xf>
    <xf numFmtId="43" fontId="5" fillId="0" borderId="3" xfId="1" applyNumberFormat="1" applyFont="1" applyFill="1" applyBorder="1" applyAlignment="1">
      <alignment horizontal="left" vertical="top" wrapText="1"/>
    </xf>
    <xf numFmtId="43" fontId="5" fillId="0" borderId="3" xfId="1" applyFont="1" applyFill="1" applyBorder="1" applyAlignment="1">
      <alignment horizontal="left" vertical="top" wrapText="1"/>
    </xf>
    <xf numFmtId="43" fontId="6" fillId="0" borderId="12" xfId="4" applyFont="1" applyFill="1" applyBorder="1" applyAlignment="1">
      <alignment horizontal="left" vertical="top" wrapText="1"/>
    </xf>
    <xf numFmtId="43" fontId="6" fillId="0" borderId="13" xfId="4" applyFont="1" applyFill="1" applyBorder="1" applyAlignment="1">
      <alignment horizontal="left" vertical="top" wrapText="1"/>
    </xf>
    <xf numFmtId="10" fontId="6" fillId="0" borderId="12" xfId="5" applyNumberFormat="1" applyFont="1" applyFill="1" applyBorder="1" applyAlignment="1">
      <alignment horizontal="right" vertical="top" wrapText="1"/>
    </xf>
    <xf numFmtId="43" fontId="5" fillId="0" borderId="12" xfId="1" applyNumberFormat="1" applyFont="1" applyFill="1" applyBorder="1" applyAlignment="1">
      <alignment horizontal="right" vertical="top" wrapText="1"/>
    </xf>
    <xf numFmtId="43" fontId="5" fillId="0" borderId="13" xfId="1" applyNumberFormat="1" applyFont="1" applyFill="1" applyBorder="1" applyAlignment="1">
      <alignment horizontal="left" vertical="top" wrapText="1"/>
    </xf>
    <xf numFmtId="43" fontId="5" fillId="0" borderId="12" xfId="1" applyFont="1" applyFill="1" applyBorder="1" applyAlignment="1">
      <alignment horizontal="left" vertical="top" wrapText="1"/>
    </xf>
    <xf numFmtId="43" fontId="5" fillId="0" borderId="13" xfId="1" applyFont="1" applyFill="1" applyBorder="1" applyAlignment="1">
      <alignment horizontal="left" vertical="top" wrapText="1"/>
    </xf>
    <xf numFmtId="43" fontId="5" fillId="0" borderId="14" xfId="1" applyFont="1" applyFill="1" applyBorder="1" applyAlignment="1">
      <alignment horizontal="left" vertical="top" wrapText="1"/>
    </xf>
    <xf numFmtId="43" fontId="5" fillId="0" borderId="15" xfId="1" applyFont="1" applyFill="1" applyBorder="1" applyAlignment="1">
      <alignment horizontal="left" vertical="top" wrapText="1"/>
    </xf>
    <xf numFmtId="43" fontId="5" fillId="0" borderId="16" xfId="1" applyFont="1" applyFill="1" applyBorder="1" applyAlignment="1">
      <alignment horizontal="left" vertical="top" wrapText="1"/>
    </xf>
    <xf numFmtId="0" fontId="11" fillId="0" borderId="12" xfId="3" applyFont="1" applyFill="1" applyBorder="1" applyAlignment="1">
      <alignment horizontal="center" vertical="center" wrapText="1"/>
    </xf>
    <xf numFmtId="0" fontId="11" fillId="0" borderId="3" xfId="3" applyFont="1" applyFill="1" applyBorder="1" applyAlignment="1">
      <alignment horizontal="center" vertical="center" wrapText="1"/>
    </xf>
    <xf numFmtId="0" fontId="5" fillId="0" borderId="3" xfId="3" applyFont="1" applyFill="1" applyBorder="1" applyAlignment="1">
      <alignment horizontal="center" vertical="center" wrapText="1"/>
    </xf>
    <xf numFmtId="0" fontId="11" fillId="0" borderId="13" xfId="3" applyFont="1" applyFill="1" applyBorder="1" applyAlignment="1">
      <alignment horizontal="center" vertical="center" wrapText="1"/>
    </xf>
    <xf numFmtId="0" fontId="5" fillId="0" borderId="0" xfId="3" applyFont="1" applyFill="1" applyAlignment="1">
      <alignment horizontal="center" vertical="center" wrapText="1"/>
    </xf>
    <xf numFmtId="43" fontId="5" fillId="0" borderId="9" xfId="4" applyFont="1" applyFill="1" applyBorder="1" applyAlignment="1">
      <alignment horizontal="center" vertical="center" wrapText="1"/>
    </xf>
    <xf numFmtId="43" fontId="5" fillId="0" borderId="10" xfId="4" applyFont="1" applyFill="1" applyBorder="1" applyAlignment="1">
      <alignment horizontal="center" vertical="center" wrapText="1"/>
    </xf>
    <xf numFmtId="43" fontId="5" fillId="0" borderId="11" xfId="4" applyFont="1" applyFill="1" applyBorder="1" applyAlignment="1">
      <alignment horizontal="center" vertical="center" wrapText="1"/>
    </xf>
    <xf numFmtId="0" fontId="6" fillId="0" borderId="9" xfId="3" applyFont="1" applyFill="1" applyBorder="1" applyAlignment="1">
      <alignment horizontal="left" vertical="top" wrapText="1"/>
    </xf>
    <xf numFmtId="164" fontId="3" fillId="0" borderId="10" xfId="0" applyNumberFormat="1" applyFont="1" applyFill="1" applyBorder="1" applyAlignment="1">
      <alignment horizontal="center" vertical="center" wrapText="1"/>
    </xf>
    <xf numFmtId="164" fontId="3" fillId="0" borderId="11" xfId="0" applyNumberFormat="1" applyFont="1" applyFill="1" applyBorder="1" applyAlignment="1">
      <alignment horizontal="center" vertical="center" wrapText="1"/>
    </xf>
    <xf numFmtId="0" fontId="5" fillId="0" borderId="12" xfId="3" applyFont="1" applyFill="1" applyBorder="1" applyAlignment="1">
      <alignment horizontal="left" vertical="top" wrapText="1"/>
    </xf>
    <xf numFmtId="0" fontId="5" fillId="0" borderId="14" xfId="3" applyFont="1" applyFill="1" applyBorder="1" applyAlignment="1">
      <alignment horizontal="left" vertical="top" wrapText="1"/>
    </xf>
    <xf numFmtId="43" fontId="6" fillId="0" borderId="3" xfId="1" applyFont="1" applyFill="1" applyBorder="1" applyAlignment="1">
      <alignment horizontal="right" vertical="center" wrapText="1"/>
    </xf>
    <xf numFmtId="43" fontId="6" fillId="0" borderId="13" xfId="1" applyFont="1" applyFill="1" applyBorder="1" applyAlignment="1">
      <alignment horizontal="right" vertical="center" wrapText="1"/>
    </xf>
    <xf numFmtId="43" fontId="6" fillId="0" borderId="3" xfId="1" applyFont="1" applyFill="1" applyBorder="1" applyAlignment="1">
      <alignment horizontal="left" vertical="top" wrapText="1"/>
    </xf>
    <xf numFmtId="43" fontId="6" fillId="0" borderId="13" xfId="1" applyFont="1" applyFill="1" applyBorder="1" applyAlignment="1">
      <alignment horizontal="left" vertical="top" wrapText="1"/>
    </xf>
    <xf numFmtId="43" fontId="6" fillId="0" borderId="15" xfId="1" applyFont="1" applyFill="1" applyBorder="1" applyAlignment="1">
      <alignment horizontal="left" vertical="top" wrapText="1"/>
    </xf>
    <xf numFmtId="43" fontId="6" fillId="0" borderId="16" xfId="1" applyFont="1" applyFill="1" applyBorder="1" applyAlignment="1">
      <alignment horizontal="left" vertical="top" wrapText="1"/>
    </xf>
    <xf numFmtId="165" fontId="15" fillId="0" borderId="3" xfId="1" applyNumberFormat="1" applyFont="1" applyFill="1" applyBorder="1" applyAlignment="1">
      <alignment horizontal="right" vertical="top" wrapText="1" shrinkToFit="1"/>
    </xf>
    <xf numFmtId="165" fontId="15" fillId="0" borderId="13" xfId="1" applyNumberFormat="1" applyFont="1" applyFill="1" applyBorder="1" applyAlignment="1">
      <alignment horizontal="right" vertical="top" wrapText="1" shrinkToFit="1"/>
    </xf>
    <xf numFmtId="165" fontId="13" fillId="0" borderId="3" xfId="1" applyNumberFormat="1" applyFont="1" applyFill="1" applyBorder="1" applyAlignment="1">
      <alignment horizontal="right" vertical="top" wrapText="1"/>
    </xf>
    <xf numFmtId="3" fontId="13" fillId="0" borderId="3" xfId="1" applyNumberFormat="1" applyFont="1" applyFill="1" applyBorder="1" applyAlignment="1">
      <alignment horizontal="right" vertical="top" wrapText="1"/>
    </xf>
    <xf numFmtId="3" fontId="13" fillId="0" borderId="13" xfId="1" applyNumberFormat="1" applyFont="1" applyFill="1" applyBorder="1" applyAlignment="1">
      <alignment horizontal="right" vertical="top" wrapText="1"/>
    </xf>
    <xf numFmtId="3" fontId="11" fillId="0" borderId="3" xfId="1" applyNumberFormat="1" applyFont="1" applyFill="1" applyBorder="1" applyAlignment="1">
      <alignment horizontal="right" vertical="top" wrapText="1"/>
    </xf>
    <xf numFmtId="3" fontId="11" fillId="0" borderId="13" xfId="1" applyNumberFormat="1" applyFont="1" applyFill="1" applyBorder="1" applyAlignment="1">
      <alignment horizontal="right" vertical="top" wrapText="1"/>
    </xf>
    <xf numFmtId="1" fontId="12" fillId="0" borderId="13" xfId="3" applyNumberFormat="1" applyFont="1" applyFill="1" applyBorder="1" applyAlignment="1">
      <alignment horizontal="right" vertical="top" wrapText="1" shrinkToFit="1"/>
    </xf>
    <xf numFmtId="43" fontId="11" fillId="0" borderId="14" xfId="1" applyFont="1" applyFill="1" applyBorder="1" applyAlignment="1">
      <alignment horizontal="left" vertical="top" wrapText="1"/>
    </xf>
    <xf numFmtId="43" fontId="11" fillId="0" borderId="15" xfId="1" applyFont="1" applyFill="1" applyBorder="1" applyAlignment="1">
      <alignment horizontal="right" vertical="top" wrapText="1"/>
    </xf>
    <xf numFmtId="43" fontId="11" fillId="0" borderId="16" xfId="1" applyFont="1" applyFill="1" applyBorder="1" applyAlignment="1">
      <alignment horizontal="right" vertical="top" wrapText="1"/>
    </xf>
    <xf numFmtId="0" fontId="34" fillId="0" borderId="0" xfId="3" applyFont="1" applyFill="1" applyBorder="1" applyAlignment="1">
      <alignment vertical="top"/>
    </xf>
    <xf numFmtId="0" fontId="33" fillId="0" borderId="0" xfId="0" applyFont="1" applyFill="1" applyAlignment="1">
      <alignment horizontal="center" vertical="center" wrapText="1"/>
    </xf>
    <xf numFmtId="0" fontId="9" fillId="0" borderId="0" xfId="0" applyFont="1" applyFill="1" applyBorder="1" applyAlignment="1">
      <alignment horizontal="center" vertical="center" wrapText="1"/>
    </xf>
    <xf numFmtId="0" fontId="0" fillId="0" borderId="3" xfId="0" applyBorder="1"/>
    <xf numFmtId="164" fontId="3" fillId="0" borderId="0" xfId="0" applyNumberFormat="1" applyFont="1" applyFill="1" applyBorder="1" applyAlignment="1">
      <alignment horizontal="right" vertical="center" wrapText="1"/>
    </xf>
    <xf numFmtId="43" fontId="3" fillId="0" borderId="0" xfId="1" applyFont="1" applyFill="1" applyBorder="1"/>
    <xf numFmtId="43" fontId="3" fillId="0" borderId="0" xfId="1" applyFont="1" applyFill="1" applyBorder="1" applyAlignment="1">
      <alignment horizontal="right" vertical="center" wrapText="1"/>
    </xf>
    <xf numFmtId="43" fontId="3" fillId="0" borderId="0" xfId="1" applyFont="1" applyFill="1" applyBorder="1" applyAlignment="1">
      <alignment vertical="center"/>
    </xf>
    <xf numFmtId="4" fontId="3" fillId="0" borderId="0" xfId="0" applyNumberFormat="1" applyFont="1" applyFill="1" applyBorder="1" applyAlignment="1">
      <alignment horizontal="right" vertical="center" wrapText="1"/>
    </xf>
    <xf numFmtId="43" fontId="4" fillId="0" borderId="0" xfId="1" applyFont="1" applyFill="1" applyBorder="1" applyAlignment="1">
      <alignment horizontal="right" vertical="center" wrapText="1"/>
    </xf>
    <xf numFmtId="0" fontId="3" fillId="0" borderId="38" xfId="0" applyFont="1" applyFill="1" applyBorder="1" applyAlignment="1"/>
    <xf numFmtId="0" fontId="3" fillId="0" borderId="39" xfId="0" applyFont="1" applyFill="1" applyBorder="1" applyAlignment="1"/>
    <xf numFmtId="0" fontId="3" fillId="0" borderId="29" xfId="0" applyFont="1" applyFill="1" applyBorder="1" applyAlignment="1"/>
    <xf numFmtId="0" fontId="3" fillId="0" borderId="29" xfId="0" applyFont="1" applyFill="1" applyBorder="1" applyAlignment="1">
      <alignment wrapText="1"/>
    </xf>
    <xf numFmtId="0" fontId="5" fillId="0" borderId="29" xfId="3" applyFont="1" applyBorder="1" applyAlignment="1">
      <alignment wrapText="1"/>
    </xf>
    <xf numFmtId="0" fontId="4" fillId="0" borderId="0" xfId="0" applyFont="1" applyFill="1" applyAlignment="1">
      <alignment vertical="center"/>
    </xf>
    <xf numFmtId="43" fontId="4" fillId="0" borderId="3" xfId="1" applyFont="1" applyFill="1" applyBorder="1" applyAlignment="1">
      <alignment vertical="center"/>
    </xf>
    <xf numFmtId="43" fontId="4" fillId="0" borderId="13" xfId="1" applyFont="1" applyFill="1" applyBorder="1" applyAlignment="1">
      <alignment vertical="center"/>
    </xf>
    <xf numFmtId="0" fontId="3" fillId="0" borderId="29" xfId="0" applyFont="1" applyFill="1" applyBorder="1" applyAlignment="1">
      <alignment vertical="center" wrapText="1"/>
    </xf>
    <xf numFmtId="0" fontId="4" fillId="0" borderId="3" xfId="0" applyFont="1" applyFill="1" applyBorder="1" applyAlignment="1">
      <alignment vertical="center"/>
    </xf>
    <xf numFmtId="0" fontId="4" fillId="0" borderId="13" xfId="0" applyFont="1" applyFill="1" applyBorder="1" applyAlignment="1">
      <alignment vertical="center"/>
    </xf>
    <xf numFmtId="0" fontId="3" fillId="0" borderId="38" xfId="0" applyFont="1" applyFill="1" applyBorder="1" applyAlignment="1">
      <alignment horizontal="center" vertical="center"/>
    </xf>
    <xf numFmtId="0" fontId="5" fillId="0" borderId="39" xfId="0" applyFont="1" applyFill="1" applyBorder="1" applyAlignment="1">
      <alignment horizontal="left" vertical="center"/>
    </xf>
    <xf numFmtId="4" fontId="5" fillId="0" borderId="29" xfId="0" applyNumberFormat="1" applyFont="1" applyFill="1" applyBorder="1" applyAlignment="1">
      <alignment horizontal="left" vertical="center"/>
    </xf>
    <xf numFmtId="0" fontId="3" fillId="0" borderId="29" xfId="0" applyFont="1" applyFill="1" applyBorder="1" applyAlignment="1">
      <alignment horizontal="left"/>
    </xf>
    <xf numFmtId="0" fontId="5" fillId="0" borderId="29" xfId="0" applyFont="1" applyFill="1" applyBorder="1" applyAlignment="1">
      <alignment horizontal="left" vertical="center"/>
    </xf>
    <xf numFmtId="4" fontId="5" fillId="0" borderId="29" xfId="0" applyNumberFormat="1" applyFont="1" applyFill="1" applyBorder="1" applyAlignment="1">
      <alignment horizontal="left" vertical="center" wrapText="1"/>
    </xf>
    <xf numFmtId="4" fontId="5" fillId="0" borderId="40" xfId="0" applyNumberFormat="1" applyFont="1" applyFill="1" applyBorder="1" applyAlignment="1">
      <alignment horizontal="left" vertical="center" wrapText="1"/>
    </xf>
    <xf numFmtId="0" fontId="3" fillId="0" borderId="0" xfId="0" applyFont="1" applyFill="1" applyBorder="1" applyAlignment="1">
      <alignment horizontal="center" vertical="center"/>
    </xf>
    <xf numFmtId="0" fontId="3" fillId="0" borderId="0" xfId="0" applyFont="1" applyFill="1" applyBorder="1" applyAlignment="1">
      <alignment vertical="center"/>
    </xf>
    <xf numFmtId="0" fontId="4" fillId="0" borderId="0" xfId="0" applyFont="1" applyFill="1" applyBorder="1" applyAlignment="1"/>
    <xf numFmtId="0" fontId="33" fillId="0" borderId="0" xfId="0" applyFont="1" applyFill="1" applyAlignment="1">
      <alignment horizontal="center" vertical="center" wrapText="1"/>
    </xf>
    <xf numFmtId="0" fontId="7" fillId="0" borderId="2"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3" fillId="0" borderId="41" xfId="0" applyFont="1" applyFill="1" applyBorder="1" applyAlignment="1">
      <alignment horizontal="left" vertical="center" wrapText="1"/>
    </xf>
    <xf numFmtId="0" fontId="3" fillId="0" borderId="42" xfId="0" applyFont="1" applyFill="1" applyBorder="1" applyAlignment="1">
      <alignment horizontal="left" vertical="center" wrapText="1"/>
    </xf>
    <xf numFmtId="0" fontId="3" fillId="0" borderId="8" xfId="0" applyFont="1" applyFill="1" applyBorder="1" applyAlignment="1">
      <alignment horizontal="left" vertical="center" wrapText="1"/>
    </xf>
    <xf numFmtId="0" fontId="3" fillId="0" borderId="41" xfId="0" applyFont="1" applyFill="1" applyBorder="1" applyAlignment="1">
      <alignment horizontal="left" vertical="top" wrapText="1"/>
    </xf>
    <xf numFmtId="0" fontId="3" fillId="0" borderId="8" xfId="0" applyFont="1" applyFill="1" applyBorder="1" applyAlignment="1">
      <alignment horizontal="left" vertical="top" wrapText="1"/>
    </xf>
    <xf numFmtId="0" fontId="3" fillId="0" borderId="41" xfId="0" applyFont="1" applyFill="1" applyBorder="1" applyAlignment="1">
      <alignment horizontal="center" wrapText="1"/>
    </xf>
    <xf numFmtId="0" fontId="3" fillId="0" borderId="8" xfId="0" applyFont="1" applyFill="1" applyBorder="1" applyAlignment="1">
      <alignment horizontal="center" wrapText="1"/>
    </xf>
    <xf numFmtId="0" fontId="34" fillId="0" borderId="0" xfId="0" applyFont="1" applyFill="1" applyBorder="1" applyAlignment="1">
      <alignment horizontal="center"/>
    </xf>
    <xf numFmtId="0" fontId="28" fillId="0" borderId="0" xfId="11" applyFont="1" applyFill="1" applyBorder="1" applyAlignment="1">
      <alignment horizontal="center"/>
    </xf>
    <xf numFmtId="0" fontId="31" fillId="0" borderId="0" xfId="7" applyFont="1" applyFill="1" applyBorder="1" applyAlignment="1">
      <alignment horizontal="center"/>
    </xf>
    <xf numFmtId="0" fontId="3" fillId="2" borderId="0" xfId="0" applyFont="1" applyFill="1" applyBorder="1" applyAlignment="1">
      <alignment horizontal="center" vertical="center"/>
    </xf>
    <xf numFmtId="0" fontId="7" fillId="0" borderId="0" xfId="0" applyFont="1" applyFill="1" applyBorder="1" applyAlignment="1">
      <alignment horizontal="center"/>
    </xf>
    <xf numFmtId="0" fontId="27" fillId="0" borderId="30" xfId="9" applyFont="1" applyFill="1" applyBorder="1" applyAlignment="1">
      <alignment horizontal="center" vertical="center"/>
    </xf>
    <xf numFmtId="0" fontId="27" fillId="0" borderId="31" xfId="9" applyFont="1" applyFill="1" applyBorder="1" applyAlignment="1">
      <alignment horizontal="center" vertical="center"/>
    </xf>
    <xf numFmtId="0" fontId="27" fillId="0" borderId="32" xfId="9" applyFont="1" applyFill="1" applyBorder="1" applyAlignment="1">
      <alignment horizontal="center" vertical="center"/>
    </xf>
    <xf numFmtId="10" fontId="3" fillId="0" borderId="27" xfId="2" applyNumberFormat="1" applyFont="1" applyFill="1" applyBorder="1" applyAlignment="1">
      <alignment horizontal="right"/>
    </xf>
    <xf numFmtId="10" fontId="3" fillId="0" borderId="28" xfId="2" applyNumberFormat="1" applyFont="1" applyFill="1" applyBorder="1" applyAlignment="1">
      <alignment horizontal="right"/>
    </xf>
    <xf numFmtId="10" fontId="3" fillId="0" borderId="29" xfId="2" applyNumberFormat="1" applyFont="1" applyFill="1" applyBorder="1" applyAlignment="1">
      <alignment horizontal="right"/>
    </xf>
    <xf numFmtId="0" fontId="3" fillId="0" borderId="9" xfId="0" applyFont="1" applyFill="1" applyBorder="1" applyAlignment="1">
      <alignment horizontal="center" vertical="center"/>
    </xf>
    <xf numFmtId="0" fontId="3" fillId="0" borderId="11" xfId="0" applyFont="1" applyFill="1" applyBorder="1" applyAlignment="1">
      <alignment horizontal="center" vertical="center"/>
    </xf>
    <xf numFmtId="0" fontId="27" fillId="0" borderId="30" xfId="9" applyFont="1" applyFill="1" applyBorder="1" applyAlignment="1">
      <alignment horizontal="center"/>
    </xf>
    <xf numFmtId="0" fontId="27" fillId="0" borderId="31" xfId="9" applyFont="1" applyFill="1" applyBorder="1" applyAlignment="1">
      <alignment horizontal="center"/>
    </xf>
    <xf numFmtId="0" fontId="27" fillId="0" borderId="32" xfId="9" applyFont="1" applyFill="1" applyBorder="1" applyAlignment="1">
      <alignment horizontal="center"/>
    </xf>
    <xf numFmtId="17" fontId="3" fillId="0" borderId="10" xfId="0" applyNumberFormat="1" applyFont="1" applyFill="1" applyBorder="1" applyAlignment="1">
      <alignment horizontal="center"/>
    </xf>
    <xf numFmtId="0" fontId="3" fillId="0" borderId="10" xfId="0" applyFont="1" applyFill="1" applyBorder="1" applyAlignment="1">
      <alignment horizontal="center"/>
    </xf>
    <xf numFmtId="0" fontId="3" fillId="0" borderId="11" xfId="0" applyFont="1" applyFill="1" applyBorder="1" applyAlignment="1">
      <alignment horizontal="center"/>
    </xf>
    <xf numFmtId="0" fontId="7" fillId="0" borderId="0" xfId="0" applyFont="1" applyFill="1" applyAlignment="1">
      <alignment horizontal="center"/>
    </xf>
    <xf numFmtId="0" fontId="37" fillId="0" borderId="10" xfId="3" applyFont="1" applyBorder="1" applyAlignment="1">
      <alignment horizontal="center" vertical="top" wrapText="1"/>
    </xf>
    <xf numFmtId="0" fontId="37" fillId="0" borderId="11" xfId="3" applyFont="1" applyBorder="1" applyAlignment="1">
      <alignment horizontal="center" vertical="top" wrapText="1"/>
    </xf>
    <xf numFmtId="0" fontId="39" fillId="0" borderId="37" xfId="0" applyFont="1" applyBorder="1" applyAlignment="1">
      <alignment horizontal="center"/>
    </xf>
    <xf numFmtId="0" fontId="0" fillId="0" borderId="37" xfId="0" applyBorder="1" applyAlignment="1">
      <alignment horizontal="center"/>
    </xf>
  </cellXfs>
  <cellStyles count="13">
    <cellStyle name="Comma" xfId="1" builtinId="3"/>
    <cellStyle name="Comma 2" xfId="4" xr:uid="{F6F80CBD-8696-4229-8E92-636FA28DF8E1}"/>
    <cellStyle name="Heading 1" xfId="9" builtinId="16"/>
    <cellStyle name="Heading 2" xfId="6" builtinId="17"/>
    <cellStyle name="Heading 4" xfId="10" builtinId="19"/>
    <cellStyle name="Hyperlink" xfId="12" builtinId="8"/>
    <cellStyle name="Input" xfId="7" builtinId="20"/>
    <cellStyle name="Normal" xfId="0" builtinId="0"/>
    <cellStyle name="Normal 2" xfId="3" xr:uid="{3AA1DA0F-8C0C-42EA-B836-F0EFC8B84875}"/>
    <cellStyle name="Percent" xfId="2" builtinId="5"/>
    <cellStyle name="Percent 2" xfId="5" xr:uid="{2D441DED-C6A5-4C3E-9EEF-CFFAAA97C8CD}"/>
    <cellStyle name="Total" xfId="8" builtinId="25"/>
    <cellStyle name="Warning Text" xfId="11"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xdr:col>
      <xdr:colOff>76200</xdr:colOff>
      <xdr:row>6</xdr:row>
      <xdr:rowOff>76200</xdr:rowOff>
    </xdr:to>
    <xdr:pic>
      <xdr:nvPicPr>
        <xdr:cNvPr id="2" name="Picture 1">
          <a:extLst>
            <a:ext uri="{FF2B5EF4-FFF2-40B4-BE49-F238E27FC236}">
              <a16:creationId xmlns:a16="http://schemas.microsoft.com/office/drawing/2014/main" id="{A750DD37-55CD-4884-BB48-2DA2A40307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22555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xdr:row>
      <xdr:rowOff>0</xdr:rowOff>
    </xdr:from>
    <xdr:to>
      <xdr:col>1</xdr:col>
      <xdr:colOff>76200</xdr:colOff>
      <xdr:row>6</xdr:row>
      <xdr:rowOff>76200</xdr:rowOff>
    </xdr:to>
    <xdr:pic>
      <xdr:nvPicPr>
        <xdr:cNvPr id="3" name="Picture 2">
          <a:extLst>
            <a:ext uri="{FF2B5EF4-FFF2-40B4-BE49-F238E27FC236}">
              <a16:creationId xmlns:a16="http://schemas.microsoft.com/office/drawing/2014/main" id="{4E74EBCD-FA47-4EF8-BFB1-0A772668E2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59385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xdr:row>
      <xdr:rowOff>0</xdr:rowOff>
    </xdr:from>
    <xdr:to>
      <xdr:col>1</xdr:col>
      <xdr:colOff>76200</xdr:colOff>
      <xdr:row>25</xdr:row>
      <xdr:rowOff>76200</xdr:rowOff>
    </xdr:to>
    <xdr:pic>
      <xdr:nvPicPr>
        <xdr:cNvPr id="4" name="Picture 3">
          <a:extLst>
            <a:ext uri="{FF2B5EF4-FFF2-40B4-BE49-F238E27FC236}">
              <a16:creationId xmlns:a16="http://schemas.microsoft.com/office/drawing/2014/main" id="{59CF3CCF-32BA-4B6E-8400-F486E9C6B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69088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xdr:row>
      <xdr:rowOff>0</xdr:rowOff>
    </xdr:from>
    <xdr:to>
      <xdr:col>1</xdr:col>
      <xdr:colOff>76200</xdr:colOff>
      <xdr:row>25</xdr:row>
      <xdr:rowOff>76200</xdr:rowOff>
    </xdr:to>
    <xdr:pic>
      <xdr:nvPicPr>
        <xdr:cNvPr id="5" name="Picture 4">
          <a:extLst>
            <a:ext uri="{FF2B5EF4-FFF2-40B4-BE49-F238E27FC236}">
              <a16:creationId xmlns:a16="http://schemas.microsoft.com/office/drawing/2014/main" id="{281E2157-51F2-45DD-8DE5-605B9F17DF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72771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34</xdr:row>
      <xdr:rowOff>0</xdr:rowOff>
    </xdr:from>
    <xdr:to>
      <xdr:col>1</xdr:col>
      <xdr:colOff>76200</xdr:colOff>
      <xdr:row>34</xdr:row>
      <xdr:rowOff>76200</xdr:rowOff>
    </xdr:to>
    <xdr:pic>
      <xdr:nvPicPr>
        <xdr:cNvPr id="6" name="Picture 5">
          <a:extLst>
            <a:ext uri="{FF2B5EF4-FFF2-40B4-BE49-F238E27FC236}">
              <a16:creationId xmlns:a16="http://schemas.microsoft.com/office/drawing/2014/main" id="{0C10DE20-10BA-4A9C-B51F-22DF6D003B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04521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34</xdr:row>
      <xdr:rowOff>0</xdr:rowOff>
    </xdr:from>
    <xdr:to>
      <xdr:col>1</xdr:col>
      <xdr:colOff>76200</xdr:colOff>
      <xdr:row>34</xdr:row>
      <xdr:rowOff>76200</xdr:rowOff>
    </xdr:to>
    <xdr:pic>
      <xdr:nvPicPr>
        <xdr:cNvPr id="7" name="Picture 6">
          <a:extLst>
            <a:ext uri="{FF2B5EF4-FFF2-40B4-BE49-F238E27FC236}">
              <a16:creationId xmlns:a16="http://schemas.microsoft.com/office/drawing/2014/main" id="{0E556014-53AE-4AFF-B0F6-30E50AB40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08204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6</xdr:row>
      <xdr:rowOff>0</xdr:rowOff>
    </xdr:from>
    <xdr:to>
      <xdr:col>2</xdr:col>
      <xdr:colOff>76200</xdr:colOff>
      <xdr:row>6</xdr:row>
      <xdr:rowOff>76200</xdr:rowOff>
    </xdr:to>
    <xdr:pic>
      <xdr:nvPicPr>
        <xdr:cNvPr id="8" name="Picture 7">
          <a:extLst>
            <a:ext uri="{FF2B5EF4-FFF2-40B4-BE49-F238E27FC236}">
              <a16:creationId xmlns:a16="http://schemas.microsoft.com/office/drawing/2014/main" id="{28B41603-D78C-4005-869A-2CD8D602DE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24800" y="18415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6</xdr:row>
      <xdr:rowOff>0</xdr:rowOff>
    </xdr:from>
    <xdr:to>
      <xdr:col>2</xdr:col>
      <xdr:colOff>76200</xdr:colOff>
      <xdr:row>6</xdr:row>
      <xdr:rowOff>76200</xdr:rowOff>
    </xdr:to>
    <xdr:pic>
      <xdr:nvPicPr>
        <xdr:cNvPr id="9" name="Picture 8">
          <a:extLst>
            <a:ext uri="{FF2B5EF4-FFF2-40B4-BE49-F238E27FC236}">
              <a16:creationId xmlns:a16="http://schemas.microsoft.com/office/drawing/2014/main" id="{978B761B-4BA8-444E-AE9D-E6288B79F0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24800" y="10414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25</xdr:row>
      <xdr:rowOff>0</xdr:rowOff>
    </xdr:from>
    <xdr:to>
      <xdr:col>2</xdr:col>
      <xdr:colOff>76200</xdr:colOff>
      <xdr:row>25</xdr:row>
      <xdr:rowOff>76200</xdr:rowOff>
    </xdr:to>
    <xdr:pic>
      <xdr:nvPicPr>
        <xdr:cNvPr id="10" name="Picture 9">
          <a:extLst>
            <a:ext uri="{FF2B5EF4-FFF2-40B4-BE49-F238E27FC236}">
              <a16:creationId xmlns:a16="http://schemas.microsoft.com/office/drawing/2014/main" id="{FADA6666-56E5-460E-9270-CF8F51FE84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24800" y="728345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25</xdr:row>
      <xdr:rowOff>0</xdr:rowOff>
    </xdr:from>
    <xdr:to>
      <xdr:col>2</xdr:col>
      <xdr:colOff>76200</xdr:colOff>
      <xdr:row>25</xdr:row>
      <xdr:rowOff>76200</xdr:rowOff>
    </xdr:to>
    <xdr:pic>
      <xdr:nvPicPr>
        <xdr:cNvPr id="11" name="Picture 10">
          <a:extLst>
            <a:ext uri="{FF2B5EF4-FFF2-40B4-BE49-F238E27FC236}">
              <a16:creationId xmlns:a16="http://schemas.microsoft.com/office/drawing/2014/main" id="{B8C22B80-401C-416D-AAF8-DCD3490B0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24800" y="79756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34</xdr:row>
      <xdr:rowOff>0</xdr:rowOff>
    </xdr:from>
    <xdr:to>
      <xdr:col>2</xdr:col>
      <xdr:colOff>76200</xdr:colOff>
      <xdr:row>34</xdr:row>
      <xdr:rowOff>76200</xdr:rowOff>
    </xdr:to>
    <xdr:pic>
      <xdr:nvPicPr>
        <xdr:cNvPr id="12" name="Picture 11">
          <a:extLst>
            <a:ext uri="{FF2B5EF4-FFF2-40B4-BE49-F238E27FC236}">
              <a16:creationId xmlns:a16="http://schemas.microsoft.com/office/drawing/2014/main" id="{4219C8B9-98C2-4E30-BE68-2F0CEB8069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24800" y="1100455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34</xdr:row>
      <xdr:rowOff>0</xdr:rowOff>
    </xdr:from>
    <xdr:to>
      <xdr:col>2</xdr:col>
      <xdr:colOff>76200</xdr:colOff>
      <xdr:row>34</xdr:row>
      <xdr:rowOff>76200</xdr:rowOff>
    </xdr:to>
    <xdr:pic>
      <xdr:nvPicPr>
        <xdr:cNvPr id="13" name="Picture 12">
          <a:extLst>
            <a:ext uri="{FF2B5EF4-FFF2-40B4-BE49-F238E27FC236}">
              <a16:creationId xmlns:a16="http://schemas.microsoft.com/office/drawing/2014/main" id="{D1238F61-7FBB-4FFC-BAA9-C0DC3EEAE8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24800" y="1191895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34</xdr:row>
      <xdr:rowOff>0</xdr:rowOff>
    </xdr:from>
    <xdr:to>
      <xdr:col>2</xdr:col>
      <xdr:colOff>76200</xdr:colOff>
      <xdr:row>34</xdr:row>
      <xdr:rowOff>76200</xdr:rowOff>
    </xdr:to>
    <xdr:pic>
      <xdr:nvPicPr>
        <xdr:cNvPr id="14" name="Picture 13">
          <a:extLst>
            <a:ext uri="{FF2B5EF4-FFF2-40B4-BE49-F238E27FC236}">
              <a16:creationId xmlns:a16="http://schemas.microsoft.com/office/drawing/2014/main" id="{58C5E317-E460-4E74-A856-50A3E73C8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24800" y="1553845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34</xdr:row>
      <xdr:rowOff>0</xdr:rowOff>
    </xdr:from>
    <xdr:to>
      <xdr:col>2</xdr:col>
      <xdr:colOff>76200</xdr:colOff>
      <xdr:row>34</xdr:row>
      <xdr:rowOff>76200</xdr:rowOff>
    </xdr:to>
    <xdr:pic>
      <xdr:nvPicPr>
        <xdr:cNvPr id="15" name="Picture 14">
          <a:extLst>
            <a:ext uri="{FF2B5EF4-FFF2-40B4-BE49-F238E27FC236}">
              <a16:creationId xmlns:a16="http://schemas.microsoft.com/office/drawing/2014/main" id="{9D0CAA2C-5F4E-45C3-B2C5-5132E14ECC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24800" y="159258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1</xdr:col>
      <xdr:colOff>76200</xdr:colOff>
      <xdr:row>7</xdr:row>
      <xdr:rowOff>76200</xdr:rowOff>
    </xdr:to>
    <xdr:pic>
      <xdr:nvPicPr>
        <xdr:cNvPr id="2" name="Picture 1">
          <a:extLst>
            <a:ext uri="{FF2B5EF4-FFF2-40B4-BE49-F238E27FC236}">
              <a16:creationId xmlns:a16="http://schemas.microsoft.com/office/drawing/2014/main" id="{C798F287-11BF-403A-AE04-CF22B8B937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2235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xdr:row>
      <xdr:rowOff>0</xdr:rowOff>
    </xdr:from>
    <xdr:to>
      <xdr:col>1</xdr:col>
      <xdr:colOff>76200</xdr:colOff>
      <xdr:row>7</xdr:row>
      <xdr:rowOff>76200</xdr:rowOff>
    </xdr:to>
    <xdr:pic>
      <xdr:nvPicPr>
        <xdr:cNvPr id="3" name="Picture 2">
          <a:extLst>
            <a:ext uri="{FF2B5EF4-FFF2-40B4-BE49-F238E27FC236}">
              <a16:creationId xmlns:a16="http://schemas.microsoft.com/office/drawing/2014/main" id="{F9EC48A3-3960-48B2-B0DC-C17FC488E3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9065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37</xdr:row>
      <xdr:rowOff>0</xdr:rowOff>
    </xdr:from>
    <xdr:to>
      <xdr:col>1</xdr:col>
      <xdr:colOff>76200</xdr:colOff>
      <xdr:row>37</xdr:row>
      <xdr:rowOff>76200</xdr:rowOff>
    </xdr:to>
    <xdr:pic>
      <xdr:nvPicPr>
        <xdr:cNvPr id="4" name="Picture 3">
          <a:extLst>
            <a:ext uri="{FF2B5EF4-FFF2-40B4-BE49-F238E27FC236}">
              <a16:creationId xmlns:a16="http://schemas.microsoft.com/office/drawing/2014/main" id="{E74C0706-268F-4822-B5D8-163FD17686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21155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37</xdr:row>
      <xdr:rowOff>0</xdr:rowOff>
    </xdr:from>
    <xdr:to>
      <xdr:col>1</xdr:col>
      <xdr:colOff>76200</xdr:colOff>
      <xdr:row>37</xdr:row>
      <xdr:rowOff>76200</xdr:rowOff>
    </xdr:to>
    <xdr:pic>
      <xdr:nvPicPr>
        <xdr:cNvPr id="5" name="Picture 4">
          <a:extLst>
            <a:ext uri="{FF2B5EF4-FFF2-40B4-BE49-F238E27FC236}">
              <a16:creationId xmlns:a16="http://schemas.microsoft.com/office/drawing/2014/main" id="{519ACFAA-A86E-436B-92EA-1BC0AFF74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57985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xdr:row>
      <xdr:rowOff>0</xdr:rowOff>
    </xdr:from>
    <xdr:to>
      <xdr:col>2</xdr:col>
      <xdr:colOff>76200</xdr:colOff>
      <xdr:row>7</xdr:row>
      <xdr:rowOff>76200</xdr:rowOff>
    </xdr:to>
    <xdr:pic>
      <xdr:nvPicPr>
        <xdr:cNvPr id="6" name="Picture 5">
          <a:extLst>
            <a:ext uri="{FF2B5EF4-FFF2-40B4-BE49-F238E27FC236}">
              <a16:creationId xmlns:a16="http://schemas.microsoft.com/office/drawing/2014/main" id="{4A5825AA-0D04-421B-9133-8163678150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05600" y="102235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xdr:row>
      <xdr:rowOff>0</xdr:rowOff>
    </xdr:from>
    <xdr:to>
      <xdr:col>2</xdr:col>
      <xdr:colOff>76200</xdr:colOff>
      <xdr:row>7</xdr:row>
      <xdr:rowOff>76200</xdr:rowOff>
    </xdr:to>
    <xdr:pic>
      <xdr:nvPicPr>
        <xdr:cNvPr id="7" name="Picture 6">
          <a:extLst>
            <a:ext uri="{FF2B5EF4-FFF2-40B4-BE49-F238E27FC236}">
              <a16:creationId xmlns:a16="http://schemas.microsoft.com/office/drawing/2014/main" id="{06C7F0A2-0050-4E18-B096-099E48403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05600" y="139065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37</xdr:row>
      <xdr:rowOff>0</xdr:rowOff>
    </xdr:from>
    <xdr:to>
      <xdr:col>2</xdr:col>
      <xdr:colOff>76200</xdr:colOff>
      <xdr:row>37</xdr:row>
      <xdr:rowOff>76200</xdr:rowOff>
    </xdr:to>
    <xdr:pic>
      <xdr:nvPicPr>
        <xdr:cNvPr id="8" name="Picture 7">
          <a:extLst>
            <a:ext uri="{FF2B5EF4-FFF2-40B4-BE49-F238E27FC236}">
              <a16:creationId xmlns:a16="http://schemas.microsoft.com/office/drawing/2014/main" id="{A126C6AE-1786-4D72-82E0-9B9F9166F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05600" y="1691005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0</xdr:colOff>
      <xdr:row>37</xdr:row>
      <xdr:rowOff>0</xdr:rowOff>
    </xdr:from>
    <xdr:ext cx="76200" cy="76200"/>
    <xdr:pic>
      <xdr:nvPicPr>
        <xdr:cNvPr id="9" name="Picture 8">
          <a:extLst>
            <a:ext uri="{FF2B5EF4-FFF2-40B4-BE49-F238E27FC236}">
              <a16:creationId xmlns:a16="http://schemas.microsoft.com/office/drawing/2014/main" id="{C3EFE282-DF59-410D-A25E-E8F9AF22C6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6300" y="70612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37</xdr:row>
      <xdr:rowOff>0</xdr:rowOff>
    </xdr:from>
    <xdr:ext cx="76200" cy="76200"/>
    <xdr:pic>
      <xdr:nvPicPr>
        <xdr:cNvPr id="10" name="Picture 9">
          <a:extLst>
            <a:ext uri="{FF2B5EF4-FFF2-40B4-BE49-F238E27FC236}">
              <a16:creationId xmlns:a16="http://schemas.microsoft.com/office/drawing/2014/main" id="{0BD7FD0D-8568-4D27-BAAD-E6D0A93669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6300" y="70612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37</xdr:row>
      <xdr:rowOff>0</xdr:rowOff>
    </xdr:from>
    <xdr:ext cx="76200" cy="76200"/>
    <xdr:pic>
      <xdr:nvPicPr>
        <xdr:cNvPr id="11" name="Picture 10">
          <a:extLst>
            <a:ext uri="{FF2B5EF4-FFF2-40B4-BE49-F238E27FC236}">
              <a16:creationId xmlns:a16="http://schemas.microsoft.com/office/drawing/2014/main" id="{6EA1F3C7-E53C-4AD0-9789-1FAA9968D7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6300" y="70612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37</xdr:row>
      <xdr:rowOff>0</xdr:rowOff>
    </xdr:from>
    <xdr:ext cx="76200" cy="76200"/>
    <xdr:pic>
      <xdr:nvPicPr>
        <xdr:cNvPr id="13" name="Picture 12">
          <a:extLst>
            <a:ext uri="{FF2B5EF4-FFF2-40B4-BE49-F238E27FC236}">
              <a16:creationId xmlns:a16="http://schemas.microsoft.com/office/drawing/2014/main" id="{7D0F3F4B-1AEA-448F-AC8A-B700C794FE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6300" y="70612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37</xdr:row>
      <xdr:rowOff>0</xdr:rowOff>
    </xdr:from>
    <xdr:ext cx="76200" cy="76200"/>
    <xdr:pic>
      <xdr:nvPicPr>
        <xdr:cNvPr id="14" name="Picture 13">
          <a:extLst>
            <a:ext uri="{FF2B5EF4-FFF2-40B4-BE49-F238E27FC236}">
              <a16:creationId xmlns:a16="http://schemas.microsoft.com/office/drawing/2014/main" id="{2FC6B3B3-8EF7-45CE-A6C0-094B65421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6300" y="70612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37</xdr:row>
      <xdr:rowOff>0</xdr:rowOff>
    </xdr:from>
    <xdr:ext cx="76200" cy="76200"/>
    <xdr:pic>
      <xdr:nvPicPr>
        <xdr:cNvPr id="15" name="Picture 14">
          <a:extLst>
            <a:ext uri="{FF2B5EF4-FFF2-40B4-BE49-F238E27FC236}">
              <a16:creationId xmlns:a16="http://schemas.microsoft.com/office/drawing/2014/main" id="{16CF1654-D979-47BE-BF1E-645C91CA8E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6300" y="70612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37</xdr:row>
      <xdr:rowOff>0</xdr:rowOff>
    </xdr:from>
    <xdr:ext cx="76200" cy="76200"/>
    <xdr:pic>
      <xdr:nvPicPr>
        <xdr:cNvPr id="16" name="Picture 15">
          <a:extLst>
            <a:ext uri="{FF2B5EF4-FFF2-40B4-BE49-F238E27FC236}">
              <a16:creationId xmlns:a16="http://schemas.microsoft.com/office/drawing/2014/main" id="{2D19DF02-C02E-478F-A480-9300EC5FDF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6300" y="70612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37</xdr:row>
      <xdr:rowOff>0</xdr:rowOff>
    </xdr:from>
    <xdr:ext cx="76200" cy="76200"/>
    <xdr:pic>
      <xdr:nvPicPr>
        <xdr:cNvPr id="17" name="Picture 16">
          <a:extLst>
            <a:ext uri="{FF2B5EF4-FFF2-40B4-BE49-F238E27FC236}">
              <a16:creationId xmlns:a16="http://schemas.microsoft.com/office/drawing/2014/main" id="{EF6E768F-F22A-4AFE-B4F9-52C19D311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6300" y="70612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177800</xdr:colOff>
      <xdr:row>37</xdr:row>
      <xdr:rowOff>76200</xdr:rowOff>
    </xdr:from>
    <xdr:ext cx="76200" cy="76200"/>
    <xdr:pic>
      <xdr:nvPicPr>
        <xdr:cNvPr id="18" name="Picture 17">
          <a:extLst>
            <a:ext uri="{FF2B5EF4-FFF2-40B4-BE49-F238E27FC236}">
              <a16:creationId xmlns:a16="http://schemas.microsoft.com/office/drawing/2014/main" id="{32D8815A-8F51-4999-B786-69ED2355D9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15100" y="607695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37</xdr:row>
      <xdr:rowOff>0</xdr:rowOff>
    </xdr:from>
    <xdr:ext cx="76200" cy="76200"/>
    <xdr:pic>
      <xdr:nvPicPr>
        <xdr:cNvPr id="19" name="Picture 18">
          <a:extLst>
            <a:ext uri="{FF2B5EF4-FFF2-40B4-BE49-F238E27FC236}">
              <a16:creationId xmlns:a16="http://schemas.microsoft.com/office/drawing/2014/main" id="{294485AF-28A1-4593-9565-08E3951F8A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6300" y="70612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37</xdr:row>
      <xdr:rowOff>0</xdr:rowOff>
    </xdr:from>
    <xdr:ext cx="76200" cy="76200"/>
    <xdr:pic>
      <xdr:nvPicPr>
        <xdr:cNvPr id="20" name="Picture 19">
          <a:extLst>
            <a:ext uri="{FF2B5EF4-FFF2-40B4-BE49-F238E27FC236}">
              <a16:creationId xmlns:a16="http://schemas.microsoft.com/office/drawing/2014/main" id="{9F800409-404D-415C-9109-7E43E28EF3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46300" y="70612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37</xdr:row>
      <xdr:rowOff>0</xdr:rowOff>
    </xdr:from>
    <xdr:ext cx="76200" cy="76200"/>
    <xdr:pic>
      <xdr:nvPicPr>
        <xdr:cNvPr id="21" name="Picture 20">
          <a:extLst>
            <a:ext uri="{FF2B5EF4-FFF2-40B4-BE49-F238E27FC236}">
              <a16:creationId xmlns:a16="http://schemas.microsoft.com/office/drawing/2014/main" id="{E2B3CFAC-ACAC-494C-A428-18438DECE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75500" y="64770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0</xdr:colOff>
      <xdr:row>37</xdr:row>
      <xdr:rowOff>0</xdr:rowOff>
    </xdr:from>
    <xdr:ext cx="76200" cy="76200"/>
    <xdr:pic>
      <xdr:nvPicPr>
        <xdr:cNvPr id="22" name="Picture 21">
          <a:extLst>
            <a:ext uri="{FF2B5EF4-FFF2-40B4-BE49-F238E27FC236}">
              <a16:creationId xmlns:a16="http://schemas.microsoft.com/office/drawing/2014/main" id="{1CA46BCF-D227-46FF-B26E-E47A870B88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75500" y="64770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9E6AB-B8CA-40B2-8C42-3908CB35B0F7}">
  <dimension ref="A1:T36"/>
  <sheetViews>
    <sheetView showGridLines="0" workbookViewId="0">
      <selection activeCell="A8" sqref="A8:XFD10"/>
    </sheetView>
  </sheetViews>
  <sheetFormatPr defaultColWidth="0" defaultRowHeight="11.5" zeroHeight="1" x14ac:dyDescent="0.25"/>
  <cols>
    <col min="1" max="1" width="2.36328125" style="2" customWidth="1"/>
    <col min="2" max="2" width="30.6328125" style="2" customWidth="1"/>
    <col min="3" max="7" width="10.453125" style="2" bestFit="1" customWidth="1"/>
    <col min="8" max="10" width="9.453125" style="2" bestFit="1" customWidth="1"/>
    <col min="11" max="11" width="8.7265625" style="2" customWidth="1"/>
    <col min="12" max="12" width="37.90625" style="57" bestFit="1" customWidth="1"/>
    <col min="13" max="13" width="37.90625" style="57" customWidth="1"/>
    <col min="14" max="19" width="8.81640625" style="2" bestFit="1" customWidth="1"/>
    <col min="20" max="20" width="8.7265625" style="2" customWidth="1"/>
    <col min="21" max="16384" width="8.7265625" style="2" hidden="1"/>
  </cols>
  <sheetData>
    <row r="1" spans="2:19" x14ac:dyDescent="0.25"/>
    <row r="2" spans="2:19" ht="25" x14ac:dyDescent="0.25">
      <c r="B2" s="317" t="s">
        <v>0</v>
      </c>
      <c r="C2" s="317"/>
      <c r="D2" s="317"/>
      <c r="E2" s="317"/>
      <c r="F2" s="317"/>
      <c r="G2" s="317"/>
      <c r="H2" s="317"/>
      <c r="I2" s="317"/>
      <c r="J2" s="317"/>
    </row>
    <row r="3" spans="2:19" x14ac:dyDescent="0.25">
      <c r="B3" s="18"/>
      <c r="C3" s="18"/>
      <c r="D3" s="18"/>
      <c r="E3" s="18"/>
      <c r="F3" s="18"/>
      <c r="G3" s="18"/>
    </row>
    <row r="4" spans="2:19" ht="18" x14ac:dyDescent="0.25">
      <c r="B4" s="318" t="s">
        <v>1</v>
      </c>
      <c r="C4" s="319"/>
      <c r="D4" s="319"/>
      <c r="E4" s="319"/>
      <c r="F4" s="319"/>
      <c r="G4" s="319"/>
      <c r="H4" s="319"/>
      <c r="I4" s="319"/>
      <c r="J4" s="319"/>
    </row>
    <row r="5" spans="2:19" ht="12" thickBot="1" x14ac:dyDescent="0.3">
      <c r="B5" s="1"/>
    </row>
    <row r="6" spans="2:19" ht="35" thickBot="1" x14ac:dyDescent="0.3">
      <c r="B6" s="89" t="s">
        <v>58</v>
      </c>
      <c r="C6" s="90" t="s">
        <v>54</v>
      </c>
      <c r="D6" s="91" t="s">
        <v>55</v>
      </c>
      <c r="E6" s="91" t="s">
        <v>56</v>
      </c>
      <c r="F6" s="91" t="s">
        <v>57</v>
      </c>
      <c r="G6" s="91" t="s">
        <v>62</v>
      </c>
      <c r="H6" s="91" t="s">
        <v>63</v>
      </c>
      <c r="I6" s="91" t="s">
        <v>64</v>
      </c>
      <c r="J6" s="92" t="s">
        <v>115</v>
      </c>
      <c r="K6" s="3"/>
      <c r="L6" s="124" t="s">
        <v>185</v>
      </c>
      <c r="M6" s="307" t="s">
        <v>209</v>
      </c>
      <c r="N6" s="90" t="s">
        <v>54</v>
      </c>
      <c r="O6" s="91" t="s">
        <v>55</v>
      </c>
      <c r="P6" s="91" t="s">
        <v>56</v>
      </c>
      <c r="Q6" s="91" t="s">
        <v>57</v>
      </c>
      <c r="R6" s="91" t="s">
        <v>62</v>
      </c>
      <c r="S6" s="125" t="s">
        <v>66</v>
      </c>
    </row>
    <row r="7" spans="2:19" x14ac:dyDescent="0.25">
      <c r="B7" s="84" t="s">
        <v>2</v>
      </c>
      <c r="C7" s="85"/>
      <c r="D7" s="86"/>
      <c r="E7" s="86"/>
      <c r="F7" s="86"/>
      <c r="G7" s="87"/>
      <c r="H7" s="87"/>
      <c r="I7" s="87"/>
      <c r="J7" s="88"/>
      <c r="K7" s="7"/>
      <c r="L7" s="121"/>
      <c r="M7" s="308"/>
      <c r="N7" s="122"/>
      <c r="O7" s="122"/>
      <c r="P7" s="122"/>
      <c r="Q7" s="122"/>
      <c r="R7" s="122"/>
      <c r="S7" s="123"/>
    </row>
    <row r="8" spans="2:19" hidden="1" x14ac:dyDescent="0.25">
      <c r="B8" s="71" t="s">
        <v>3</v>
      </c>
      <c r="C8" s="21">
        <v>340814</v>
      </c>
      <c r="D8" s="22">
        <v>251241</v>
      </c>
      <c r="E8" s="22">
        <v>265041</v>
      </c>
      <c r="F8" s="22">
        <v>315357</v>
      </c>
      <c r="G8" s="22">
        <v>400986</v>
      </c>
      <c r="H8" s="22"/>
      <c r="I8" s="22"/>
      <c r="J8" s="72"/>
      <c r="K8" s="10"/>
      <c r="L8" s="98"/>
      <c r="M8" s="309"/>
      <c r="N8" s="93"/>
      <c r="O8" s="94"/>
      <c r="P8" s="94"/>
      <c r="Q8" s="94"/>
      <c r="R8" s="94"/>
      <c r="S8" s="99"/>
    </row>
    <row r="9" spans="2:19" hidden="1" x14ac:dyDescent="0.25">
      <c r="B9" s="73" t="s">
        <v>4</v>
      </c>
      <c r="C9" s="23">
        <v>11738</v>
      </c>
      <c r="D9" s="24">
        <v>18083</v>
      </c>
      <c r="E9" s="24">
        <v>23016</v>
      </c>
      <c r="F9" s="24">
        <v>25315</v>
      </c>
      <c r="G9" s="24">
        <v>29967</v>
      </c>
      <c r="H9" s="24"/>
      <c r="I9" s="24"/>
      <c r="J9" s="74"/>
      <c r="K9" s="13"/>
      <c r="L9" s="98"/>
      <c r="M9" s="309"/>
      <c r="N9" s="94"/>
      <c r="O9" s="94"/>
      <c r="P9" s="94"/>
      <c r="Q9" s="94"/>
      <c r="R9" s="94"/>
      <c r="S9" s="99"/>
    </row>
    <row r="10" spans="2:19" hidden="1" x14ac:dyDescent="0.25">
      <c r="B10" s="71" t="s">
        <v>5</v>
      </c>
      <c r="C10" s="22">
        <f>C8-C9</f>
        <v>329076</v>
      </c>
      <c r="D10" s="22">
        <f t="shared" ref="D10:I10" si="0">D8-D9</f>
        <v>233158</v>
      </c>
      <c r="E10" s="22">
        <f t="shared" si="0"/>
        <v>242025</v>
      </c>
      <c r="F10" s="22">
        <f t="shared" si="0"/>
        <v>290042</v>
      </c>
      <c r="G10" s="22">
        <f t="shared" si="0"/>
        <v>371019</v>
      </c>
      <c r="H10" s="22">
        <f t="shared" si="0"/>
        <v>0</v>
      </c>
      <c r="I10" s="22">
        <f t="shared" si="0"/>
        <v>0</v>
      </c>
      <c r="J10" s="72">
        <f t="shared" ref="J10" si="1">J8-J9</f>
        <v>0</v>
      </c>
      <c r="K10" s="10"/>
      <c r="L10" s="100"/>
      <c r="M10" s="310"/>
      <c r="N10" s="16"/>
      <c r="O10" s="94"/>
      <c r="P10" s="94"/>
      <c r="Q10" s="94"/>
      <c r="R10" s="94"/>
      <c r="S10" s="99"/>
    </row>
    <row r="11" spans="2:19" ht="23" x14ac:dyDescent="0.25">
      <c r="B11" s="69" t="s">
        <v>59</v>
      </c>
      <c r="C11" s="9">
        <f>C10</f>
        <v>329076</v>
      </c>
      <c r="D11" s="9">
        <f t="shared" ref="D11:G11" si="2">D10</f>
        <v>233158</v>
      </c>
      <c r="E11" s="9">
        <f t="shared" si="2"/>
        <v>242025</v>
      </c>
      <c r="F11" s="9">
        <f t="shared" si="2"/>
        <v>290042</v>
      </c>
      <c r="G11" s="9">
        <f t="shared" si="2"/>
        <v>371019</v>
      </c>
      <c r="H11" s="9">
        <f>G11+($S$11*G11)</f>
        <v>420593.42327124171</v>
      </c>
      <c r="I11" s="9">
        <f>H11+($S$11*H11)</f>
        <v>476791.82925678173</v>
      </c>
      <c r="J11" s="75">
        <f>I11+($S$11*I11)</f>
        <v>540499.29425411427</v>
      </c>
      <c r="K11" s="10"/>
      <c r="L11" s="98" t="s">
        <v>65</v>
      </c>
      <c r="M11" s="312" t="s">
        <v>210</v>
      </c>
      <c r="N11" s="16"/>
      <c r="O11" s="94">
        <f>(D11-C11)/C11</f>
        <v>-0.29147674093522469</v>
      </c>
      <c r="P11" s="94">
        <f>(E11-D11)/D11</f>
        <v>3.8030005404060763E-2</v>
      </c>
      <c r="Q11" s="94">
        <f>(F11-E11)/E11</f>
        <v>0.19839685982853011</v>
      </c>
      <c r="R11" s="94">
        <f>(G11-F11)/F11</f>
        <v>0.27919059998207157</v>
      </c>
      <c r="S11" s="99">
        <f>((R11*4)+(P11*3)+(Q11*2)+(O11*1))/10</f>
        <v>0.13361693948623041</v>
      </c>
    </row>
    <row r="12" spans="2:19" ht="23" x14ac:dyDescent="0.25">
      <c r="B12" s="76" t="s">
        <v>6</v>
      </c>
      <c r="C12" s="11">
        <v>8721</v>
      </c>
      <c r="D12" s="12">
        <v>7582</v>
      </c>
      <c r="E12" s="12">
        <v>8709</v>
      </c>
      <c r="F12" s="12">
        <v>8220</v>
      </c>
      <c r="G12" s="12">
        <v>9419</v>
      </c>
      <c r="H12" s="12">
        <f>$S$12</f>
        <v>8530.2000000000007</v>
      </c>
      <c r="I12" s="12">
        <f>$S$12</f>
        <v>8530.2000000000007</v>
      </c>
      <c r="J12" s="77">
        <f>$S$12</f>
        <v>8530.2000000000007</v>
      </c>
      <c r="K12" s="13"/>
      <c r="L12" s="98" t="s">
        <v>66</v>
      </c>
      <c r="M12" s="312" t="s">
        <v>211</v>
      </c>
      <c r="N12" s="16"/>
      <c r="O12" s="16"/>
      <c r="P12" s="16"/>
      <c r="Q12" s="16"/>
      <c r="R12" s="16"/>
      <c r="S12" s="101">
        <f>AVERAGE(C12:G12)</f>
        <v>8530.2000000000007</v>
      </c>
    </row>
    <row r="13" spans="2:19" x14ac:dyDescent="0.25">
      <c r="B13" s="69" t="s">
        <v>7</v>
      </c>
      <c r="C13" s="8">
        <f>C11+C12</f>
        <v>337797</v>
      </c>
      <c r="D13" s="8">
        <f t="shared" ref="D13:I13" si="3">D11+D12</f>
        <v>240740</v>
      </c>
      <c r="E13" s="8">
        <f t="shared" si="3"/>
        <v>250734</v>
      </c>
      <c r="F13" s="8">
        <f t="shared" si="3"/>
        <v>298262</v>
      </c>
      <c r="G13" s="8">
        <f t="shared" si="3"/>
        <v>380438</v>
      </c>
      <c r="H13" s="8">
        <f t="shared" si="3"/>
        <v>429123.62327124173</v>
      </c>
      <c r="I13" s="8">
        <f t="shared" si="3"/>
        <v>485322.02925678174</v>
      </c>
      <c r="J13" s="78">
        <f t="shared" ref="J13" si="4">J11+J12</f>
        <v>549029.49425411422</v>
      </c>
      <c r="K13" s="10"/>
      <c r="L13" s="98"/>
      <c r="M13" s="312"/>
      <c r="N13" s="16"/>
      <c r="O13" s="16"/>
      <c r="P13" s="16"/>
      <c r="Q13" s="16"/>
      <c r="R13" s="16"/>
      <c r="S13" s="97"/>
    </row>
    <row r="14" spans="2:19" x14ac:dyDescent="0.25">
      <c r="B14" s="69"/>
      <c r="C14" s="8"/>
      <c r="D14" s="9"/>
      <c r="E14" s="9"/>
      <c r="F14" s="9"/>
      <c r="G14" s="9"/>
      <c r="H14" s="9"/>
      <c r="I14" s="9"/>
      <c r="J14" s="75"/>
      <c r="K14" s="10"/>
      <c r="L14" s="98"/>
      <c r="M14" s="309"/>
      <c r="N14" s="16"/>
      <c r="O14" s="16"/>
      <c r="P14" s="16"/>
      <c r="Q14" s="16"/>
      <c r="R14" s="16"/>
      <c r="S14" s="97"/>
    </row>
    <row r="15" spans="2:19" x14ac:dyDescent="0.25">
      <c r="B15" s="69" t="s">
        <v>8</v>
      </c>
      <c r="C15" s="5"/>
      <c r="D15" s="6"/>
      <c r="E15" s="6"/>
      <c r="F15" s="6"/>
      <c r="G15" s="4"/>
      <c r="H15" s="4"/>
      <c r="I15" s="4"/>
      <c r="J15" s="70"/>
      <c r="K15" s="7"/>
      <c r="L15" s="96"/>
      <c r="M15" s="311"/>
      <c r="N15" s="16"/>
      <c r="O15" s="16"/>
      <c r="P15" s="16"/>
      <c r="Q15" s="16"/>
      <c r="R15" s="16"/>
      <c r="S15" s="97"/>
    </row>
    <row r="16" spans="2:19" hidden="1" x14ac:dyDescent="0.25">
      <c r="B16" s="73" t="s">
        <v>9</v>
      </c>
      <c r="C16" s="23">
        <v>255998</v>
      </c>
      <c r="D16" s="24">
        <v>152769</v>
      </c>
      <c r="E16" s="24">
        <v>164250</v>
      </c>
      <c r="F16" s="24">
        <v>198029</v>
      </c>
      <c r="G16" s="24">
        <v>265288</v>
      </c>
      <c r="H16" s="24"/>
      <c r="I16" s="24"/>
      <c r="J16" s="74"/>
      <c r="K16" s="13"/>
      <c r="L16" s="98"/>
      <c r="M16" s="309"/>
      <c r="N16" s="95"/>
      <c r="O16" s="95"/>
      <c r="P16" s="95"/>
      <c r="Q16" s="95"/>
      <c r="R16" s="95"/>
      <c r="S16" s="99"/>
    </row>
    <row r="17" spans="2:19" hidden="1" x14ac:dyDescent="0.25">
      <c r="B17" s="73" t="s">
        <v>10</v>
      </c>
      <c r="C17" s="23">
        <v>7134</v>
      </c>
      <c r="D17" s="24">
        <v>4241</v>
      </c>
      <c r="E17" s="24">
        <v>5161</v>
      </c>
      <c r="F17" s="24">
        <v>7268</v>
      </c>
      <c r="G17" s="24">
        <v>8289</v>
      </c>
      <c r="H17" s="24"/>
      <c r="I17" s="24"/>
      <c r="J17" s="74"/>
      <c r="K17" s="13"/>
      <c r="L17" s="98"/>
      <c r="M17" s="309"/>
      <c r="N17" s="16"/>
      <c r="O17" s="16"/>
      <c r="P17" s="16"/>
      <c r="Q17" s="16"/>
      <c r="R17" s="16"/>
      <c r="S17" s="97"/>
    </row>
    <row r="18" spans="2:19" ht="23" hidden="1" x14ac:dyDescent="0.25">
      <c r="B18" s="73" t="s">
        <v>11</v>
      </c>
      <c r="C18" s="23">
        <v>1943</v>
      </c>
      <c r="D18" s="24">
        <v>4171</v>
      </c>
      <c r="E18" s="24">
        <v>-4839</v>
      </c>
      <c r="F18" s="24">
        <v>-3232</v>
      </c>
      <c r="G18" s="24">
        <v>-3294</v>
      </c>
      <c r="H18" s="24"/>
      <c r="I18" s="24"/>
      <c r="J18" s="74"/>
      <c r="K18" s="13"/>
      <c r="L18" s="98"/>
      <c r="M18" s="309"/>
      <c r="N18" s="16"/>
      <c r="O18" s="16"/>
      <c r="P18" s="16"/>
      <c r="Q18" s="16"/>
      <c r="R18" s="16"/>
      <c r="S18" s="97"/>
    </row>
    <row r="19" spans="2:19" ht="34.5" x14ac:dyDescent="0.25">
      <c r="B19" s="76" t="s">
        <v>60</v>
      </c>
      <c r="C19" s="11">
        <f>SUM(C16:C18)</f>
        <v>265075</v>
      </c>
      <c r="D19" s="11">
        <f t="shared" ref="D19:G19" si="5">SUM(D16:D18)</f>
        <v>161181</v>
      </c>
      <c r="E19" s="11">
        <f t="shared" si="5"/>
        <v>164572</v>
      </c>
      <c r="F19" s="11">
        <f t="shared" si="5"/>
        <v>202065</v>
      </c>
      <c r="G19" s="11">
        <f t="shared" si="5"/>
        <v>270283</v>
      </c>
      <c r="H19" s="11">
        <f>($S$19)*H11</f>
        <v>302991.36257326108</v>
      </c>
      <c r="I19" s="11">
        <f>($S$19)*I11</f>
        <v>343476.14113106299</v>
      </c>
      <c r="J19" s="79">
        <f>($S$19)*J11</f>
        <v>389370.3718955362</v>
      </c>
      <c r="K19" s="13"/>
      <c r="L19" s="98" t="s">
        <v>67</v>
      </c>
      <c r="M19" s="312" t="s">
        <v>212</v>
      </c>
      <c r="N19" s="95">
        <f>C19/C11</f>
        <v>0.80551301219171256</v>
      </c>
      <c r="O19" s="95">
        <f t="shared" ref="O19:R19" si="6">D19/D11</f>
        <v>0.69129517323017009</v>
      </c>
      <c r="P19" s="95">
        <f t="shared" si="6"/>
        <v>0.67997934097717183</v>
      </c>
      <c r="Q19" s="95">
        <f t="shared" si="6"/>
        <v>0.6966749643155129</v>
      </c>
      <c r="R19" s="95">
        <f t="shared" si="6"/>
        <v>0.72848829844293683</v>
      </c>
      <c r="S19" s="99">
        <f>AVERAGE(N19:R19)</f>
        <v>0.72039015783150084</v>
      </c>
    </row>
    <row r="20" spans="2:19" ht="34.5" x14ac:dyDescent="0.25">
      <c r="B20" s="76" t="s">
        <v>12</v>
      </c>
      <c r="C20" s="11">
        <v>3686</v>
      </c>
      <c r="D20" s="12">
        <v>4260</v>
      </c>
      <c r="E20" s="12">
        <v>4434</v>
      </c>
      <c r="F20" s="12">
        <v>4740</v>
      </c>
      <c r="G20" s="12">
        <v>5834</v>
      </c>
      <c r="H20" s="12">
        <f>(1+$S$20)*G20</f>
        <v>6557.9750419685633</v>
      </c>
      <c r="I20" s="12">
        <f>(1+$S$20)*H20</f>
        <v>7371.7923639154233</v>
      </c>
      <c r="J20" s="77">
        <f>(1+$S$20)*I20</f>
        <v>8286.6010176777127</v>
      </c>
      <c r="K20" s="13"/>
      <c r="L20" s="98" t="s">
        <v>69</v>
      </c>
      <c r="M20" s="312" t="s">
        <v>213</v>
      </c>
      <c r="N20" s="16"/>
      <c r="O20" s="94">
        <f>(D20-C20)/C20</f>
        <v>0.15572436245252305</v>
      </c>
      <c r="P20" s="94">
        <f>(E20-D20)/D20</f>
        <v>4.0845070422535212E-2</v>
      </c>
      <c r="Q20" s="94">
        <f>(F20-E20)/E20</f>
        <v>6.9012178619756434E-2</v>
      </c>
      <c r="R20" s="94">
        <f>(G20-F20)/F20</f>
        <v>0.23080168776371307</v>
      </c>
      <c r="S20" s="99">
        <f>((R20)+(P20)+(Q20)+(O20))/4</f>
        <v>0.12409582481463194</v>
      </c>
    </row>
    <row r="21" spans="2:19" ht="23" x14ac:dyDescent="0.25">
      <c r="B21" s="76" t="s">
        <v>13</v>
      </c>
      <c r="C21" s="11">
        <v>2367</v>
      </c>
      <c r="D21" s="12">
        <v>2454</v>
      </c>
      <c r="E21" s="12">
        <v>2723</v>
      </c>
      <c r="F21" s="12">
        <v>4656</v>
      </c>
      <c r="G21" s="12">
        <v>9751</v>
      </c>
      <c r="H21" s="12">
        <f>$S$21</f>
        <v>9751</v>
      </c>
      <c r="I21" s="12">
        <f>$S$21</f>
        <v>9751</v>
      </c>
      <c r="J21" s="77">
        <f>$S$21</f>
        <v>9751</v>
      </c>
      <c r="K21" s="13"/>
      <c r="L21" s="98" t="s">
        <v>68</v>
      </c>
      <c r="M21" s="312" t="s">
        <v>214</v>
      </c>
      <c r="N21" s="16"/>
      <c r="O21" s="16"/>
      <c r="P21" s="16"/>
      <c r="Q21" s="16"/>
      <c r="R21" s="16"/>
      <c r="S21" s="101">
        <f>G21</f>
        <v>9751</v>
      </c>
    </row>
    <row r="22" spans="2:19" ht="57.5" x14ac:dyDescent="0.25">
      <c r="B22" s="76" t="s">
        <v>14</v>
      </c>
      <c r="C22" s="11">
        <v>8488</v>
      </c>
      <c r="D22" s="12">
        <v>9566</v>
      </c>
      <c r="E22" s="12">
        <v>8465</v>
      </c>
      <c r="F22" s="12">
        <v>9580</v>
      </c>
      <c r="G22" s="12">
        <v>10558</v>
      </c>
      <c r="H22" s="12">
        <f>PPE!O29</f>
        <v>10656.794093093389</v>
      </c>
      <c r="I22" s="12">
        <f>PPE!Q29</f>
        <v>9497.0392733194349</v>
      </c>
      <c r="J22" s="77">
        <f>PPE!S29</f>
        <v>8581.7069131802346</v>
      </c>
      <c r="K22" s="13"/>
      <c r="L22" s="98" t="s">
        <v>152</v>
      </c>
      <c r="M22" s="312" t="s">
        <v>215</v>
      </c>
      <c r="N22" s="16"/>
      <c r="O22" s="16"/>
      <c r="P22" s="16"/>
      <c r="Q22" s="16"/>
      <c r="R22" s="16"/>
      <c r="S22" s="101"/>
    </row>
    <row r="23" spans="2:19" ht="46" x14ac:dyDescent="0.25">
      <c r="B23" s="76" t="s">
        <v>61</v>
      </c>
      <c r="C23" s="11">
        <v>30286</v>
      </c>
      <c r="D23" s="11">
        <v>30085</v>
      </c>
      <c r="E23" s="11">
        <v>29763</v>
      </c>
      <c r="F23" s="11">
        <v>31496</v>
      </c>
      <c r="G23" s="11">
        <v>36645</v>
      </c>
      <c r="H23" s="11">
        <f>$S$23*H11</f>
        <v>48301.713014455127</v>
      </c>
      <c r="I23" s="11">
        <f>$S$23*I11</f>
        <v>54755.640079388846</v>
      </c>
      <c r="J23" s="79">
        <f>$S$23*J11</f>
        <v>62071.921126406363</v>
      </c>
      <c r="K23" s="13"/>
      <c r="L23" s="98" t="s">
        <v>70</v>
      </c>
      <c r="M23" s="312" t="s">
        <v>216</v>
      </c>
      <c r="N23" s="95">
        <f>C23/C11</f>
        <v>9.2033451239227418E-2</v>
      </c>
      <c r="O23" s="95">
        <f t="shared" ref="O23:R23" si="7">D23/D11</f>
        <v>0.12903267312294667</v>
      </c>
      <c r="P23" s="95">
        <f t="shared" si="7"/>
        <v>0.12297489928726371</v>
      </c>
      <c r="Q23" s="95">
        <f t="shared" si="7"/>
        <v>0.10859116955475413</v>
      </c>
      <c r="R23" s="95">
        <f t="shared" si="7"/>
        <v>9.876852667922667E-2</v>
      </c>
      <c r="S23" s="99">
        <f>((R23)+(P23)+(Q23)+(O23))/4</f>
        <v>0.1148418171610478</v>
      </c>
    </row>
    <row r="24" spans="2:19" ht="23" x14ac:dyDescent="0.25">
      <c r="B24" s="76" t="s">
        <v>15</v>
      </c>
      <c r="C24" s="11">
        <v>-1573</v>
      </c>
      <c r="D24" s="12">
        <v>-2507</v>
      </c>
      <c r="E24" s="14">
        <v>0</v>
      </c>
      <c r="F24" s="14">
        <v>0</v>
      </c>
      <c r="G24" s="14">
        <v>0</v>
      </c>
      <c r="H24" s="12">
        <f>$S$24</f>
        <v>0</v>
      </c>
      <c r="I24" s="12">
        <f>$S$24</f>
        <v>0</v>
      </c>
      <c r="J24" s="77">
        <f>$S$24</f>
        <v>0</v>
      </c>
      <c r="K24" s="15"/>
      <c r="L24" s="96"/>
      <c r="M24" s="311"/>
      <c r="N24" s="93"/>
      <c r="O24" s="16"/>
      <c r="P24" s="16"/>
      <c r="Q24" s="16"/>
      <c r="R24" s="16"/>
      <c r="S24" s="101"/>
    </row>
    <row r="25" spans="2:19" x14ac:dyDescent="0.25">
      <c r="B25" s="69" t="s">
        <v>16</v>
      </c>
      <c r="C25" s="8">
        <f>SUM(C19:C24)</f>
        <v>308329</v>
      </c>
      <c r="D25" s="8">
        <f t="shared" ref="D25:I25" si="8">SUM(D19:D24)</f>
        <v>205039</v>
      </c>
      <c r="E25" s="8">
        <f t="shared" si="8"/>
        <v>209957</v>
      </c>
      <c r="F25" s="8">
        <f t="shared" si="8"/>
        <v>252537</v>
      </c>
      <c r="G25" s="8">
        <f t="shared" si="8"/>
        <v>333071</v>
      </c>
      <c r="H25" s="8">
        <f t="shared" si="8"/>
        <v>378258.84472277813</v>
      </c>
      <c r="I25" s="8">
        <f t="shared" si="8"/>
        <v>424851.61284768669</v>
      </c>
      <c r="J25" s="78">
        <f t="shared" ref="J25" si="9">SUM(J19:J24)</f>
        <v>478061.60095280048</v>
      </c>
      <c r="K25" s="10"/>
      <c r="L25" s="98"/>
      <c r="M25" s="309"/>
      <c r="N25" s="16"/>
      <c r="O25" s="16"/>
      <c r="P25" s="16"/>
      <c r="Q25" s="16"/>
      <c r="R25" s="16"/>
      <c r="S25" s="97"/>
    </row>
    <row r="26" spans="2:19" ht="16" customHeight="1" x14ac:dyDescent="0.25">
      <c r="B26" s="69"/>
      <c r="C26" s="5"/>
      <c r="D26" s="4"/>
      <c r="E26" s="4"/>
      <c r="F26" s="4"/>
      <c r="G26" s="4"/>
      <c r="H26" s="4"/>
      <c r="I26" s="4"/>
      <c r="J26" s="70"/>
      <c r="K26" s="7"/>
      <c r="L26" s="96"/>
      <c r="M26" s="311"/>
      <c r="N26" s="16"/>
      <c r="O26" s="16"/>
      <c r="P26" s="16"/>
      <c r="Q26" s="16"/>
      <c r="R26" s="16"/>
      <c r="S26" s="97"/>
    </row>
    <row r="27" spans="2:19" ht="23" x14ac:dyDescent="0.25">
      <c r="B27" s="69" t="s">
        <v>17</v>
      </c>
      <c r="C27" s="8">
        <f>C13-C25</f>
        <v>29468</v>
      </c>
      <c r="D27" s="8">
        <f t="shared" ref="D27:G27" si="10">D13-D25</f>
        <v>35701</v>
      </c>
      <c r="E27" s="8">
        <f t="shared" si="10"/>
        <v>40777</v>
      </c>
      <c r="F27" s="8">
        <f t="shared" si="10"/>
        <v>45725</v>
      </c>
      <c r="G27" s="8">
        <f t="shared" si="10"/>
        <v>47367</v>
      </c>
      <c r="H27" s="8">
        <f t="shared" ref="H27:I27" si="11">H13-H25</f>
        <v>50864.778548463597</v>
      </c>
      <c r="I27" s="8">
        <f t="shared" si="11"/>
        <v>60470.416409095051</v>
      </c>
      <c r="J27" s="78">
        <f t="shared" ref="J27" si="12">J13-J25</f>
        <v>70967.893301313743</v>
      </c>
      <c r="K27" s="10"/>
      <c r="L27" s="98"/>
      <c r="M27" s="309"/>
      <c r="N27" s="16"/>
      <c r="O27" s="16"/>
      <c r="P27" s="16"/>
      <c r="Q27" s="16"/>
      <c r="R27" s="16"/>
      <c r="S27" s="97"/>
    </row>
    <row r="28" spans="2:19" x14ac:dyDescent="0.25">
      <c r="B28" s="76" t="s">
        <v>18</v>
      </c>
      <c r="C28" s="16"/>
      <c r="D28" s="14">
        <v>0</v>
      </c>
      <c r="E28" s="14">
        <v>0</v>
      </c>
      <c r="F28" s="14">
        <v>0</v>
      </c>
      <c r="G28" s="14">
        <v>0</v>
      </c>
      <c r="H28" s="14">
        <v>0</v>
      </c>
      <c r="I28" s="14">
        <v>0</v>
      </c>
      <c r="J28" s="80">
        <v>0</v>
      </c>
      <c r="K28" s="15"/>
      <c r="L28" s="96"/>
      <c r="M28" s="311"/>
      <c r="N28" s="16"/>
      <c r="O28" s="16"/>
      <c r="P28" s="16"/>
      <c r="Q28" s="16"/>
      <c r="R28" s="16"/>
      <c r="S28" s="97"/>
    </row>
    <row r="29" spans="2:19" x14ac:dyDescent="0.25">
      <c r="B29" s="69" t="s">
        <v>19</v>
      </c>
      <c r="C29" s="8">
        <f>C27+C28</f>
        <v>29468</v>
      </c>
      <c r="D29" s="8">
        <f t="shared" ref="D29:I29" si="13">D27+D28</f>
        <v>35701</v>
      </c>
      <c r="E29" s="8">
        <f t="shared" si="13"/>
        <v>40777</v>
      </c>
      <c r="F29" s="8">
        <f t="shared" si="13"/>
        <v>45725</v>
      </c>
      <c r="G29" s="8">
        <f t="shared" si="13"/>
        <v>47367</v>
      </c>
      <c r="H29" s="8">
        <f t="shared" si="13"/>
        <v>50864.778548463597</v>
      </c>
      <c r="I29" s="8">
        <f t="shared" si="13"/>
        <v>60470.416409095051</v>
      </c>
      <c r="J29" s="78">
        <f t="shared" ref="J29" si="14">J27+J28</f>
        <v>70967.893301313743</v>
      </c>
      <c r="K29" s="10"/>
      <c r="L29" s="98"/>
      <c r="M29" s="309"/>
      <c r="N29" s="16"/>
      <c r="O29" s="16"/>
      <c r="P29" s="16"/>
      <c r="Q29" s="16"/>
      <c r="R29" s="16"/>
      <c r="S29" s="97"/>
    </row>
    <row r="30" spans="2:19" ht="16" customHeight="1" x14ac:dyDescent="0.25">
      <c r="B30" s="69" t="s">
        <v>20</v>
      </c>
      <c r="C30" s="5"/>
      <c r="D30" s="6"/>
      <c r="E30" s="6"/>
      <c r="F30" s="6"/>
      <c r="G30" s="4"/>
      <c r="H30" s="4"/>
      <c r="I30" s="4"/>
      <c r="J30" s="70"/>
      <c r="K30" s="7"/>
      <c r="L30" s="96"/>
      <c r="M30" s="311"/>
      <c r="N30" s="16"/>
      <c r="O30" s="16"/>
      <c r="P30" s="16"/>
      <c r="Q30" s="16"/>
      <c r="R30" s="16"/>
      <c r="S30" s="97"/>
    </row>
    <row r="31" spans="2:19" hidden="1" x14ac:dyDescent="0.25">
      <c r="B31" s="73" t="s">
        <v>21</v>
      </c>
      <c r="C31" s="23">
        <v>6124</v>
      </c>
      <c r="D31" s="24">
        <v>7802</v>
      </c>
      <c r="E31" s="24">
        <v>8333</v>
      </c>
      <c r="F31" s="24">
        <v>8953</v>
      </c>
      <c r="G31" s="24">
        <v>9440</v>
      </c>
      <c r="H31" s="24"/>
      <c r="I31" s="24"/>
      <c r="J31" s="74"/>
      <c r="K31" s="13"/>
      <c r="L31" s="98"/>
      <c r="M31" s="309"/>
      <c r="N31" s="16"/>
      <c r="O31" s="16"/>
      <c r="P31" s="16"/>
      <c r="Q31" s="16"/>
      <c r="R31" s="16"/>
      <c r="S31" s="97"/>
    </row>
    <row r="32" spans="2:19" hidden="1" x14ac:dyDescent="0.25">
      <c r="B32" s="73" t="s">
        <v>22</v>
      </c>
      <c r="C32" s="26">
        <v>625</v>
      </c>
      <c r="D32" s="25">
        <v>482</v>
      </c>
      <c r="E32" s="24">
        <v>1019</v>
      </c>
      <c r="F32" s="24">
        <v>3160</v>
      </c>
      <c r="G32" s="24">
        <v>2764</v>
      </c>
      <c r="H32" s="24"/>
      <c r="I32" s="24"/>
      <c r="J32" s="74"/>
      <c r="K32" s="13"/>
      <c r="L32" s="98"/>
      <c r="M32" s="309"/>
      <c r="N32" s="16"/>
      <c r="O32" s="16"/>
      <c r="P32" s="16"/>
      <c r="Q32" s="16"/>
      <c r="R32" s="16"/>
      <c r="S32" s="97"/>
    </row>
    <row r="33" spans="2:19" ht="23.5" thickBot="1" x14ac:dyDescent="0.3">
      <c r="B33" s="69" t="s">
        <v>23</v>
      </c>
      <c r="C33" s="8">
        <f>SUM(C31:C32)</f>
        <v>6749</v>
      </c>
      <c r="D33" s="8">
        <f t="shared" ref="D33:G33" si="15">SUM(D31:D32)</f>
        <v>8284</v>
      </c>
      <c r="E33" s="8">
        <f t="shared" si="15"/>
        <v>9352</v>
      </c>
      <c r="F33" s="8">
        <f t="shared" si="15"/>
        <v>12113</v>
      </c>
      <c r="G33" s="8">
        <f t="shared" si="15"/>
        <v>12204</v>
      </c>
      <c r="H33" s="8">
        <f>$S$33*H29</f>
        <v>12339.478964212843</v>
      </c>
      <c r="I33" s="8">
        <f>$S$33*I29</f>
        <v>14669.746974839787</v>
      </c>
      <c r="J33" s="78">
        <f>$S$33*J29</f>
        <v>17216.369588470639</v>
      </c>
      <c r="K33" s="10"/>
      <c r="L33" s="102" t="s">
        <v>71</v>
      </c>
      <c r="M33" s="313" t="s">
        <v>217</v>
      </c>
      <c r="N33" s="103">
        <f>C33/C29</f>
        <v>0.2290280982760961</v>
      </c>
      <c r="O33" s="103">
        <f t="shared" ref="O33:R33" si="16">D33/D29</f>
        <v>0.23203831825439064</v>
      </c>
      <c r="P33" s="103">
        <f t="shared" si="16"/>
        <v>0.22934497388233563</v>
      </c>
      <c r="Q33" s="103">
        <f t="shared" si="16"/>
        <v>0.26490978676872606</v>
      </c>
      <c r="R33" s="103">
        <f t="shared" si="16"/>
        <v>0.25764772943188297</v>
      </c>
      <c r="S33" s="104">
        <f>AVERAGE(N33:R33)</f>
        <v>0.2425937813226863</v>
      </c>
    </row>
    <row r="34" spans="2:19" ht="12" thickBot="1" x14ac:dyDescent="0.3">
      <c r="B34" s="81" t="s">
        <v>24</v>
      </c>
      <c r="C34" s="82">
        <f>C29-C33</f>
        <v>22719</v>
      </c>
      <c r="D34" s="82">
        <f t="shared" ref="D34:I34" si="17">D29-D33</f>
        <v>27417</v>
      </c>
      <c r="E34" s="82">
        <f t="shared" si="17"/>
        <v>31425</v>
      </c>
      <c r="F34" s="82">
        <f t="shared" si="17"/>
        <v>33612</v>
      </c>
      <c r="G34" s="82">
        <f t="shared" si="17"/>
        <v>35163</v>
      </c>
      <c r="H34" s="82">
        <f t="shared" si="17"/>
        <v>38525.299584250752</v>
      </c>
      <c r="I34" s="82">
        <f t="shared" si="17"/>
        <v>45800.669434255266</v>
      </c>
      <c r="J34" s="83">
        <f t="shared" ref="J34" si="18">J29-J33</f>
        <v>53751.523712843104</v>
      </c>
      <c r="K34" s="10"/>
      <c r="L34" s="58"/>
      <c r="M34" s="58"/>
    </row>
    <row r="35" spans="2:19" x14ac:dyDescent="0.25"/>
    <row r="36" spans="2:19" x14ac:dyDescent="0.25"/>
  </sheetData>
  <mergeCells count="2">
    <mergeCell ref="B2:J2"/>
    <mergeCell ref="B4:J4"/>
  </mergeCells>
  <phoneticPr fontId="2" type="noConversion"/>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5FE8B-4EC4-4D61-9AE6-DDCAFD2B1F86}">
  <dimension ref="A1:Y52"/>
  <sheetViews>
    <sheetView showGridLines="0" topLeftCell="C25" workbookViewId="0">
      <selection activeCell="L6" sqref="L6:L34"/>
    </sheetView>
  </sheetViews>
  <sheetFormatPr defaultColWidth="0" defaultRowHeight="11.5" zeroHeight="1" x14ac:dyDescent="0.25"/>
  <cols>
    <col min="1" max="1" width="3.1796875" style="2" customWidth="1"/>
    <col min="2" max="2" width="27.54296875" style="2" customWidth="1"/>
    <col min="3" max="7" width="12" style="2" bestFit="1" customWidth="1"/>
    <col min="8" max="10" width="12" style="36" bestFit="1" customWidth="1"/>
    <col min="11" max="11" width="12" style="36" customWidth="1"/>
    <col min="12" max="12" width="21.54296875" style="54" bestFit="1" customWidth="1"/>
    <col min="13" max="13" width="24" style="54" customWidth="1"/>
    <col min="14" max="14" width="12" style="2" bestFit="1" customWidth="1"/>
    <col min="15" max="15" width="13.6328125" style="2" bestFit="1" customWidth="1"/>
    <col min="16" max="18" width="12" style="2" bestFit="1" customWidth="1"/>
    <col min="19" max="20" width="8.7265625" style="2" customWidth="1"/>
    <col min="21" max="25" width="0" style="2" hidden="1" customWidth="1"/>
    <col min="26" max="16384" width="8.7265625" style="2" hidden="1"/>
  </cols>
  <sheetData>
    <row r="1" spans="1:24" x14ac:dyDescent="0.25"/>
    <row r="2" spans="1:24" ht="25" x14ac:dyDescent="0.25">
      <c r="B2" s="317" t="s">
        <v>0</v>
      </c>
      <c r="C2" s="317"/>
      <c r="D2" s="317"/>
      <c r="E2" s="317"/>
      <c r="F2" s="317"/>
      <c r="G2" s="317"/>
      <c r="H2" s="317"/>
      <c r="I2" s="317"/>
      <c r="J2" s="317"/>
      <c r="K2" s="287"/>
    </row>
    <row r="3" spans="1:24" x14ac:dyDescent="0.25">
      <c r="B3" s="27"/>
      <c r="C3" s="28"/>
    </row>
    <row r="4" spans="1:24" ht="15.5" customHeight="1" x14ac:dyDescent="0.25">
      <c r="A4" s="30"/>
      <c r="B4" s="320" t="s">
        <v>25</v>
      </c>
      <c r="C4" s="321"/>
      <c r="D4" s="321"/>
      <c r="E4" s="321"/>
      <c r="F4" s="321"/>
      <c r="G4" s="321"/>
      <c r="H4" s="321"/>
      <c r="I4" s="321"/>
      <c r="J4" s="321"/>
      <c r="K4" s="288"/>
      <c r="N4" s="30"/>
      <c r="O4" s="30"/>
      <c r="P4" s="30"/>
      <c r="Q4" s="30"/>
      <c r="R4" s="30"/>
      <c r="S4" s="30"/>
      <c r="T4" s="30"/>
      <c r="U4" s="30"/>
      <c r="V4" s="30"/>
      <c r="W4" s="30"/>
      <c r="X4" s="30"/>
    </row>
    <row r="5" spans="1:24" ht="12" thickBot="1" x14ac:dyDescent="0.3">
      <c r="B5" s="1"/>
      <c r="C5" s="20"/>
    </row>
    <row r="6" spans="1:24" ht="12" thickBot="1" x14ac:dyDescent="0.3">
      <c r="B6" s="118"/>
      <c r="C6" s="119">
        <v>42094</v>
      </c>
      <c r="D6" s="119">
        <v>42460</v>
      </c>
      <c r="E6" s="119">
        <v>42825</v>
      </c>
      <c r="F6" s="119">
        <v>43190</v>
      </c>
      <c r="G6" s="119">
        <v>43555</v>
      </c>
      <c r="H6" s="119">
        <v>43921</v>
      </c>
      <c r="I6" s="119">
        <v>44286</v>
      </c>
      <c r="J6" s="120">
        <v>44651</v>
      </c>
      <c r="K6" s="290"/>
      <c r="L6" s="132" t="s">
        <v>186</v>
      </c>
      <c r="M6" s="296" t="s">
        <v>206</v>
      </c>
      <c r="N6" s="133">
        <v>42094</v>
      </c>
      <c r="O6" s="133">
        <v>42460</v>
      </c>
      <c r="P6" s="133">
        <v>42825</v>
      </c>
      <c r="Q6" s="133">
        <v>43190</v>
      </c>
      <c r="R6" s="133">
        <v>43555</v>
      </c>
      <c r="S6" s="134" t="s">
        <v>66</v>
      </c>
    </row>
    <row r="7" spans="1:24" x14ac:dyDescent="0.25">
      <c r="B7" s="106"/>
      <c r="C7" s="116"/>
      <c r="D7" s="116"/>
      <c r="E7" s="116"/>
      <c r="F7" s="116"/>
      <c r="G7" s="116"/>
      <c r="H7" s="135" t="s">
        <v>72</v>
      </c>
      <c r="I7" s="135" t="s">
        <v>72</v>
      </c>
      <c r="J7" s="136" t="s">
        <v>72</v>
      </c>
      <c r="K7" s="291"/>
      <c r="L7" s="131"/>
      <c r="M7" s="297"/>
      <c r="N7" s="122"/>
      <c r="O7" s="122"/>
      <c r="P7" s="122"/>
      <c r="Q7" s="122"/>
      <c r="R7" s="122"/>
      <c r="S7" s="123"/>
    </row>
    <row r="8" spans="1:24" ht="14.5" customHeight="1" x14ac:dyDescent="0.25">
      <c r="B8" s="106" t="s">
        <v>26</v>
      </c>
      <c r="C8" s="5"/>
      <c r="D8" s="29"/>
      <c r="E8" s="29"/>
      <c r="F8" s="29"/>
      <c r="G8" s="29"/>
      <c r="H8" s="35"/>
      <c r="I8" s="35"/>
      <c r="J8" s="107"/>
      <c r="K8" s="64"/>
      <c r="L8" s="127"/>
      <c r="M8" s="298"/>
      <c r="N8" s="16"/>
      <c r="O8" s="16"/>
      <c r="P8" s="16"/>
      <c r="Q8" s="16"/>
      <c r="R8" s="16"/>
      <c r="S8" s="97"/>
    </row>
    <row r="9" spans="1:24" ht="14.5" customHeight="1" x14ac:dyDescent="0.25">
      <c r="B9" s="106" t="s">
        <v>27</v>
      </c>
      <c r="C9" s="5"/>
      <c r="D9" s="29"/>
      <c r="E9" s="29"/>
      <c r="F9" s="29"/>
      <c r="G9" s="29"/>
      <c r="H9" s="35"/>
      <c r="I9" s="35"/>
      <c r="J9" s="107"/>
      <c r="K9" s="64"/>
      <c r="L9" s="127"/>
      <c r="M9" s="298"/>
      <c r="N9" s="16"/>
      <c r="O9" s="16"/>
      <c r="P9" s="16"/>
      <c r="Q9" s="16"/>
      <c r="R9" s="16"/>
      <c r="S9" s="97"/>
    </row>
    <row r="10" spans="1:24" s="301" customFormat="1" ht="23" x14ac:dyDescent="0.35">
      <c r="B10" s="108" t="s">
        <v>28</v>
      </c>
      <c r="C10" s="11">
        <v>3236</v>
      </c>
      <c r="D10" s="11">
        <v>3240</v>
      </c>
      <c r="E10" s="11">
        <v>3251</v>
      </c>
      <c r="F10" s="11">
        <v>6335</v>
      </c>
      <c r="G10" s="11">
        <v>6339</v>
      </c>
      <c r="H10" s="302">
        <f>G10</f>
        <v>6339</v>
      </c>
      <c r="I10" s="302">
        <f>H10</f>
        <v>6339</v>
      </c>
      <c r="J10" s="303">
        <f>I10</f>
        <v>6339</v>
      </c>
      <c r="K10" s="163"/>
      <c r="L10" s="106" t="s">
        <v>68</v>
      </c>
      <c r="M10" s="304" t="s">
        <v>218</v>
      </c>
      <c r="N10" s="305"/>
      <c r="O10" s="305"/>
      <c r="P10" s="305"/>
      <c r="Q10" s="305"/>
      <c r="R10" s="305"/>
      <c r="S10" s="306"/>
    </row>
    <row r="11" spans="1:24" ht="34.5" x14ac:dyDescent="0.25">
      <c r="B11" s="108" t="s">
        <v>29</v>
      </c>
      <c r="C11" s="11">
        <v>212923</v>
      </c>
      <c r="D11" s="11">
        <v>236936</v>
      </c>
      <c r="E11" s="11">
        <v>285058</v>
      </c>
      <c r="F11" s="11">
        <v>308297</v>
      </c>
      <c r="G11" s="11">
        <v>398983</v>
      </c>
      <c r="H11" s="35">
        <f>G11+'P&amp;L'!H34</f>
        <v>437508.29958425078</v>
      </c>
      <c r="I11" s="35">
        <f>H11+'P&amp;L'!I34</f>
        <v>483308.96901850606</v>
      </c>
      <c r="J11" s="107">
        <f>I11+'P&amp;L'!J34</f>
        <v>537060.49273134919</v>
      </c>
      <c r="K11" s="64"/>
      <c r="L11" s="128" t="s">
        <v>169</v>
      </c>
      <c r="M11" s="299" t="s">
        <v>207</v>
      </c>
      <c r="N11" s="16"/>
      <c r="O11" s="16"/>
      <c r="P11" s="16"/>
      <c r="Q11" s="16"/>
      <c r="R11" s="16"/>
      <c r="S11" s="97"/>
    </row>
    <row r="12" spans="1:24" x14ac:dyDescent="0.25">
      <c r="B12" s="106" t="s">
        <v>30</v>
      </c>
      <c r="C12" s="8">
        <f>C10+C11</f>
        <v>216159</v>
      </c>
      <c r="D12" s="8">
        <f>D10+D11</f>
        <v>240176</v>
      </c>
      <c r="E12" s="8">
        <f>E10+E11</f>
        <v>288309</v>
      </c>
      <c r="F12" s="8">
        <f>F10+F11</f>
        <v>314632</v>
      </c>
      <c r="G12" s="8">
        <f>G10+G11</f>
        <v>405322</v>
      </c>
      <c r="H12" s="37">
        <f t="shared" ref="H12:I12" si="0">H10+H11</f>
        <v>443847.29958425078</v>
      </c>
      <c r="I12" s="37">
        <f t="shared" si="0"/>
        <v>489647.96901850606</v>
      </c>
      <c r="J12" s="109">
        <f t="shared" ref="J12" si="1">J10+J11</f>
        <v>543399.49273134919</v>
      </c>
      <c r="K12" s="292"/>
      <c r="L12" s="127"/>
      <c r="M12" s="298"/>
      <c r="N12" s="16"/>
      <c r="O12" s="16"/>
      <c r="P12" s="16"/>
      <c r="Q12" s="16"/>
      <c r="R12" s="16"/>
      <c r="S12" s="97"/>
    </row>
    <row r="13" spans="1:24" x14ac:dyDescent="0.25">
      <c r="B13" s="108" t="s">
        <v>31</v>
      </c>
      <c r="C13" s="17">
        <v>17</v>
      </c>
      <c r="D13" s="17">
        <v>8</v>
      </c>
      <c r="E13" s="17">
        <v>4</v>
      </c>
      <c r="F13" s="17">
        <v>15</v>
      </c>
      <c r="G13" s="17">
        <v>0</v>
      </c>
      <c r="H13" s="35">
        <v>0</v>
      </c>
      <c r="I13" s="35">
        <f>H13</f>
        <v>0</v>
      </c>
      <c r="J13" s="107">
        <f>I13</f>
        <v>0</v>
      </c>
      <c r="K13" s="64"/>
      <c r="L13" s="127"/>
      <c r="M13" s="298"/>
      <c r="N13" s="16"/>
      <c r="O13" s="16"/>
      <c r="P13" s="16"/>
      <c r="Q13" s="16"/>
      <c r="R13" s="16"/>
      <c r="S13" s="97"/>
    </row>
    <row r="14" spans="1:24" x14ac:dyDescent="0.25">
      <c r="B14" s="106" t="s">
        <v>32</v>
      </c>
      <c r="C14" s="5"/>
      <c r="D14" s="29"/>
      <c r="E14" s="29"/>
      <c r="F14" s="29"/>
      <c r="G14" s="29"/>
      <c r="H14" s="35"/>
      <c r="I14" s="35"/>
      <c r="J14" s="107"/>
      <c r="K14" s="64"/>
      <c r="L14" s="127"/>
      <c r="M14" s="298"/>
      <c r="N14" s="16"/>
      <c r="O14" s="16"/>
      <c r="P14" s="16"/>
      <c r="Q14" s="16"/>
      <c r="R14" s="16"/>
      <c r="S14" s="97"/>
    </row>
    <row r="15" spans="1:24" s="301" customFormat="1" ht="57.5" x14ac:dyDescent="0.35">
      <c r="B15" s="108" t="s">
        <v>33</v>
      </c>
      <c r="C15" s="11">
        <v>76227</v>
      </c>
      <c r="D15" s="11">
        <v>77866</v>
      </c>
      <c r="E15" s="11">
        <v>78723</v>
      </c>
      <c r="F15" s="11">
        <v>81596</v>
      </c>
      <c r="G15" s="11">
        <v>118098</v>
      </c>
      <c r="H15" s="302">
        <f>Borrowings!E16</f>
        <v>97521.099642242858</v>
      </c>
      <c r="I15" s="302">
        <f>Borrowings!C16</f>
        <v>80444.199284485716</v>
      </c>
      <c r="J15" s="303">
        <f>Borrowings!D16</f>
        <v>17076.900357757138</v>
      </c>
      <c r="K15" s="163"/>
      <c r="L15" s="106" t="s">
        <v>178</v>
      </c>
      <c r="M15" s="304" t="s">
        <v>219</v>
      </c>
      <c r="N15" s="305"/>
      <c r="O15" s="305"/>
      <c r="P15" s="305"/>
      <c r="Q15" s="305"/>
      <c r="R15" s="305"/>
      <c r="S15" s="306"/>
    </row>
    <row r="16" spans="1:24" ht="19" customHeight="1" x14ac:dyDescent="0.25">
      <c r="B16" s="108" t="s">
        <v>34</v>
      </c>
      <c r="C16" s="11">
        <v>12677</v>
      </c>
      <c r="D16" s="11">
        <v>13159</v>
      </c>
      <c r="E16" s="11">
        <v>24766</v>
      </c>
      <c r="F16" s="11">
        <v>27926</v>
      </c>
      <c r="G16" s="11">
        <v>47317</v>
      </c>
      <c r="H16" s="35">
        <f t="shared" ref="H16:I18" si="2">G16</f>
        <v>47317</v>
      </c>
      <c r="I16" s="35">
        <f t="shared" si="2"/>
        <v>47317</v>
      </c>
      <c r="J16" s="107">
        <f t="shared" ref="J16" si="3">I16</f>
        <v>47317</v>
      </c>
      <c r="K16" s="64"/>
      <c r="L16" s="127" t="s">
        <v>68</v>
      </c>
      <c r="M16" s="322" t="s">
        <v>222</v>
      </c>
      <c r="N16" s="16"/>
      <c r="O16" s="16"/>
      <c r="P16" s="16"/>
      <c r="Q16" s="16"/>
      <c r="R16" s="16"/>
      <c r="S16" s="97"/>
    </row>
    <row r="17" spans="2:19" ht="19" customHeight="1" x14ac:dyDescent="0.25">
      <c r="B17" s="108" t="s">
        <v>35</v>
      </c>
      <c r="C17" s="16">
        <v>0</v>
      </c>
      <c r="D17" s="17">
        <v>0</v>
      </c>
      <c r="E17" s="17">
        <v>0</v>
      </c>
      <c r="F17" s="17">
        <v>504</v>
      </c>
      <c r="G17" s="17">
        <v>504</v>
      </c>
      <c r="H17" s="35">
        <f t="shared" si="2"/>
        <v>504</v>
      </c>
      <c r="I17" s="35">
        <f t="shared" si="2"/>
        <v>504</v>
      </c>
      <c r="J17" s="107">
        <f t="shared" ref="J17" si="4">I17</f>
        <v>504</v>
      </c>
      <c r="K17" s="64"/>
      <c r="L17" s="127" t="s">
        <v>68</v>
      </c>
      <c r="M17" s="323"/>
      <c r="N17" s="16"/>
      <c r="O17" s="16"/>
      <c r="P17" s="16"/>
      <c r="Q17" s="16"/>
      <c r="R17" s="16"/>
      <c r="S17" s="97"/>
    </row>
    <row r="18" spans="2:19" ht="19" customHeight="1" x14ac:dyDescent="0.25">
      <c r="B18" s="108" t="s">
        <v>36</v>
      </c>
      <c r="C18" s="11">
        <v>1404</v>
      </c>
      <c r="D18" s="11">
        <v>1489</v>
      </c>
      <c r="E18" s="11">
        <v>2118</v>
      </c>
      <c r="F18" s="11">
        <v>2205</v>
      </c>
      <c r="G18" s="11">
        <v>2483</v>
      </c>
      <c r="H18" s="35">
        <f t="shared" si="2"/>
        <v>2483</v>
      </c>
      <c r="I18" s="35">
        <f t="shared" si="2"/>
        <v>2483</v>
      </c>
      <c r="J18" s="107">
        <f t="shared" ref="J18" si="5">I18</f>
        <v>2483</v>
      </c>
      <c r="K18" s="64"/>
      <c r="L18" s="127" t="s">
        <v>68</v>
      </c>
      <c r="M18" s="324"/>
      <c r="N18" s="16"/>
      <c r="O18" s="16"/>
      <c r="P18" s="16"/>
      <c r="Q18" s="16"/>
      <c r="R18" s="16"/>
      <c r="S18" s="97"/>
    </row>
    <row r="19" spans="2:19" x14ac:dyDescent="0.25">
      <c r="B19" s="106" t="s">
        <v>37</v>
      </c>
      <c r="C19" s="8">
        <f>SUM(C15:C18)</f>
        <v>90308</v>
      </c>
      <c r="D19" s="8">
        <f t="shared" ref="D19:I19" si="6">SUM(D15:D18)</f>
        <v>92514</v>
      </c>
      <c r="E19" s="8">
        <f t="shared" si="6"/>
        <v>105607</v>
      </c>
      <c r="F19" s="8">
        <f t="shared" si="6"/>
        <v>112231</v>
      </c>
      <c r="G19" s="8">
        <f t="shared" si="6"/>
        <v>168402</v>
      </c>
      <c r="H19" s="37">
        <f t="shared" si="6"/>
        <v>147825.09964224286</v>
      </c>
      <c r="I19" s="37">
        <f t="shared" si="6"/>
        <v>130748.19928448572</v>
      </c>
      <c r="J19" s="109">
        <f t="shared" ref="J19" si="7">SUM(J15:J18)</f>
        <v>67380.900357757142</v>
      </c>
      <c r="K19" s="292"/>
      <c r="L19" s="127"/>
      <c r="M19" s="298"/>
      <c r="N19" s="16"/>
      <c r="O19" s="16"/>
      <c r="P19" s="16"/>
      <c r="Q19" s="16"/>
      <c r="R19" s="16"/>
      <c r="S19" s="97"/>
    </row>
    <row r="20" spans="2:19" ht="23" x14ac:dyDescent="0.25">
      <c r="B20" s="106" t="s">
        <v>38</v>
      </c>
      <c r="C20" s="8">
        <v>91301</v>
      </c>
      <c r="D20" s="8">
        <v>125022</v>
      </c>
      <c r="E20" s="8">
        <v>152826</v>
      </c>
      <c r="F20" s="8">
        <v>190647</v>
      </c>
      <c r="G20" s="8">
        <v>202021</v>
      </c>
      <c r="H20" s="38">
        <f>$S$20*'P&amp;L'!H11</f>
        <v>222655.14038639463</v>
      </c>
      <c r="I20" s="38">
        <f>$S$20*'P&amp;L'!I11</f>
        <v>252405.63880570166</v>
      </c>
      <c r="J20" s="110">
        <f>$S$20*'P&amp;L'!J11</f>
        <v>286131.30777198647</v>
      </c>
      <c r="K20" s="293"/>
      <c r="L20" s="129" t="s">
        <v>116</v>
      </c>
      <c r="M20" s="300" t="s">
        <v>208</v>
      </c>
      <c r="N20" s="95">
        <f>C20/'P&amp;L'!C11</f>
        <v>0.27744654730214297</v>
      </c>
      <c r="O20" s="95">
        <f>D20/'P&amp;L'!D11</f>
        <v>0.53621149606704466</v>
      </c>
      <c r="P20" s="95">
        <f>E20/'P&amp;L'!E11</f>
        <v>0.63144716454911687</v>
      </c>
      <c r="Q20" s="95">
        <f>F20/'P&amp;L'!F11</f>
        <v>0.6573082519083443</v>
      </c>
      <c r="R20" s="95">
        <f>G20/'P&amp;L'!G11</f>
        <v>0.54450311170047894</v>
      </c>
      <c r="S20" s="99">
        <f>AVERAGE(N20:R20)</f>
        <v>0.52938331430542551</v>
      </c>
    </row>
    <row r="21" spans="2:19" x14ac:dyDescent="0.25">
      <c r="B21" s="106" t="s">
        <v>39</v>
      </c>
      <c r="C21" s="8">
        <f>C19+C20+C12+C13</f>
        <v>397785</v>
      </c>
      <c r="D21" s="8">
        <f t="shared" ref="D21:J21" si="8">D19+D20+D12+D13</f>
        <v>457720</v>
      </c>
      <c r="E21" s="8">
        <f t="shared" si="8"/>
        <v>546746</v>
      </c>
      <c r="F21" s="8">
        <f t="shared" si="8"/>
        <v>617525</v>
      </c>
      <c r="G21" s="8">
        <f t="shared" si="8"/>
        <v>775745</v>
      </c>
      <c r="H21" s="8">
        <f t="shared" si="8"/>
        <v>814327.53961288824</v>
      </c>
      <c r="I21" s="8">
        <f t="shared" si="8"/>
        <v>872801.80710869352</v>
      </c>
      <c r="J21" s="78">
        <f t="shared" si="8"/>
        <v>896911.70086109277</v>
      </c>
      <c r="K21" s="294"/>
      <c r="L21" s="127"/>
      <c r="M21" s="298"/>
      <c r="N21" s="93"/>
      <c r="O21" s="16"/>
      <c r="P21" s="16"/>
      <c r="Q21" s="16"/>
      <c r="R21" s="16"/>
      <c r="S21" s="97"/>
    </row>
    <row r="22" spans="2:19" x14ac:dyDescent="0.25">
      <c r="B22" s="106" t="s">
        <v>40</v>
      </c>
      <c r="C22" s="5"/>
      <c r="D22" s="29"/>
      <c r="E22" s="29"/>
      <c r="F22" s="29"/>
      <c r="G22" s="29"/>
      <c r="H22" s="35"/>
      <c r="I22" s="35"/>
      <c r="J22" s="107"/>
      <c r="K22" s="64"/>
      <c r="L22" s="127"/>
      <c r="M22" s="298"/>
      <c r="N22" s="16"/>
      <c r="O22" s="16"/>
      <c r="P22" s="16"/>
      <c r="Q22" s="16"/>
      <c r="R22" s="16"/>
      <c r="S22" s="97"/>
    </row>
    <row r="23" spans="2:19" ht="14.5" customHeight="1" x14ac:dyDescent="0.25">
      <c r="B23" s="106" t="s">
        <v>41</v>
      </c>
      <c r="C23" s="5"/>
      <c r="D23" s="29"/>
      <c r="E23" s="29"/>
      <c r="F23" s="29"/>
      <c r="G23" s="29"/>
      <c r="H23" s="35"/>
      <c r="I23" s="35"/>
      <c r="J23" s="107"/>
      <c r="K23" s="64"/>
      <c r="L23" s="127"/>
      <c r="M23" s="298"/>
      <c r="N23" s="16"/>
      <c r="O23" s="16"/>
      <c r="P23" s="16"/>
      <c r="Q23" s="16"/>
      <c r="R23" s="16"/>
      <c r="S23" s="97"/>
    </row>
    <row r="24" spans="2:19" ht="41" customHeight="1" x14ac:dyDescent="0.25">
      <c r="B24" s="108" t="s">
        <v>42</v>
      </c>
      <c r="C24" s="11">
        <v>79778</v>
      </c>
      <c r="D24" s="11">
        <v>91477</v>
      </c>
      <c r="E24" s="11">
        <v>145486</v>
      </c>
      <c r="F24" s="11">
        <v>191879</v>
      </c>
      <c r="G24" s="11">
        <v>194895</v>
      </c>
      <c r="H24" s="35">
        <f>PPE!P22</f>
        <v>185597.21907831405</v>
      </c>
      <c r="I24" s="35">
        <f>PPE!R22</f>
        <v>177211.09813095283</v>
      </c>
      <c r="J24" s="107">
        <f>PPE!T22</f>
        <v>169546.9851888406</v>
      </c>
      <c r="K24" s="64"/>
      <c r="L24" s="127" t="s">
        <v>151</v>
      </c>
      <c r="M24" s="325" t="s">
        <v>215</v>
      </c>
      <c r="N24" s="126"/>
      <c r="O24" s="126"/>
      <c r="P24" s="126"/>
      <c r="Q24" s="16"/>
      <c r="R24" s="16"/>
      <c r="S24" s="97"/>
    </row>
    <row r="25" spans="2:19" ht="41" customHeight="1" x14ac:dyDescent="0.25">
      <c r="B25" s="108" t="s">
        <v>43</v>
      </c>
      <c r="C25" s="11">
        <v>34785</v>
      </c>
      <c r="D25" s="11">
        <v>39933</v>
      </c>
      <c r="E25" s="11">
        <v>9092</v>
      </c>
      <c r="F25" s="11">
        <v>9085</v>
      </c>
      <c r="G25" s="11">
        <v>8293</v>
      </c>
      <c r="H25" s="35">
        <f>PPE!P28</f>
        <v>6933.9868285925459</v>
      </c>
      <c r="I25" s="35">
        <f>PPE!R28</f>
        <v>5823.0685026343617</v>
      </c>
      <c r="J25" s="107">
        <f>PPE!T28</f>
        <v>4905.4745315663467</v>
      </c>
      <c r="K25" s="64"/>
      <c r="L25" s="127" t="s">
        <v>151</v>
      </c>
      <c r="M25" s="326"/>
      <c r="N25" s="16"/>
      <c r="O25" s="16"/>
      <c r="P25" s="16"/>
      <c r="Q25" s="16"/>
      <c r="R25" s="16"/>
      <c r="S25" s="97"/>
    </row>
    <row r="26" spans="2:19" x14ac:dyDescent="0.25">
      <c r="B26" s="108" t="s">
        <v>44</v>
      </c>
      <c r="C26" s="11">
        <v>65178</v>
      </c>
      <c r="D26" s="11">
        <v>97296</v>
      </c>
      <c r="E26" s="11">
        <v>128283</v>
      </c>
      <c r="F26" s="11">
        <v>92581</v>
      </c>
      <c r="G26" s="11">
        <v>105155</v>
      </c>
      <c r="H26" s="35">
        <f>$G$26</f>
        <v>105155</v>
      </c>
      <c r="I26" s="35">
        <f t="shared" ref="I26:J26" si="9">$G$26</f>
        <v>105155</v>
      </c>
      <c r="J26" s="107">
        <f t="shared" si="9"/>
        <v>105155</v>
      </c>
      <c r="K26" s="64"/>
      <c r="L26" s="127" t="s">
        <v>68</v>
      </c>
      <c r="M26" s="327"/>
      <c r="N26" s="16"/>
      <c r="O26" s="16"/>
      <c r="P26" s="16"/>
      <c r="Q26" s="16"/>
      <c r="R26" s="16"/>
      <c r="S26" s="97"/>
    </row>
    <row r="27" spans="2:19" x14ac:dyDescent="0.25">
      <c r="B27" s="108" t="s">
        <v>45</v>
      </c>
      <c r="C27" s="11">
        <v>10575</v>
      </c>
      <c r="D27" s="11">
        <v>9583</v>
      </c>
      <c r="E27" s="11">
        <v>4458</v>
      </c>
      <c r="F27" s="11">
        <v>6902</v>
      </c>
      <c r="G27" s="11">
        <v>6402</v>
      </c>
      <c r="H27" s="35">
        <f>$G$27</f>
        <v>6402</v>
      </c>
      <c r="I27" s="35">
        <f t="shared" ref="I27:J27" si="10">$G$27</f>
        <v>6402</v>
      </c>
      <c r="J27" s="107">
        <f t="shared" si="10"/>
        <v>6402</v>
      </c>
      <c r="K27" s="64"/>
      <c r="L27" s="127" t="s">
        <v>68</v>
      </c>
      <c r="M27" s="328"/>
      <c r="N27" s="16"/>
      <c r="O27" s="16"/>
      <c r="P27" s="16"/>
      <c r="Q27" s="16"/>
      <c r="R27" s="16"/>
      <c r="S27" s="97"/>
    </row>
    <row r="28" spans="2:19" x14ac:dyDescent="0.25">
      <c r="B28" s="106" t="s">
        <v>46</v>
      </c>
      <c r="C28" s="8">
        <f t="shared" ref="C28:I28" si="11">SUM(C24:C27)</f>
        <v>190316</v>
      </c>
      <c r="D28" s="8">
        <f t="shared" si="11"/>
        <v>238289</v>
      </c>
      <c r="E28" s="8">
        <f t="shared" si="11"/>
        <v>287319</v>
      </c>
      <c r="F28" s="8">
        <f t="shared" si="11"/>
        <v>300447</v>
      </c>
      <c r="G28" s="8">
        <f t="shared" si="11"/>
        <v>314745</v>
      </c>
      <c r="H28" s="37">
        <f t="shared" si="11"/>
        <v>304088.20590690663</v>
      </c>
      <c r="I28" s="37">
        <f t="shared" si="11"/>
        <v>294591.16663358721</v>
      </c>
      <c r="J28" s="109">
        <f t="shared" ref="J28" si="12">SUM(J24:J27)</f>
        <v>286009.45972040691</v>
      </c>
      <c r="K28" s="292"/>
      <c r="L28" s="127"/>
      <c r="M28" s="298"/>
      <c r="N28" s="16"/>
      <c r="O28" s="16"/>
      <c r="P28" s="16"/>
      <c r="Q28" s="16"/>
      <c r="R28" s="16"/>
      <c r="S28" s="97"/>
    </row>
    <row r="29" spans="2:19" ht="26" customHeight="1" x14ac:dyDescent="0.25">
      <c r="B29" s="108" t="s">
        <v>47</v>
      </c>
      <c r="C29" s="11">
        <v>62058</v>
      </c>
      <c r="D29" s="11">
        <v>112630</v>
      </c>
      <c r="E29" s="11">
        <v>140544</v>
      </c>
      <c r="F29" s="11">
        <v>171945</v>
      </c>
      <c r="G29" s="11">
        <v>271980</v>
      </c>
      <c r="H29" s="35">
        <f>$G$29</f>
        <v>271980</v>
      </c>
      <c r="I29" s="35">
        <f t="shared" ref="I29:J29" si="13">$G$29</f>
        <v>271980</v>
      </c>
      <c r="J29" s="107">
        <f t="shared" si="13"/>
        <v>271980</v>
      </c>
      <c r="K29" s="64"/>
      <c r="L29" s="127" t="s">
        <v>68</v>
      </c>
      <c r="M29" s="322" t="s">
        <v>221</v>
      </c>
      <c r="N29" s="16"/>
      <c r="O29" s="16"/>
      <c r="P29" s="16"/>
      <c r="Q29" s="16"/>
      <c r="R29" s="16"/>
      <c r="S29" s="97"/>
    </row>
    <row r="30" spans="2:19" ht="26" customHeight="1" x14ac:dyDescent="0.25">
      <c r="B30" s="108" t="s">
        <v>48</v>
      </c>
      <c r="C30" s="11">
        <v>29259</v>
      </c>
      <c r="D30" s="11">
        <v>16237</v>
      </c>
      <c r="E30" s="11">
        <v>10418</v>
      </c>
      <c r="F30" s="11">
        <v>17699</v>
      </c>
      <c r="G30" s="11">
        <v>31806</v>
      </c>
      <c r="H30" s="35">
        <f>$G$30</f>
        <v>31806</v>
      </c>
      <c r="I30" s="35">
        <f t="shared" ref="I30:J30" si="14">$G$30</f>
        <v>31806</v>
      </c>
      <c r="J30" s="107">
        <f t="shared" si="14"/>
        <v>31806</v>
      </c>
      <c r="K30" s="64"/>
      <c r="L30" s="127" t="s">
        <v>68</v>
      </c>
      <c r="M30" s="323"/>
      <c r="N30" s="16"/>
      <c r="O30" s="16"/>
      <c r="P30" s="16"/>
      <c r="Q30" s="16"/>
      <c r="R30" s="16"/>
      <c r="S30" s="97"/>
    </row>
    <row r="31" spans="2:19" ht="26" customHeight="1" x14ac:dyDescent="0.25">
      <c r="B31" s="108" t="s">
        <v>49</v>
      </c>
      <c r="C31" s="16">
        <v>0</v>
      </c>
      <c r="D31" s="17">
        <v>0</v>
      </c>
      <c r="E31" s="11">
        <v>2184</v>
      </c>
      <c r="F31" s="11">
        <v>3522</v>
      </c>
      <c r="G31" s="11">
        <v>4287</v>
      </c>
      <c r="H31" s="35">
        <f>$G$31</f>
        <v>4287</v>
      </c>
      <c r="I31" s="35">
        <f t="shared" ref="I31:J31" si="15">$G$31</f>
        <v>4287</v>
      </c>
      <c r="J31" s="107">
        <f t="shared" si="15"/>
        <v>4287</v>
      </c>
      <c r="K31" s="64"/>
      <c r="L31" s="127" t="s">
        <v>68</v>
      </c>
      <c r="M31" s="324"/>
      <c r="N31" s="16"/>
      <c r="O31" s="16"/>
      <c r="P31" s="16"/>
      <c r="Q31" s="16"/>
      <c r="R31" s="16"/>
      <c r="S31" s="97"/>
    </row>
    <row r="32" spans="2:19" x14ac:dyDescent="0.25">
      <c r="B32" s="106" t="s">
        <v>50</v>
      </c>
      <c r="C32" s="8">
        <f>SUM(C28:C31)</f>
        <v>281633</v>
      </c>
      <c r="D32" s="8">
        <f t="shared" ref="D32:I32" si="16">SUM(D28:D31)</f>
        <v>367156</v>
      </c>
      <c r="E32" s="8">
        <f t="shared" si="16"/>
        <v>440465</v>
      </c>
      <c r="F32" s="8">
        <f t="shared" si="16"/>
        <v>493613</v>
      </c>
      <c r="G32" s="8">
        <f t="shared" si="16"/>
        <v>622818</v>
      </c>
      <c r="H32" s="37">
        <f t="shared" si="16"/>
        <v>612161.20590690663</v>
      </c>
      <c r="I32" s="37">
        <f t="shared" si="16"/>
        <v>602664.16663358721</v>
      </c>
      <c r="J32" s="109">
        <f t="shared" ref="J32" si="17">SUM(J28:J31)</f>
        <v>594082.45972040691</v>
      </c>
      <c r="K32" s="292"/>
      <c r="L32" s="127"/>
      <c r="M32" s="298"/>
      <c r="N32" s="16"/>
      <c r="O32" s="16"/>
      <c r="P32" s="16"/>
      <c r="Q32" s="16"/>
      <c r="R32" s="16"/>
      <c r="S32" s="97"/>
    </row>
    <row r="33" spans="2:19" x14ac:dyDescent="0.25">
      <c r="B33" s="111" t="s">
        <v>51</v>
      </c>
      <c r="C33" s="8"/>
      <c r="D33" s="8"/>
      <c r="E33" s="8"/>
      <c r="F33" s="8"/>
      <c r="G33" s="8"/>
      <c r="H33" s="37"/>
      <c r="I33" s="37"/>
      <c r="J33" s="109"/>
      <c r="K33" s="292"/>
      <c r="L33" s="127"/>
      <c r="M33" s="298"/>
      <c r="N33" s="16"/>
      <c r="O33" s="16"/>
      <c r="P33" s="16"/>
      <c r="Q33" s="16"/>
      <c r="R33" s="16"/>
      <c r="S33" s="97"/>
    </row>
    <row r="34" spans="2:19" ht="35" thickBot="1" x14ac:dyDescent="0.3">
      <c r="B34" s="112" t="s">
        <v>114</v>
      </c>
      <c r="C34" s="11">
        <v>104581</v>
      </c>
      <c r="D34" s="11">
        <v>83672</v>
      </c>
      <c r="E34" s="11">
        <v>104527</v>
      </c>
      <c r="F34" s="11">
        <v>121181</v>
      </c>
      <c r="G34" s="11">
        <v>149159</v>
      </c>
      <c r="H34" s="43">
        <f>$S$34*'P&amp;L'!H11</f>
        <v>162212.89759709826</v>
      </c>
      <c r="I34" s="43">
        <f>$S$34*'P&amp;L'!I11</f>
        <v>183887.28851921583</v>
      </c>
      <c r="J34" s="113">
        <f>$S$34*'P&amp;L'!J11</f>
        <v>208457.74522157488</v>
      </c>
      <c r="K34" s="295"/>
      <c r="L34" s="130" t="s">
        <v>117</v>
      </c>
      <c r="M34" s="300" t="s">
        <v>220</v>
      </c>
      <c r="N34" s="103">
        <f>C34/'P&amp;L'!C11</f>
        <v>0.31780196671893424</v>
      </c>
      <c r="O34" s="103">
        <f>D34/'P&amp;L'!D11</f>
        <v>0.35886394633681878</v>
      </c>
      <c r="P34" s="103">
        <f>E34/'P&amp;L'!E11</f>
        <v>0.43188513583307508</v>
      </c>
      <c r="Q34" s="103">
        <f>F34/'P&amp;L'!F11</f>
        <v>0.4178050075506306</v>
      </c>
      <c r="R34" s="103">
        <f>G34/'P&amp;L'!G11</f>
        <v>0.40202523320908096</v>
      </c>
      <c r="S34" s="104">
        <f>AVERAGE(N34:R34)</f>
        <v>0.38567625792970794</v>
      </c>
    </row>
    <row r="35" spans="2:19" x14ac:dyDescent="0.25">
      <c r="B35" s="114" t="s">
        <v>128</v>
      </c>
      <c r="C35" s="117">
        <v>11571</v>
      </c>
      <c r="D35" s="117">
        <v>6892</v>
      </c>
      <c r="E35" s="117">
        <v>1754</v>
      </c>
      <c r="F35" s="117">
        <v>2731</v>
      </c>
      <c r="G35" s="117">
        <v>3768</v>
      </c>
      <c r="H35" s="35">
        <v>39953.436108883354</v>
      </c>
      <c r="I35" s="35">
        <v>86250.351955890423</v>
      </c>
      <c r="J35" s="107">
        <v>94371.495919110952</v>
      </c>
      <c r="K35" s="64"/>
    </row>
    <row r="36" spans="2:19" s="27" customFormat="1" x14ac:dyDescent="0.25">
      <c r="B36" s="111" t="s">
        <v>52</v>
      </c>
      <c r="C36" s="8">
        <f>C35+C34</f>
        <v>116152</v>
      </c>
      <c r="D36" s="8">
        <f t="shared" ref="D36:G36" si="18">D35+D34</f>
        <v>90564</v>
      </c>
      <c r="E36" s="8">
        <f t="shared" si="18"/>
        <v>106281</v>
      </c>
      <c r="F36" s="8">
        <f t="shared" si="18"/>
        <v>123912</v>
      </c>
      <c r="G36" s="8">
        <f t="shared" si="18"/>
        <v>152927</v>
      </c>
      <c r="H36" s="8">
        <f t="shared" ref="H36" si="19">H35+H34</f>
        <v>202166.33370598161</v>
      </c>
      <c r="I36" s="8">
        <f t="shared" ref="I36:J36" si="20">I35+I34</f>
        <v>270137.64047510625</v>
      </c>
      <c r="J36" s="78">
        <f t="shared" si="20"/>
        <v>302829.24114068586</v>
      </c>
      <c r="K36" s="294"/>
      <c r="L36" s="55"/>
      <c r="M36" s="55"/>
      <c r="N36" s="41"/>
      <c r="O36" s="41"/>
      <c r="P36" s="41"/>
      <c r="Q36" s="41"/>
      <c r="R36" s="41"/>
      <c r="S36" s="42"/>
    </row>
    <row r="37" spans="2:19" ht="16" customHeight="1" thickBot="1" x14ac:dyDescent="0.3">
      <c r="B37" s="115" t="s">
        <v>53</v>
      </c>
      <c r="C37" s="82">
        <f t="shared" ref="C37:J37" si="21">C36+C32</f>
        <v>397785</v>
      </c>
      <c r="D37" s="82">
        <f t="shared" si="21"/>
        <v>457720</v>
      </c>
      <c r="E37" s="82">
        <f t="shared" si="21"/>
        <v>546746</v>
      </c>
      <c r="F37" s="82">
        <f t="shared" si="21"/>
        <v>617525</v>
      </c>
      <c r="G37" s="82">
        <f t="shared" si="21"/>
        <v>775745</v>
      </c>
      <c r="H37" s="82">
        <f t="shared" si="21"/>
        <v>814327.53961288824</v>
      </c>
      <c r="I37" s="82">
        <f t="shared" si="21"/>
        <v>872801.80710869352</v>
      </c>
      <c r="J37" s="83">
        <f t="shared" si="21"/>
        <v>896911.70086109277</v>
      </c>
      <c r="K37" s="294"/>
    </row>
    <row r="38" spans="2:19" x14ac:dyDescent="0.25">
      <c r="C38" s="19"/>
      <c r="D38" s="19"/>
      <c r="E38" s="19"/>
      <c r="F38" s="19"/>
      <c r="G38" s="19"/>
    </row>
    <row r="39" spans="2:19" x14ac:dyDescent="0.25"/>
    <row r="40" spans="2:19" hidden="1" x14ac:dyDescent="0.25"/>
    <row r="41" spans="2:19" hidden="1" x14ac:dyDescent="0.25"/>
    <row r="42" spans="2:19" hidden="1" x14ac:dyDescent="0.25"/>
    <row r="43" spans="2:19" hidden="1" x14ac:dyDescent="0.25"/>
    <row r="44" spans="2:19" hidden="1" x14ac:dyDescent="0.25"/>
    <row r="45" spans="2:19" hidden="1" x14ac:dyDescent="0.25"/>
    <row r="46" spans="2:19" hidden="1" x14ac:dyDescent="0.25"/>
    <row r="47" spans="2:19" hidden="1" x14ac:dyDescent="0.25"/>
    <row r="48" spans="2:19" hidden="1" x14ac:dyDescent="0.25"/>
    <row r="49" spans="12:15" hidden="1" x14ac:dyDescent="0.25"/>
    <row r="50" spans="12:15" hidden="1" x14ac:dyDescent="0.25"/>
    <row r="51" spans="12:15" hidden="1" x14ac:dyDescent="0.25">
      <c r="L51" s="56"/>
      <c r="M51" s="56"/>
      <c r="N51" s="31"/>
      <c r="O51" s="31"/>
    </row>
    <row r="52" spans="12:15" hidden="1" x14ac:dyDescent="0.25">
      <c r="N52" s="31"/>
    </row>
  </sheetData>
  <mergeCells count="6">
    <mergeCell ref="B2:J2"/>
    <mergeCell ref="B4:J4"/>
    <mergeCell ref="M16:M18"/>
    <mergeCell ref="M24:M25"/>
    <mergeCell ref="M29:M31"/>
    <mergeCell ref="M26:M27"/>
  </mergeCells>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353BE-311C-44AE-8DA8-EA7AEDAE89DD}">
  <dimension ref="A1:O38"/>
  <sheetViews>
    <sheetView showGridLines="0" topLeftCell="A11" workbookViewId="0">
      <selection activeCell="C24" sqref="C24"/>
    </sheetView>
  </sheetViews>
  <sheetFormatPr defaultColWidth="0" defaultRowHeight="11.5" zeroHeight="1" x14ac:dyDescent="0.25"/>
  <cols>
    <col min="1" max="1" width="2.7265625" style="44" customWidth="1"/>
    <col min="2" max="2" width="36.6328125" style="44" bestFit="1" customWidth="1"/>
    <col min="3" max="3" width="11.26953125" style="44" bestFit="1" customWidth="1"/>
    <col min="4" max="4" width="11.54296875" style="44" bestFit="1" customWidth="1"/>
    <col min="5" max="5" width="11.26953125" style="44" bestFit="1" customWidth="1"/>
    <col min="6" max="6" width="11.54296875" style="44" bestFit="1" customWidth="1"/>
    <col min="7" max="7" width="12.26953125" style="44" bestFit="1" customWidth="1"/>
    <col min="8" max="8" width="11.54296875" style="44" bestFit="1" customWidth="1"/>
    <col min="9" max="9" width="12.54296875" style="44" customWidth="1"/>
    <col min="10" max="10" width="12.26953125" style="44" bestFit="1" customWidth="1"/>
    <col min="11" max="12" width="8.7265625" style="44" customWidth="1"/>
    <col min="13" max="15" width="0" style="44" hidden="1" customWidth="1"/>
    <col min="16" max="16384" width="8.7265625" style="44" hidden="1"/>
  </cols>
  <sheetData>
    <row r="1" spans="2:10" x14ac:dyDescent="0.25"/>
    <row r="2" spans="2:10" ht="18" x14ac:dyDescent="0.4">
      <c r="B2" s="329" t="s">
        <v>187</v>
      </c>
      <c r="C2" s="329"/>
      <c r="D2" s="329"/>
      <c r="E2" s="329"/>
      <c r="F2" s="329"/>
      <c r="G2" s="329"/>
      <c r="H2" s="329"/>
      <c r="I2" s="329"/>
      <c r="J2" s="329"/>
    </row>
    <row r="3" spans="2:10" ht="12" thickBot="1" x14ac:dyDescent="0.3"/>
    <row r="4" spans="2:10" ht="23.5" thickBot="1" x14ac:dyDescent="0.3">
      <c r="B4" s="151" t="s">
        <v>188</v>
      </c>
      <c r="C4" s="90" t="s">
        <v>54</v>
      </c>
      <c r="D4" s="91" t="s">
        <v>55</v>
      </c>
      <c r="E4" s="91" t="s">
        <v>56</v>
      </c>
      <c r="F4" s="91" t="s">
        <v>57</v>
      </c>
      <c r="G4" s="91" t="s">
        <v>62</v>
      </c>
      <c r="H4" s="91" t="s">
        <v>63</v>
      </c>
      <c r="I4" s="91" t="s">
        <v>64</v>
      </c>
      <c r="J4" s="92" t="s">
        <v>115</v>
      </c>
    </row>
    <row r="5" spans="2:10" x14ac:dyDescent="0.25">
      <c r="B5" s="137" t="s">
        <v>118</v>
      </c>
      <c r="C5" s="149">
        <f>'P&amp;L'!C34</f>
        <v>22719</v>
      </c>
      <c r="D5" s="149">
        <f>'P&amp;L'!D34</f>
        <v>27417</v>
      </c>
      <c r="E5" s="149">
        <f>'P&amp;L'!E34</f>
        <v>31425</v>
      </c>
      <c r="F5" s="149">
        <f>'P&amp;L'!F34</f>
        <v>33612</v>
      </c>
      <c r="G5" s="149">
        <f>'P&amp;L'!G34</f>
        <v>35163</v>
      </c>
      <c r="H5" s="149">
        <f>'P&amp;L'!H34</f>
        <v>38525.299584250752</v>
      </c>
      <c r="I5" s="149">
        <f>'P&amp;L'!I34</f>
        <v>45800.669434255266</v>
      </c>
      <c r="J5" s="150">
        <f>'P&amp;L'!J34</f>
        <v>53751.523712843104</v>
      </c>
    </row>
    <row r="6" spans="2:10" x14ac:dyDescent="0.25">
      <c r="B6" s="139" t="s">
        <v>129</v>
      </c>
      <c r="C6" s="45"/>
      <c r="D6" s="45"/>
      <c r="E6" s="45"/>
      <c r="F6" s="45"/>
      <c r="G6" s="45"/>
      <c r="H6" s="45"/>
      <c r="I6" s="45"/>
      <c r="J6" s="138"/>
    </row>
    <row r="7" spans="2:10" x14ac:dyDescent="0.25">
      <c r="B7" s="139" t="s">
        <v>119</v>
      </c>
      <c r="C7" s="45">
        <f>'P&amp;L'!C22</f>
        <v>8488</v>
      </c>
      <c r="D7" s="45">
        <f>'P&amp;L'!D22</f>
        <v>9566</v>
      </c>
      <c r="E7" s="45">
        <f>'P&amp;L'!E22</f>
        <v>8465</v>
      </c>
      <c r="F7" s="45">
        <f>'P&amp;L'!F22</f>
        <v>9580</v>
      </c>
      <c r="G7" s="45">
        <f>'P&amp;L'!G22</f>
        <v>10558</v>
      </c>
      <c r="H7" s="45">
        <f>'P&amp;L'!H22</f>
        <v>10656.794093093389</v>
      </c>
      <c r="I7" s="45">
        <f>'P&amp;L'!I22</f>
        <v>9497.0392733194349</v>
      </c>
      <c r="J7" s="138">
        <f>'P&amp;L'!J22</f>
        <v>8581.7069131802346</v>
      </c>
    </row>
    <row r="8" spans="2:10" x14ac:dyDescent="0.25">
      <c r="B8" s="139" t="s">
        <v>149</v>
      </c>
      <c r="C8" s="45">
        <f>'P&amp;L'!C21</f>
        <v>2367</v>
      </c>
      <c r="D8" s="45">
        <f>'P&amp;L'!D21</f>
        <v>2454</v>
      </c>
      <c r="E8" s="45">
        <f>'P&amp;L'!E21</f>
        <v>2723</v>
      </c>
      <c r="F8" s="45">
        <f>'P&amp;L'!F21</f>
        <v>4656</v>
      </c>
      <c r="G8" s="45">
        <f>'P&amp;L'!G21</f>
        <v>9751</v>
      </c>
      <c r="H8" s="45">
        <f>'P&amp;L'!H21</f>
        <v>9751</v>
      </c>
      <c r="I8" s="45">
        <f>'P&amp;L'!I21</f>
        <v>9751</v>
      </c>
      <c r="J8" s="138">
        <f>'P&amp;L'!J21</f>
        <v>9751</v>
      </c>
    </row>
    <row r="9" spans="2:10" x14ac:dyDescent="0.25">
      <c r="B9" s="139" t="s">
        <v>130</v>
      </c>
      <c r="C9" s="45"/>
      <c r="D9" s="45"/>
      <c r="E9" s="45"/>
      <c r="F9" s="45"/>
      <c r="G9" s="45"/>
      <c r="H9" s="45"/>
      <c r="I9" s="45"/>
      <c r="J9" s="138"/>
    </row>
    <row r="10" spans="2:10" x14ac:dyDescent="0.25">
      <c r="B10" s="139" t="s">
        <v>131</v>
      </c>
      <c r="C10" s="45">
        <f>-'P&amp;L'!C12</f>
        <v>-8721</v>
      </c>
      <c r="D10" s="45">
        <f>-'P&amp;L'!D12</f>
        <v>-7582</v>
      </c>
      <c r="E10" s="45">
        <f>-'P&amp;L'!E12</f>
        <v>-8709</v>
      </c>
      <c r="F10" s="45">
        <f>-'P&amp;L'!F12</f>
        <v>-8220</v>
      </c>
      <c r="G10" s="45">
        <f>-'P&amp;L'!G12</f>
        <v>-9419</v>
      </c>
      <c r="H10" s="45">
        <f>-'P&amp;L'!H12</f>
        <v>-8530.2000000000007</v>
      </c>
      <c r="I10" s="45">
        <f>-'P&amp;L'!I12</f>
        <v>-8530.2000000000007</v>
      </c>
      <c r="J10" s="138">
        <f>-'P&amp;L'!J12</f>
        <v>-8530.2000000000007</v>
      </c>
    </row>
    <row r="11" spans="2:10" x14ac:dyDescent="0.25">
      <c r="B11" s="139" t="s">
        <v>132</v>
      </c>
      <c r="C11" s="45"/>
      <c r="D11" s="45"/>
      <c r="E11" s="45"/>
      <c r="F11" s="45"/>
      <c r="G11" s="45"/>
      <c r="H11" s="45"/>
      <c r="I11" s="45"/>
      <c r="J11" s="138"/>
    </row>
    <row r="12" spans="2:10" x14ac:dyDescent="0.25">
      <c r="B12" s="139" t="s">
        <v>120</v>
      </c>
      <c r="C12" s="45">
        <f>135333-116152-36624+11571</f>
        <v>-5872</v>
      </c>
      <c r="D12" s="45">
        <f>'Balance Sheet'!C34-'Balance Sheet'!D34</f>
        <v>20909</v>
      </c>
      <c r="E12" s="45">
        <f>'Balance Sheet'!D34-'Balance Sheet'!E34</f>
        <v>-20855</v>
      </c>
      <c r="F12" s="45">
        <f>'Balance Sheet'!E34-'Balance Sheet'!F34</f>
        <v>-16654</v>
      </c>
      <c r="G12" s="45">
        <f>'Balance Sheet'!F34-'Balance Sheet'!G34</f>
        <v>-27978</v>
      </c>
      <c r="H12" s="45">
        <f>'Balance Sheet'!G34-'Balance Sheet'!H34</f>
        <v>-13053.897597098257</v>
      </c>
      <c r="I12" s="45">
        <f>'Balance Sheet'!H34-'Balance Sheet'!I34</f>
        <v>-21674.390922117571</v>
      </c>
      <c r="J12" s="138">
        <f>'Balance Sheet'!I34-'Balance Sheet'!J34</f>
        <v>-24570.45670235905</v>
      </c>
    </row>
    <row r="13" spans="2:10" x14ac:dyDescent="0.25">
      <c r="B13" s="139" t="s">
        <v>121</v>
      </c>
      <c r="C13" s="45">
        <f>91301-95566</f>
        <v>-4265</v>
      </c>
      <c r="D13" s="45">
        <f>'Balance Sheet'!D20-'Balance Sheet'!C20</f>
        <v>33721</v>
      </c>
      <c r="E13" s="45">
        <f>'Balance Sheet'!E20-'Balance Sheet'!D20</f>
        <v>27804</v>
      </c>
      <c r="F13" s="45">
        <f>'Balance Sheet'!F20-'Balance Sheet'!E20</f>
        <v>37821</v>
      </c>
      <c r="G13" s="45">
        <f>'Balance Sheet'!G20-'Balance Sheet'!F20</f>
        <v>11374</v>
      </c>
      <c r="H13" s="45">
        <f>'Balance Sheet'!H20-'Balance Sheet'!G20</f>
        <v>20634.140386394633</v>
      </c>
      <c r="I13" s="45">
        <f>'Balance Sheet'!I20-'Balance Sheet'!H20</f>
        <v>29750.498419307027</v>
      </c>
      <c r="J13" s="138">
        <f>'Balance Sheet'!J20-'Balance Sheet'!I20</f>
        <v>33725.668966284808</v>
      </c>
    </row>
    <row r="14" spans="2:10" x14ac:dyDescent="0.25">
      <c r="B14" s="139"/>
      <c r="C14" s="45"/>
      <c r="D14" s="45"/>
      <c r="E14" s="45"/>
      <c r="F14" s="45"/>
      <c r="G14" s="45"/>
      <c r="H14" s="45"/>
      <c r="I14" s="45"/>
      <c r="J14" s="138"/>
    </row>
    <row r="15" spans="2:10" s="46" customFormat="1" x14ac:dyDescent="0.25">
      <c r="B15" s="140" t="s">
        <v>135</v>
      </c>
      <c r="C15" s="47">
        <f>SUM(C5:C13)</f>
        <v>14716</v>
      </c>
      <c r="D15" s="47">
        <f t="shared" ref="D15:J15" si="0">SUM(D5:D13)</f>
        <v>86485</v>
      </c>
      <c r="E15" s="47">
        <f t="shared" si="0"/>
        <v>40853</v>
      </c>
      <c r="F15" s="47">
        <f t="shared" si="0"/>
        <v>60795</v>
      </c>
      <c r="G15" s="47">
        <f t="shared" si="0"/>
        <v>29449</v>
      </c>
      <c r="H15" s="47">
        <f t="shared" si="0"/>
        <v>57983.136466640513</v>
      </c>
      <c r="I15" s="47">
        <f t="shared" si="0"/>
        <v>64594.616204764156</v>
      </c>
      <c r="J15" s="141">
        <f t="shared" si="0"/>
        <v>72709.242889949106</v>
      </c>
    </row>
    <row r="16" spans="2:10" s="46" customFormat="1" x14ac:dyDescent="0.25">
      <c r="B16" s="140"/>
      <c r="C16" s="47"/>
      <c r="D16" s="47"/>
      <c r="E16" s="47"/>
      <c r="F16" s="47"/>
      <c r="G16" s="47"/>
      <c r="H16" s="47"/>
      <c r="I16" s="47"/>
      <c r="J16" s="141"/>
    </row>
    <row r="17" spans="2:10" x14ac:dyDescent="0.25">
      <c r="B17" s="140" t="s">
        <v>134</v>
      </c>
      <c r="C17" s="48"/>
      <c r="D17" s="48"/>
      <c r="E17" s="48"/>
      <c r="F17" s="48"/>
      <c r="G17" s="48"/>
      <c r="H17" s="48"/>
      <c r="I17" s="48"/>
      <c r="J17" s="142"/>
    </row>
    <row r="18" spans="2:10" x14ac:dyDescent="0.25">
      <c r="B18" s="139" t="s">
        <v>150</v>
      </c>
      <c r="C18" s="45">
        <f>PPE!D36</f>
        <v>-47682</v>
      </c>
      <c r="D18" s="45">
        <f>PPE!E36</f>
        <v>-57539</v>
      </c>
      <c r="E18" s="45">
        <f>PPE!F36</f>
        <v>-57495</v>
      </c>
      <c r="F18" s="45">
        <f>PPE!G36</f>
        <v>-22708</v>
      </c>
      <c r="G18" s="45">
        <f>PPE!H36</f>
        <v>-24856</v>
      </c>
      <c r="H18" s="45">
        <f>PPE!I36</f>
        <v>0</v>
      </c>
      <c r="I18" s="45">
        <f>PPE!J36</f>
        <v>0</v>
      </c>
      <c r="J18" s="138">
        <f>PPE!K36</f>
        <v>0</v>
      </c>
    </row>
    <row r="19" spans="2:10" x14ac:dyDescent="0.25">
      <c r="B19" s="139" t="s">
        <v>137</v>
      </c>
      <c r="C19" s="45">
        <f>-C10</f>
        <v>8721</v>
      </c>
      <c r="D19" s="45">
        <f t="shared" ref="D19:J19" si="1">-D10</f>
        <v>7582</v>
      </c>
      <c r="E19" s="45">
        <f t="shared" si="1"/>
        <v>8709</v>
      </c>
      <c r="F19" s="45">
        <f t="shared" si="1"/>
        <v>8220</v>
      </c>
      <c r="G19" s="45">
        <f t="shared" si="1"/>
        <v>9419</v>
      </c>
      <c r="H19" s="45">
        <f t="shared" si="1"/>
        <v>8530.2000000000007</v>
      </c>
      <c r="I19" s="45">
        <f t="shared" si="1"/>
        <v>8530.2000000000007</v>
      </c>
      <c r="J19" s="138">
        <f t="shared" si="1"/>
        <v>8530.2000000000007</v>
      </c>
    </row>
    <row r="20" spans="2:10" s="46" customFormat="1" x14ac:dyDescent="0.25">
      <c r="B20" s="140" t="s">
        <v>138</v>
      </c>
      <c r="C20" s="47">
        <f>C18+C19</f>
        <v>-38961</v>
      </c>
      <c r="D20" s="47">
        <f t="shared" ref="D20:J20" si="2">D18+D19</f>
        <v>-49957</v>
      </c>
      <c r="E20" s="47">
        <f t="shared" si="2"/>
        <v>-48786</v>
      </c>
      <c r="F20" s="47">
        <f t="shared" si="2"/>
        <v>-14488</v>
      </c>
      <c r="G20" s="47">
        <f t="shared" si="2"/>
        <v>-15437</v>
      </c>
      <c r="H20" s="47">
        <f t="shared" si="2"/>
        <v>8530.2000000000007</v>
      </c>
      <c r="I20" s="47">
        <f t="shared" si="2"/>
        <v>8530.2000000000007</v>
      </c>
      <c r="J20" s="141">
        <f t="shared" si="2"/>
        <v>8530.2000000000007</v>
      </c>
    </row>
    <row r="21" spans="2:10" s="46" customFormat="1" x14ac:dyDescent="0.25">
      <c r="B21" s="140"/>
      <c r="C21" s="47"/>
      <c r="D21" s="47"/>
      <c r="E21" s="47"/>
      <c r="F21" s="47"/>
      <c r="G21" s="47"/>
      <c r="H21" s="47"/>
      <c r="I21" s="47"/>
      <c r="J21" s="141"/>
    </row>
    <row r="22" spans="2:10" s="46" customFormat="1" x14ac:dyDescent="0.25">
      <c r="B22" s="140" t="s">
        <v>133</v>
      </c>
      <c r="C22" s="47"/>
      <c r="D22" s="47"/>
      <c r="E22" s="47"/>
      <c r="F22" s="47"/>
      <c r="G22" s="47"/>
      <c r="H22" s="47"/>
      <c r="I22" s="47"/>
      <c r="J22" s="141"/>
    </row>
    <row r="23" spans="2:10" x14ac:dyDescent="0.25">
      <c r="B23" s="143" t="s">
        <v>143</v>
      </c>
      <c r="C23" s="45">
        <f>-'Net Worth'!C12</f>
        <v>-3634</v>
      </c>
      <c r="D23" s="45">
        <f>-'Net Worth'!D12</f>
        <v>-3409</v>
      </c>
      <c r="E23" s="45">
        <f>-'Net Worth'!E12</f>
        <v>16704</v>
      </c>
      <c r="F23" s="45">
        <f>-'Net Worth'!F12</f>
        <v>-7278</v>
      </c>
      <c r="G23" s="45">
        <f>-'Net Worth'!G12</f>
        <v>55512</v>
      </c>
      <c r="H23" s="45">
        <f>-'Net Worth'!H12</f>
        <v>0</v>
      </c>
      <c r="I23" s="45">
        <f>-'Net Worth'!I12</f>
        <v>0</v>
      </c>
      <c r="J23" s="138">
        <f>-'Net Worth'!J12</f>
        <v>0</v>
      </c>
    </row>
    <row r="24" spans="2:10" x14ac:dyDescent="0.25">
      <c r="B24" s="144" t="s">
        <v>139</v>
      </c>
      <c r="C24" s="45">
        <f>-74926+90308</f>
        <v>15382</v>
      </c>
      <c r="D24" s="45">
        <f>-'Balance Sheet'!C19+'Balance Sheet'!D19</f>
        <v>2206</v>
      </c>
      <c r="E24" s="45">
        <f>-'Balance Sheet'!D19+'Balance Sheet'!E19</f>
        <v>13093</v>
      </c>
      <c r="F24" s="45">
        <f>-'Balance Sheet'!E19+'Balance Sheet'!F19</f>
        <v>6624</v>
      </c>
      <c r="G24" s="45">
        <f>-'Balance Sheet'!F19+'Balance Sheet'!G19</f>
        <v>56171</v>
      </c>
      <c r="H24" s="45">
        <f>-'Balance Sheet'!G19+'Balance Sheet'!H19</f>
        <v>-20576.900357757142</v>
      </c>
      <c r="I24" s="45">
        <f>-'Balance Sheet'!H19+'Balance Sheet'!I19</f>
        <v>-17076.900357757142</v>
      </c>
      <c r="J24" s="138">
        <f>-'Balance Sheet'!I19+'Balance Sheet'!J19</f>
        <v>-63367.298926728574</v>
      </c>
    </row>
    <row r="25" spans="2:10" x14ac:dyDescent="0.25">
      <c r="B25" s="144" t="s">
        <v>140</v>
      </c>
      <c r="C25" s="45">
        <f>-C8</f>
        <v>-2367</v>
      </c>
      <c r="D25" s="45">
        <f t="shared" ref="D25:J25" si="3">-D8</f>
        <v>-2454</v>
      </c>
      <c r="E25" s="45">
        <f t="shared" si="3"/>
        <v>-2723</v>
      </c>
      <c r="F25" s="45">
        <f t="shared" si="3"/>
        <v>-4656</v>
      </c>
      <c r="G25" s="45">
        <f t="shared" si="3"/>
        <v>-9751</v>
      </c>
      <c r="H25" s="45">
        <f t="shared" si="3"/>
        <v>-9751</v>
      </c>
      <c r="I25" s="45">
        <f t="shared" si="3"/>
        <v>-9751</v>
      </c>
      <c r="J25" s="138">
        <f t="shared" si="3"/>
        <v>-9751</v>
      </c>
    </row>
    <row r="26" spans="2:10" x14ac:dyDescent="0.25">
      <c r="B26" s="145" t="s">
        <v>148</v>
      </c>
      <c r="C26" s="47">
        <f>SUM(C23:C25)</f>
        <v>9381</v>
      </c>
      <c r="D26" s="47">
        <f t="shared" ref="D26:J26" si="4">SUM(D23:D25)</f>
        <v>-3657</v>
      </c>
      <c r="E26" s="47">
        <f t="shared" si="4"/>
        <v>27074</v>
      </c>
      <c r="F26" s="47">
        <f t="shared" si="4"/>
        <v>-5310</v>
      </c>
      <c r="G26" s="47">
        <f t="shared" si="4"/>
        <v>101932</v>
      </c>
      <c r="H26" s="47">
        <f t="shared" si="4"/>
        <v>-30327.900357757142</v>
      </c>
      <c r="I26" s="47">
        <f t="shared" si="4"/>
        <v>-26827.900357757142</v>
      </c>
      <c r="J26" s="141">
        <f t="shared" si="4"/>
        <v>-73118.298926728574</v>
      </c>
    </row>
    <row r="27" spans="2:10" ht="12" thickBot="1" x14ac:dyDescent="0.3">
      <c r="B27" s="146" t="s">
        <v>123</v>
      </c>
      <c r="C27" s="147">
        <f>C15+C20+C26</f>
        <v>-14864</v>
      </c>
      <c r="D27" s="147">
        <f t="shared" ref="D27:J27" si="5">D15+D20+D26</f>
        <v>32871</v>
      </c>
      <c r="E27" s="147">
        <f t="shared" si="5"/>
        <v>19141</v>
      </c>
      <c r="F27" s="147">
        <f t="shared" si="5"/>
        <v>40997</v>
      </c>
      <c r="G27" s="147">
        <f t="shared" si="5"/>
        <v>115944</v>
      </c>
      <c r="H27" s="147">
        <f t="shared" si="5"/>
        <v>36185.436108883368</v>
      </c>
      <c r="I27" s="147">
        <f t="shared" si="5"/>
        <v>46296.915847007011</v>
      </c>
      <c r="J27" s="148">
        <f t="shared" si="5"/>
        <v>8121.1439632205293</v>
      </c>
    </row>
    <row r="28" spans="2:10" x14ac:dyDescent="0.25">
      <c r="C28" s="49"/>
      <c r="D28" s="49"/>
      <c r="E28" s="49"/>
      <c r="F28" s="49"/>
      <c r="G28" s="49"/>
      <c r="H28" s="49"/>
      <c r="I28" s="49"/>
      <c r="J28" s="49"/>
    </row>
    <row r="29" spans="2:10" ht="12" thickBot="1" x14ac:dyDescent="0.3">
      <c r="C29" s="49"/>
      <c r="D29" s="49"/>
      <c r="E29" s="49"/>
      <c r="F29" s="49"/>
      <c r="G29" s="49"/>
      <c r="H29" s="49"/>
      <c r="I29" s="49"/>
      <c r="J29" s="49"/>
    </row>
    <row r="30" spans="2:10" ht="23.5" thickBot="1" x14ac:dyDescent="0.3">
      <c r="B30" s="153" t="s">
        <v>124</v>
      </c>
      <c r="C30" s="90" t="s">
        <v>54</v>
      </c>
      <c r="D30" s="91" t="s">
        <v>55</v>
      </c>
      <c r="E30" s="91" t="s">
        <v>56</v>
      </c>
      <c r="F30" s="91" t="s">
        <v>57</v>
      </c>
      <c r="G30" s="91" t="s">
        <v>62</v>
      </c>
      <c r="H30" s="91" t="s">
        <v>63</v>
      </c>
      <c r="I30" s="91" t="s">
        <v>64</v>
      </c>
      <c r="J30" s="92" t="s">
        <v>115</v>
      </c>
    </row>
    <row r="31" spans="2:10" x14ac:dyDescent="0.25">
      <c r="B31" s="152" t="s">
        <v>125</v>
      </c>
      <c r="C31" s="45">
        <f>'P&amp;L'!C29+'P&amp;L'!C21</f>
        <v>31835</v>
      </c>
      <c r="D31" s="45">
        <f>'P&amp;L'!D29+'P&amp;L'!D21</f>
        <v>38155</v>
      </c>
      <c r="E31" s="45">
        <f>'P&amp;L'!E29+'P&amp;L'!E21</f>
        <v>43500</v>
      </c>
      <c r="F31" s="45">
        <f>'P&amp;L'!F29+'P&amp;L'!F21</f>
        <v>50381</v>
      </c>
      <c r="G31" s="45">
        <f>'P&amp;L'!G29+'P&amp;L'!G21</f>
        <v>57118</v>
      </c>
      <c r="H31" s="45">
        <f>'P&amp;L'!H29+'P&amp;L'!H21</f>
        <v>60615.778548463597</v>
      </c>
      <c r="I31" s="45">
        <f>'P&amp;L'!I29+'P&amp;L'!I21</f>
        <v>70221.416409095051</v>
      </c>
      <c r="J31" s="138">
        <f>'P&amp;L'!J29+'P&amp;L'!J21</f>
        <v>80718.893301313743</v>
      </c>
    </row>
    <row r="32" spans="2:10" x14ac:dyDescent="0.25">
      <c r="B32" s="152" t="s">
        <v>126</v>
      </c>
      <c r="C32" s="45">
        <f>'P&amp;L'!C33</f>
        <v>6749</v>
      </c>
      <c r="D32" s="45">
        <f>'P&amp;L'!D33</f>
        <v>8284</v>
      </c>
      <c r="E32" s="45">
        <f>'P&amp;L'!E33</f>
        <v>9352</v>
      </c>
      <c r="F32" s="45">
        <f>'P&amp;L'!F33</f>
        <v>12113</v>
      </c>
      <c r="G32" s="45">
        <f>'P&amp;L'!G33</f>
        <v>12204</v>
      </c>
      <c r="H32" s="45">
        <f>'P&amp;L'!H33</f>
        <v>12339.478964212843</v>
      </c>
      <c r="I32" s="45">
        <f>'P&amp;L'!I33</f>
        <v>14669.746974839787</v>
      </c>
      <c r="J32" s="138">
        <f>'P&amp;L'!J33</f>
        <v>17216.369588470639</v>
      </c>
    </row>
    <row r="33" spans="2:10" x14ac:dyDescent="0.25">
      <c r="B33" s="152" t="s">
        <v>119</v>
      </c>
      <c r="C33" s="45">
        <f>C7</f>
        <v>8488</v>
      </c>
      <c r="D33" s="45">
        <f t="shared" ref="D33:J33" si="6">D7</f>
        <v>9566</v>
      </c>
      <c r="E33" s="45">
        <f t="shared" si="6"/>
        <v>8465</v>
      </c>
      <c r="F33" s="45">
        <f t="shared" si="6"/>
        <v>9580</v>
      </c>
      <c r="G33" s="45">
        <f t="shared" si="6"/>
        <v>10558</v>
      </c>
      <c r="H33" s="45">
        <f t="shared" si="6"/>
        <v>10656.794093093389</v>
      </c>
      <c r="I33" s="45">
        <f t="shared" si="6"/>
        <v>9497.0392733194349</v>
      </c>
      <c r="J33" s="138">
        <f t="shared" si="6"/>
        <v>8581.7069131802346</v>
      </c>
    </row>
    <row r="34" spans="2:10" x14ac:dyDescent="0.25">
      <c r="B34" s="152" t="s">
        <v>122</v>
      </c>
      <c r="C34" s="45">
        <f>C12+C13</f>
        <v>-10137</v>
      </c>
      <c r="D34" s="45">
        <f t="shared" ref="D34:J34" si="7">D12+D13</f>
        <v>54630</v>
      </c>
      <c r="E34" s="45">
        <f t="shared" si="7"/>
        <v>6949</v>
      </c>
      <c r="F34" s="45">
        <f t="shared" si="7"/>
        <v>21167</v>
      </c>
      <c r="G34" s="45">
        <f t="shared" si="7"/>
        <v>-16604</v>
      </c>
      <c r="H34" s="45">
        <f t="shared" si="7"/>
        <v>7580.2427892963751</v>
      </c>
      <c r="I34" s="45">
        <f t="shared" si="7"/>
        <v>8076.1074971894559</v>
      </c>
      <c r="J34" s="138">
        <f t="shared" si="7"/>
        <v>9155.2122639257577</v>
      </c>
    </row>
    <row r="35" spans="2:10" x14ac:dyDescent="0.25">
      <c r="B35" s="152" t="s">
        <v>141</v>
      </c>
      <c r="C35" s="45">
        <f>C18</f>
        <v>-47682</v>
      </c>
      <c r="D35" s="45">
        <f t="shared" ref="D35:J35" si="8">D18</f>
        <v>-57539</v>
      </c>
      <c r="E35" s="45">
        <f t="shared" si="8"/>
        <v>-57495</v>
      </c>
      <c r="F35" s="45">
        <f t="shared" si="8"/>
        <v>-22708</v>
      </c>
      <c r="G35" s="45">
        <f t="shared" si="8"/>
        <v>-24856</v>
      </c>
      <c r="H35" s="45">
        <f t="shared" si="8"/>
        <v>0</v>
      </c>
      <c r="I35" s="45">
        <f t="shared" si="8"/>
        <v>0</v>
      </c>
      <c r="J35" s="138">
        <f t="shared" si="8"/>
        <v>0</v>
      </c>
    </row>
    <row r="36" spans="2:10" ht="12" thickBot="1" x14ac:dyDescent="0.3">
      <c r="B36" s="146" t="s">
        <v>127</v>
      </c>
      <c r="C36" s="147">
        <f>SUM(C31:C35)</f>
        <v>-10747</v>
      </c>
      <c r="D36" s="147">
        <f t="shared" ref="D36:J36" si="9">SUM(D31:D35)</f>
        <v>53096</v>
      </c>
      <c r="E36" s="147">
        <f t="shared" si="9"/>
        <v>10771</v>
      </c>
      <c r="F36" s="147">
        <f t="shared" si="9"/>
        <v>70533</v>
      </c>
      <c r="G36" s="147">
        <f t="shared" si="9"/>
        <v>38420</v>
      </c>
      <c r="H36" s="147">
        <f t="shared" si="9"/>
        <v>91192.294395066201</v>
      </c>
      <c r="I36" s="147">
        <f t="shared" si="9"/>
        <v>102464.31015444372</v>
      </c>
      <c r="J36" s="148">
        <f t="shared" si="9"/>
        <v>115672.18206689038</v>
      </c>
    </row>
    <row r="37" spans="2:10" x14ac:dyDescent="0.25"/>
    <row r="38" spans="2:10" x14ac:dyDescent="0.25"/>
  </sheetData>
  <mergeCells count="1">
    <mergeCell ref="B2:J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401E7-A69B-4B4E-A050-6E351CD7EE90}">
  <dimension ref="A1:O75"/>
  <sheetViews>
    <sheetView showGridLines="0" tabSelected="1" workbookViewId="0">
      <selection activeCell="G56" sqref="G56"/>
    </sheetView>
  </sheetViews>
  <sheetFormatPr defaultColWidth="0" defaultRowHeight="11.5" zeroHeight="1" x14ac:dyDescent="0.25"/>
  <cols>
    <col min="1" max="1" width="3.90625" style="62" customWidth="1"/>
    <col min="2" max="2" width="31.90625" style="62" bestFit="1" customWidth="1"/>
    <col min="3" max="3" width="12.6328125" style="62" bestFit="1" customWidth="1"/>
    <col min="4" max="7" width="11.7265625" style="62" bestFit="1" customWidth="1"/>
    <col min="8" max="8" width="11.453125" style="62" bestFit="1" customWidth="1"/>
    <col min="9" max="9" width="10.36328125" style="62" bestFit="1" customWidth="1"/>
    <col min="10" max="10" width="13.26953125" style="62" bestFit="1" customWidth="1"/>
    <col min="11" max="11" width="16.26953125" style="62" bestFit="1" customWidth="1"/>
    <col min="12" max="12" width="20.453125" style="62" hidden="1" customWidth="1"/>
    <col min="13" max="13" width="8.7265625" style="62" hidden="1" customWidth="1"/>
    <col min="14" max="14" width="21" style="62" hidden="1" customWidth="1"/>
    <col min="15" max="15" width="0" style="62" hidden="1" customWidth="1"/>
    <col min="16" max="16384" width="8.7265625" style="62" hidden="1"/>
  </cols>
  <sheetData>
    <row r="1" spans="2:15" x14ac:dyDescent="0.25"/>
    <row r="2" spans="2:15" ht="18" x14ac:dyDescent="0.4">
      <c r="B2" s="333" t="s">
        <v>189</v>
      </c>
      <c r="C2" s="333"/>
      <c r="D2" s="333"/>
      <c r="E2" s="333"/>
      <c r="F2" s="333"/>
      <c r="G2" s="333"/>
      <c r="H2" s="333"/>
    </row>
    <row r="3" spans="2:15" ht="12" thickBot="1" x14ac:dyDescent="0.3"/>
    <row r="4" spans="2:15" ht="12" thickBot="1" x14ac:dyDescent="0.3">
      <c r="B4" s="334" t="s">
        <v>153</v>
      </c>
      <c r="C4" s="335"/>
      <c r="D4" s="335"/>
      <c r="E4" s="335"/>
      <c r="F4" s="335"/>
      <c r="G4" s="335"/>
      <c r="H4" s="336"/>
      <c r="I4" s="171"/>
    </row>
    <row r="5" spans="2:15" x14ac:dyDescent="0.25">
      <c r="B5" s="122"/>
      <c r="C5" s="172">
        <v>42064</v>
      </c>
      <c r="D5" s="172">
        <v>42430</v>
      </c>
      <c r="E5" s="172">
        <v>42795</v>
      </c>
      <c r="F5" s="172">
        <v>43160</v>
      </c>
      <c r="G5" s="172">
        <v>43525</v>
      </c>
      <c r="H5" s="122" t="s">
        <v>66</v>
      </c>
    </row>
    <row r="6" spans="2:15" x14ac:dyDescent="0.25">
      <c r="B6" s="165" t="s">
        <v>154</v>
      </c>
      <c r="C6" s="35">
        <f>('Balance Sheet'!C12+'Balance Sheet'!C13)/('Balance Sheet'!C12+'Balance Sheet'!C13+'Balance Sheet'!C19)</f>
        <v>0.70534187755315125</v>
      </c>
      <c r="D6" s="35">
        <f>('Balance Sheet'!D12+'Balance Sheet'!D13)/('Balance Sheet'!D12+'Balance Sheet'!D13+'Balance Sheet'!D19)</f>
        <v>0.72192799475800873</v>
      </c>
      <c r="E6" s="35">
        <f>('Balance Sheet'!E12+'Balance Sheet'!E13)/('Balance Sheet'!E12+'Balance Sheet'!E13+'Balance Sheet'!E19)</f>
        <v>0.7319074939073924</v>
      </c>
      <c r="F6" s="35">
        <f>('Balance Sheet'!F12+'Balance Sheet'!F13)/('Balance Sheet'!F12+'Balance Sheet'!F13+'Balance Sheet'!F19)</f>
        <v>0.73708881694535677</v>
      </c>
      <c r="G6" s="35">
        <f>('Balance Sheet'!G12+'Balance Sheet'!G13)/('Balance Sheet'!G12+'Balance Sheet'!G13+'Balance Sheet'!G19)</f>
        <v>0.70647558756475237</v>
      </c>
      <c r="H6" s="35">
        <f>AVERAGE(C6:G6)</f>
        <v>0.72054835414573226</v>
      </c>
    </row>
    <row r="7" spans="2:15" x14ac:dyDescent="0.25">
      <c r="B7" s="165" t="s">
        <v>155</v>
      </c>
      <c r="C7" s="35">
        <f>1-C6</f>
        <v>0.29465812244684875</v>
      </c>
      <c r="D7" s="35">
        <f t="shared" ref="D7:G7" si="0">1-D6</f>
        <v>0.27807200524199127</v>
      </c>
      <c r="E7" s="35">
        <f t="shared" si="0"/>
        <v>0.2680925060926076</v>
      </c>
      <c r="F7" s="35">
        <f t="shared" si="0"/>
        <v>0.26291118305464323</v>
      </c>
      <c r="G7" s="35">
        <f t="shared" si="0"/>
        <v>0.29352441243524763</v>
      </c>
      <c r="H7" s="35">
        <f t="shared" ref="H7:H10" si="1">AVERAGE(C7:G7)</f>
        <v>0.27945164585426768</v>
      </c>
    </row>
    <row r="8" spans="2:15" s="64" customFormat="1" x14ac:dyDescent="0.25">
      <c r="B8" s="166" t="s">
        <v>156</v>
      </c>
      <c r="C8" s="167">
        <f>$C$18</f>
        <v>0.13863000000000003</v>
      </c>
      <c r="D8" s="167">
        <f>$C$18</f>
        <v>0.13863000000000003</v>
      </c>
      <c r="E8" s="167">
        <f>$C$18</f>
        <v>0.13863000000000003</v>
      </c>
      <c r="F8" s="167">
        <f>$C$18</f>
        <v>0.13863000000000003</v>
      </c>
      <c r="G8" s="167">
        <f>$C$18</f>
        <v>0.13863000000000003</v>
      </c>
      <c r="H8" s="95">
        <f t="shared" si="1"/>
        <v>0.13863000000000003</v>
      </c>
    </row>
    <row r="9" spans="2:15" s="68" customFormat="1" x14ac:dyDescent="0.25">
      <c r="B9" s="168" t="s">
        <v>157</v>
      </c>
      <c r="C9" s="95">
        <f>'P&amp;L'!C21*(1-C10)/'Balance Sheet'!C15</f>
        <v>2.1736392616789325E-2</v>
      </c>
      <c r="D9" s="95">
        <f>'P&amp;L'!D21*(1-D10)/'Balance Sheet'!D15</f>
        <v>2.2060976549456757E-2</v>
      </c>
      <c r="E9" s="95">
        <f>'P&amp;L'!E21*(1-E10)/'Balance Sheet'!E15</f>
        <v>2.4212745957344104E-2</v>
      </c>
      <c r="F9" s="95">
        <f>'P&amp;L'!F21*(1-F10)/'Balance Sheet'!F15</f>
        <v>3.9943134467375851E-2</v>
      </c>
      <c r="G9" s="95">
        <f>'P&amp;L'!G21*(1-G10)/'Balance Sheet'!G15</f>
        <v>5.77969144270013E-2</v>
      </c>
      <c r="H9" s="95">
        <f t="shared" si="1"/>
        <v>3.3150032803593465E-2</v>
      </c>
    </row>
    <row r="10" spans="2:15" x14ac:dyDescent="0.25">
      <c r="B10" s="165" t="s">
        <v>158</v>
      </c>
      <c r="C10" s="169">
        <v>0.3</v>
      </c>
      <c r="D10" s="169">
        <v>0.3</v>
      </c>
      <c r="E10" s="169">
        <v>0.3</v>
      </c>
      <c r="F10" s="169">
        <v>0.3</v>
      </c>
      <c r="G10" s="169">
        <v>0.3</v>
      </c>
      <c r="H10" s="95">
        <f t="shared" si="1"/>
        <v>0.3</v>
      </c>
    </row>
    <row r="11" spans="2:15" s="155" customFormat="1" ht="12" customHeight="1" x14ac:dyDescent="0.25">
      <c r="B11" s="170" t="s">
        <v>153</v>
      </c>
      <c r="C11" s="337">
        <f>(H6*H8)+(H7*H9)</f>
        <v>0.10915344956231005</v>
      </c>
      <c r="D11" s="338"/>
      <c r="E11" s="338"/>
      <c r="F11" s="338"/>
      <c r="G11" s="338"/>
      <c r="H11" s="339"/>
    </row>
    <row r="12" spans="2:15" ht="12" thickBot="1" x14ac:dyDescent="0.3">
      <c r="N12" s="330"/>
      <c r="O12" s="330"/>
    </row>
    <row r="13" spans="2:15" x14ac:dyDescent="0.25">
      <c r="B13" s="340" t="s">
        <v>170</v>
      </c>
      <c r="C13" s="341"/>
      <c r="N13" s="59"/>
      <c r="O13" s="59"/>
    </row>
    <row r="14" spans="2:15" x14ac:dyDescent="0.25">
      <c r="B14" s="114" t="s">
        <v>171</v>
      </c>
      <c r="C14" s="99">
        <v>7.1499999999999994E-2</v>
      </c>
      <c r="N14" s="59"/>
      <c r="O14" s="59"/>
    </row>
    <row r="15" spans="2:15" x14ac:dyDescent="0.25">
      <c r="B15" s="114" t="s">
        <v>172</v>
      </c>
      <c r="C15" s="97">
        <v>0.98</v>
      </c>
      <c r="N15" s="59"/>
      <c r="O15" s="59"/>
    </row>
    <row r="16" spans="2:15" x14ac:dyDescent="0.25">
      <c r="B16" s="189" t="s">
        <v>174</v>
      </c>
      <c r="C16" s="190">
        <v>0.14000000000000001</v>
      </c>
      <c r="N16" s="59"/>
      <c r="O16" s="59"/>
    </row>
    <row r="17" spans="2:15" x14ac:dyDescent="0.25">
      <c r="B17" s="189" t="s">
        <v>173</v>
      </c>
      <c r="C17" s="190">
        <f>C16-C14</f>
        <v>6.8500000000000019E-2</v>
      </c>
      <c r="N17" s="59"/>
      <c r="O17" s="59"/>
    </row>
    <row r="18" spans="2:15" ht="12" thickBot="1" x14ac:dyDescent="0.3">
      <c r="B18" s="191" t="s">
        <v>175</v>
      </c>
      <c r="C18" s="192">
        <f>C14+(C15*C17)</f>
        <v>0.13863000000000003</v>
      </c>
      <c r="N18" s="59"/>
      <c r="O18" s="59"/>
    </row>
    <row r="19" spans="2:15" ht="12" thickBot="1" x14ac:dyDescent="0.3">
      <c r="N19" s="59"/>
      <c r="O19" s="59"/>
    </row>
    <row r="20" spans="2:15" ht="12" thickBot="1" x14ac:dyDescent="0.3">
      <c r="B20" s="342" t="s">
        <v>159</v>
      </c>
      <c r="C20" s="343"/>
      <c r="D20" s="343"/>
      <c r="E20" s="343"/>
      <c r="F20" s="344"/>
      <c r="G20" s="171"/>
      <c r="H20" s="171"/>
      <c r="I20" s="171"/>
      <c r="J20" s="171"/>
      <c r="K20" s="171"/>
      <c r="L20" s="63"/>
    </row>
    <row r="21" spans="2:15" x14ac:dyDescent="0.25">
      <c r="B21" s="174" t="s">
        <v>176</v>
      </c>
      <c r="C21" s="175">
        <v>0.02</v>
      </c>
      <c r="D21" s="175">
        <v>0.02</v>
      </c>
      <c r="E21" s="175">
        <v>0.02</v>
      </c>
      <c r="F21" s="176">
        <v>0.02</v>
      </c>
      <c r="G21" s="154"/>
      <c r="O21" s="156"/>
    </row>
    <row r="22" spans="2:15" x14ac:dyDescent="0.25">
      <c r="B22" s="114" t="s">
        <v>160</v>
      </c>
      <c r="C22" s="95">
        <f>C11+1.5%</f>
        <v>0.12415344956231004</v>
      </c>
      <c r="D22" s="95">
        <f>C11+3%</f>
        <v>0.13915344956231004</v>
      </c>
      <c r="E22" s="95">
        <f>C11+5%</f>
        <v>0.15915344956231003</v>
      </c>
      <c r="F22" s="99">
        <f>C11</f>
        <v>0.10915344956231005</v>
      </c>
      <c r="G22" s="157"/>
      <c r="O22" s="156"/>
    </row>
    <row r="23" spans="2:15" s="63" customFormat="1" x14ac:dyDescent="0.25">
      <c r="B23" s="177" t="s">
        <v>177</v>
      </c>
      <c r="C23" s="173">
        <f>C22-C21</f>
        <v>0.10415344956231004</v>
      </c>
      <c r="D23" s="173">
        <f t="shared" ref="D23:F23" si="2">D22-D21</f>
        <v>0.11915344956231004</v>
      </c>
      <c r="E23" s="173">
        <f t="shared" si="2"/>
        <v>0.13915344956231004</v>
      </c>
      <c r="F23" s="178">
        <f t="shared" si="2"/>
        <v>8.9153449562310041E-2</v>
      </c>
      <c r="G23" s="158"/>
    </row>
    <row r="24" spans="2:15" ht="23.5" thickBot="1" x14ac:dyDescent="0.3">
      <c r="B24" s="179" t="s">
        <v>161</v>
      </c>
      <c r="C24" s="180">
        <f>$J$34/C23</f>
        <v>1110593.8646582151</v>
      </c>
      <c r="D24" s="180">
        <f t="shared" ref="D24:F24" si="3">$J$34/D23</f>
        <v>970783.32596993621</v>
      </c>
      <c r="E24" s="180">
        <f t="shared" si="3"/>
        <v>831256.30324453267</v>
      </c>
      <c r="F24" s="181">
        <f t="shared" si="3"/>
        <v>1297450.4366883324</v>
      </c>
      <c r="G24" s="159"/>
    </row>
    <row r="25" spans="2:15" x14ac:dyDescent="0.25">
      <c r="B25" s="63"/>
      <c r="C25" s="159"/>
      <c r="D25" s="159"/>
      <c r="E25" s="159"/>
      <c r="F25" s="159"/>
      <c r="G25" s="159"/>
      <c r="J25" s="160"/>
      <c r="K25" s="160"/>
    </row>
    <row r="26" spans="2:15" x14ac:dyDescent="0.25">
      <c r="B26" s="161"/>
      <c r="C26" s="162"/>
      <c r="D26" s="163"/>
      <c r="E26" s="163"/>
      <c r="F26" s="163"/>
      <c r="G26" s="163"/>
      <c r="H26" s="163"/>
      <c r="I26" s="163"/>
      <c r="J26" s="163"/>
      <c r="K26" s="163"/>
    </row>
    <row r="27" spans="2:15" ht="12" thickBot="1" x14ac:dyDescent="0.3"/>
    <row r="28" spans="2:15" x14ac:dyDescent="0.25">
      <c r="B28" s="182" t="s">
        <v>124</v>
      </c>
      <c r="C28" s="183">
        <v>42064</v>
      </c>
      <c r="D28" s="183">
        <v>42430</v>
      </c>
      <c r="E28" s="183">
        <v>42795</v>
      </c>
      <c r="F28" s="183">
        <v>43160</v>
      </c>
      <c r="G28" s="183">
        <v>43525</v>
      </c>
      <c r="H28" s="183">
        <v>43891</v>
      </c>
      <c r="I28" s="183">
        <v>44256</v>
      </c>
      <c r="J28" s="184">
        <v>44621</v>
      </c>
    </row>
    <row r="29" spans="2:15" x14ac:dyDescent="0.25">
      <c r="B29" s="185" t="s">
        <v>125</v>
      </c>
      <c r="C29" s="35">
        <f>'FCF, UCFF'!C31</f>
        <v>31835</v>
      </c>
      <c r="D29" s="35">
        <f>'FCF, UCFF'!D31</f>
        <v>38155</v>
      </c>
      <c r="E29" s="35">
        <f>'FCF, UCFF'!E31</f>
        <v>43500</v>
      </c>
      <c r="F29" s="35">
        <f>'FCF, UCFF'!F31</f>
        <v>50381</v>
      </c>
      <c r="G29" s="35">
        <f>'FCF, UCFF'!G31</f>
        <v>57118</v>
      </c>
      <c r="H29" s="35">
        <f>'FCF, UCFF'!H31</f>
        <v>60615.778548463597</v>
      </c>
      <c r="I29" s="35">
        <f>'FCF, UCFF'!I31</f>
        <v>70221.416409095051</v>
      </c>
      <c r="J29" s="107">
        <f>'FCF, UCFF'!J31</f>
        <v>80718.893301313743</v>
      </c>
    </row>
    <row r="30" spans="2:15" x14ac:dyDescent="0.25">
      <c r="B30" s="185" t="s">
        <v>126</v>
      </c>
      <c r="C30" s="35">
        <f>'FCF, UCFF'!C32</f>
        <v>6749</v>
      </c>
      <c r="D30" s="35">
        <f>'FCF, UCFF'!D32</f>
        <v>8284</v>
      </c>
      <c r="E30" s="35">
        <f>'FCF, UCFF'!E32</f>
        <v>9352</v>
      </c>
      <c r="F30" s="35">
        <f>'FCF, UCFF'!F32</f>
        <v>12113</v>
      </c>
      <c r="G30" s="35">
        <f>'FCF, UCFF'!G32</f>
        <v>12204</v>
      </c>
      <c r="H30" s="35">
        <f>'FCF, UCFF'!H32</f>
        <v>12339.478964212843</v>
      </c>
      <c r="I30" s="35">
        <f>'FCF, UCFF'!I32</f>
        <v>14669.746974839787</v>
      </c>
      <c r="J30" s="107">
        <f>'FCF, UCFF'!J32</f>
        <v>17216.369588470639</v>
      </c>
    </row>
    <row r="31" spans="2:15" x14ac:dyDescent="0.25">
      <c r="B31" s="185" t="s">
        <v>119</v>
      </c>
      <c r="C31" s="35">
        <f>'FCF, UCFF'!C33</f>
        <v>8488</v>
      </c>
      <c r="D31" s="35">
        <f>'FCF, UCFF'!D33</f>
        <v>9566</v>
      </c>
      <c r="E31" s="35">
        <f>'FCF, UCFF'!E33</f>
        <v>8465</v>
      </c>
      <c r="F31" s="35">
        <f>'FCF, UCFF'!F33</f>
        <v>9580</v>
      </c>
      <c r="G31" s="35">
        <f>'FCF, UCFF'!G33</f>
        <v>10558</v>
      </c>
      <c r="H31" s="35">
        <f>'FCF, UCFF'!H33</f>
        <v>10656.794093093389</v>
      </c>
      <c r="I31" s="35">
        <f>'FCF, UCFF'!I33</f>
        <v>9497.0392733194349</v>
      </c>
      <c r="J31" s="107">
        <f>'FCF, UCFF'!J33</f>
        <v>8581.7069131802346</v>
      </c>
    </row>
    <row r="32" spans="2:15" x14ac:dyDescent="0.25">
      <c r="B32" s="185" t="s">
        <v>122</v>
      </c>
      <c r="C32" s="35">
        <f>'FCF, UCFF'!C34</f>
        <v>-10137</v>
      </c>
      <c r="D32" s="35">
        <f>'FCF, UCFF'!D34</f>
        <v>54630</v>
      </c>
      <c r="E32" s="35">
        <f>'FCF, UCFF'!E34</f>
        <v>6949</v>
      </c>
      <c r="F32" s="35">
        <f>'FCF, UCFF'!F34</f>
        <v>21167</v>
      </c>
      <c r="G32" s="35">
        <f>'FCF, UCFF'!G34</f>
        <v>-16604</v>
      </c>
      <c r="H32" s="35">
        <f>'FCF, UCFF'!H34</f>
        <v>7580.2427892963751</v>
      </c>
      <c r="I32" s="35">
        <f>'FCF, UCFF'!I34</f>
        <v>8076.1074971894559</v>
      </c>
      <c r="J32" s="107">
        <f>'FCF, UCFF'!J34</f>
        <v>9155.2122639257577</v>
      </c>
    </row>
    <row r="33" spans="2:10" x14ac:dyDescent="0.25">
      <c r="B33" s="185" t="s">
        <v>141</v>
      </c>
      <c r="C33" s="35">
        <f>'FCF, UCFF'!C35</f>
        <v>-47682</v>
      </c>
      <c r="D33" s="35">
        <f>'FCF, UCFF'!D35</f>
        <v>-57539</v>
      </c>
      <c r="E33" s="35">
        <f>'FCF, UCFF'!E35</f>
        <v>-57495</v>
      </c>
      <c r="F33" s="35">
        <f>'FCF, UCFF'!F35</f>
        <v>-22708</v>
      </c>
      <c r="G33" s="35">
        <f>'FCF, UCFF'!G35</f>
        <v>-24856</v>
      </c>
      <c r="H33" s="35">
        <f>'FCF, UCFF'!H35</f>
        <v>0</v>
      </c>
      <c r="I33" s="35">
        <f>'FCF, UCFF'!I35</f>
        <v>0</v>
      </c>
      <c r="J33" s="107">
        <f>'FCF, UCFF'!J35</f>
        <v>0</v>
      </c>
    </row>
    <row r="34" spans="2:10" s="63" customFormat="1" ht="12" thickBot="1" x14ac:dyDescent="0.3">
      <c r="B34" s="186" t="s">
        <v>127</v>
      </c>
      <c r="C34" s="187">
        <f>'FCF, UCFF'!C36</f>
        <v>-10747</v>
      </c>
      <c r="D34" s="187">
        <f>'FCF, UCFF'!D36</f>
        <v>53096</v>
      </c>
      <c r="E34" s="187">
        <f>'FCF, UCFF'!E36</f>
        <v>10771</v>
      </c>
      <c r="F34" s="187">
        <f>'FCF, UCFF'!F36</f>
        <v>70533</v>
      </c>
      <c r="G34" s="187">
        <f>'FCF, UCFF'!G36</f>
        <v>38420</v>
      </c>
      <c r="H34" s="187">
        <f>'FCF, UCFF'!H36</f>
        <v>91192.294395066201</v>
      </c>
      <c r="I34" s="187">
        <f>'FCF, UCFF'!I36</f>
        <v>102464.31015444372</v>
      </c>
      <c r="J34" s="188">
        <f>'FCF, UCFF'!J36</f>
        <v>115672.18206689038</v>
      </c>
    </row>
    <row r="35" spans="2:10" x14ac:dyDescent="0.25"/>
    <row r="36" spans="2:10" x14ac:dyDescent="0.25">
      <c r="B36" s="331" t="s">
        <v>162</v>
      </c>
      <c r="C36" s="331"/>
    </row>
    <row r="37" spans="2:10" x14ac:dyDescent="0.25">
      <c r="B37" s="65" t="s">
        <v>163</v>
      </c>
      <c r="C37" s="66">
        <f>C22</f>
        <v>0.12415344956231004</v>
      </c>
    </row>
    <row r="38" spans="2:10" x14ac:dyDescent="0.25">
      <c r="B38" s="63" t="s">
        <v>164</v>
      </c>
      <c r="C38" s="64">
        <f>($H$34/(1+C37))+($I$34/(1+C37)^2)+($J$34/(1+C37)^3)+(C24/(1+C37)^3)</f>
        <v>1025395.2971743029</v>
      </c>
    </row>
    <row r="39" spans="2:10" x14ac:dyDescent="0.25">
      <c r="B39" s="63"/>
      <c r="C39" s="67"/>
    </row>
    <row r="40" spans="2:10" x14ac:dyDescent="0.25">
      <c r="B40" s="331" t="s">
        <v>165</v>
      </c>
      <c r="C40" s="331"/>
    </row>
    <row r="41" spans="2:10" x14ac:dyDescent="0.25">
      <c r="B41" s="65" t="s">
        <v>166</v>
      </c>
      <c r="C41" s="68">
        <f>D22</f>
        <v>0.13915344956231004</v>
      </c>
    </row>
    <row r="42" spans="2:10" x14ac:dyDescent="0.25">
      <c r="B42" s="63" t="s">
        <v>164</v>
      </c>
      <c r="C42" s="64">
        <f>($H$34/(1+C41))+($I$34/(1+C41)^2)+($J$34/(1+C41)^3)+(D24/(1+C41)^3)</f>
        <v>893975.5021134516</v>
      </c>
    </row>
    <row r="43" spans="2:10" x14ac:dyDescent="0.25">
      <c r="B43" s="63"/>
      <c r="C43" s="164"/>
    </row>
    <row r="44" spans="2:10" x14ac:dyDescent="0.25">
      <c r="B44" s="331" t="s">
        <v>167</v>
      </c>
      <c r="C44" s="331"/>
    </row>
    <row r="45" spans="2:10" x14ac:dyDescent="0.25">
      <c r="B45" s="65" t="s">
        <v>168</v>
      </c>
      <c r="C45" s="68">
        <f>E22</f>
        <v>0.15915344956231003</v>
      </c>
    </row>
    <row r="46" spans="2:10" x14ac:dyDescent="0.25">
      <c r="B46" s="63" t="s">
        <v>164</v>
      </c>
      <c r="C46" s="64">
        <f>($H$34/(1+C45))+($I$34/(1+C45)^2)+($J$34/(1+C45)^3)+(E24/(1+C45)^3)</f>
        <v>762917.52740557364</v>
      </c>
    </row>
    <row r="47" spans="2:10" x14ac:dyDescent="0.25"/>
    <row r="48" spans="2:10" ht="12" thickBot="1" x14ac:dyDescent="0.3">
      <c r="B48" s="331" t="s">
        <v>179</v>
      </c>
      <c r="C48" s="331"/>
    </row>
    <row r="49" spans="2:7" x14ac:dyDescent="0.25">
      <c r="B49" s="193" t="s">
        <v>163</v>
      </c>
      <c r="C49" s="194">
        <f>C11</f>
        <v>0.10915344956231005</v>
      </c>
    </row>
    <row r="50" spans="2:7" x14ac:dyDescent="0.25">
      <c r="B50" s="195" t="s">
        <v>164</v>
      </c>
      <c r="C50" s="105">
        <f>($H$34/(1+C49))+($I$34/(1+C49)^2)+($J$34/(1+C49)^3)+(F24/(1+C49)^3)</f>
        <v>1201138.0205068935</v>
      </c>
      <c r="D50" s="62" t="s">
        <v>181</v>
      </c>
    </row>
    <row r="51" spans="2:7" x14ac:dyDescent="0.25">
      <c r="B51" s="196"/>
      <c r="C51" s="105"/>
    </row>
    <row r="52" spans="2:7" x14ac:dyDescent="0.25">
      <c r="B52" s="196" t="s">
        <v>180</v>
      </c>
      <c r="C52" s="197">
        <v>6338693823</v>
      </c>
    </row>
    <row r="53" spans="2:7" s="63" customFormat="1" x14ac:dyDescent="0.25">
      <c r="B53" s="195" t="s">
        <v>182</v>
      </c>
      <c r="C53" s="198">
        <f>C50*10^7/C52</f>
        <v>1894.9298610205069</v>
      </c>
    </row>
    <row r="54" spans="2:7" s="63" customFormat="1" ht="12" thickBot="1" x14ac:dyDescent="0.3">
      <c r="B54" s="199" t="s">
        <v>183</v>
      </c>
      <c r="C54" s="200">
        <v>1741.65</v>
      </c>
    </row>
    <row r="55" spans="2:7" x14ac:dyDescent="0.25">
      <c r="C55" s="64"/>
    </row>
    <row r="56" spans="2:7" s="63" customFormat="1" x14ac:dyDescent="0.25">
      <c r="B56" s="332" t="s">
        <v>184</v>
      </c>
      <c r="C56" s="332"/>
      <c r="D56" s="332"/>
      <c r="E56" s="332"/>
    </row>
    <row r="57" spans="2:7" s="63" customFormat="1" x14ac:dyDescent="0.25">
      <c r="B57" s="314"/>
      <c r="C57" s="314"/>
      <c r="D57" s="314"/>
      <c r="E57" s="314"/>
    </row>
    <row r="58" spans="2:7" s="63" customFormat="1" x14ac:dyDescent="0.25">
      <c r="B58" s="314" t="s">
        <v>223</v>
      </c>
      <c r="C58" s="314"/>
      <c r="D58" s="314"/>
      <c r="E58" s="314"/>
    </row>
    <row r="59" spans="2:7" s="63" customFormat="1" x14ac:dyDescent="0.25">
      <c r="B59" s="315" t="s">
        <v>224</v>
      </c>
      <c r="C59" s="314"/>
      <c r="D59" s="314"/>
      <c r="E59" s="314"/>
    </row>
    <row r="60" spans="2:7" s="63" customFormat="1" x14ac:dyDescent="0.25">
      <c r="B60" s="315" t="s">
        <v>225</v>
      </c>
      <c r="C60" s="314"/>
      <c r="D60" s="314"/>
      <c r="E60" s="314"/>
    </row>
    <row r="61" spans="2:7" s="63" customFormat="1" x14ac:dyDescent="0.25">
      <c r="B61" s="315" t="s">
        <v>226</v>
      </c>
      <c r="C61" s="314"/>
      <c r="D61" s="314"/>
      <c r="E61" s="314"/>
    </row>
    <row r="62" spans="2:7" s="63" customFormat="1" x14ac:dyDescent="0.25">
      <c r="B62" s="315"/>
      <c r="C62" s="314"/>
      <c r="D62" s="314"/>
      <c r="E62" s="314"/>
    </row>
    <row r="63" spans="2:7" x14ac:dyDescent="0.25">
      <c r="B63" s="158"/>
      <c r="C63" s="64"/>
    </row>
    <row r="64" spans="2:7" x14ac:dyDescent="0.25">
      <c r="B64" s="316"/>
      <c r="D64" s="154"/>
      <c r="E64" s="154"/>
      <c r="F64" s="154"/>
      <c r="G64" s="154"/>
    </row>
    <row r="65" hidden="1" x14ac:dyDescent="0.25"/>
    <row r="66" hidden="1" x14ac:dyDescent="0.25"/>
    <row r="67" s="68" customFormat="1" hidden="1" x14ac:dyDescent="0.25"/>
    <row r="68" s="68" customFormat="1" hidden="1" x14ac:dyDescent="0.25"/>
    <row r="69" s="68" customFormat="1" hidden="1" x14ac:dyDescent="0.25"/>
    <row r="70" hidden="1" x14ac:dyDescent="0.25"/>
    <row r="71" hidden="1" x14ac:dyDescent="0.25"/>
    <row r="72" hidden="1" x14ac:dyDescent="0.25"/>
    <row r="73" hidden="1" x14ac:dyDescent="0.25"/>
    <row r="74" hidden="1" x14ac:dyDescent="0.25"/>
    <row r="75" hidden="1" x14ac:dyDescent="0.25"/>
  </sheetData>
  <mergeCells count="11">
    <mergeCell ref="N12:O12"/>
    <mergeCell ref="B48:C48"/>
    <mergeCell ref="B56:E56"/>
    <mergeCell ref="B2:H2"/>
    <mergeCell ref="B4:H4"/>
    <mergeCell ref="C11:H11"/>
    <mergeCell ref="B13:C13"/>
    <mergeCell ref="B20:F20"/>
    <mergeCell ref="B36:C36"/>
    <mergeCell ref="B40:C40"/>
    <mergeCell ref="B44:C4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04D0C-0F9F-4407-B6FA-68DD04F3C2D2}">
  <dimension ref="A1:L14"/>
  <sheetViews>
    <sheetView showGridLines="0" workbookViewId="0">
      <selection activeCell="B2" sqref="B2"/>
    </sheetView>
  </sheetViews>
  <sheetFormatPr defaultColWidth="0" defaultRowHeight="14" zeroHeight="1" x14ac:dyDescent="0.3"/>
  <cols>
    <col min="1" max="1" width="8.7265625" style="201" customWidth="1"/>
    <col min="2" max="2" width="27.54296875" style="201" customWidth="1"/>
    <col min="3" max="10" width="12" style="201" bestFit="1" customWidth="1"/>
    <col min="11" max="12" width="8.7265625" style="201" customWidth="1"/>
    <col min="13" max="16384" width="8.7265625" style="201" hidden="1"/>
  </cols>
  <sheetData>
    <row r="1" spans="2:10" x14ac:dyDescent="0.3"/>
    <row r="2" spans="2:10" ht="18" x14ac:dyDescent="0.4">
      <c r="B2" s="205" t="s">
        <v>190</v>
      </c>
    </row>
    <row r="3" spans="2:10" ht="18.5" thickBot="1" x14ac:dyDescent="0.45">
      <c r="B3" s="205"/>
    </row>
    <row r="4" spans="2:10" x14ac:dyDescent="0.3">
      <c r="B4" s="118"/>
      <c r="C4" s="119">
        <v>42094</v>
      </c>
      <c r="D4" s="119">
        <v>42460</v>
      </c>
      <c r="E4" s="119">
        <v>42825</v>
      </c>
      <c r="F4" s="119">
        <v>43190</v>
      </c>
      <c r="G4" s="119">
        <v>43555</v>
      </c>
      <c r="H4" s="119">
        <v>43921</v>
      </c>
      <c r="I4" s="119">
        <v>44286</v>
      </c>
      <c r="J4" s="120">
        <v>44651</v>
      </c>
    </row>
    <row r="5" spans="2:10" x14ac:dyDescent="0.3">
      <c r="B5" s="106"/>
      <c r="C5" s="116"/>
      <c r="D5" s="116"/>
      <c r="E5" s="116"/>
      <c r="F5" s="116"/>
      <c r="G5" s="116"/>
      <c r="H5" s="135" t="s">
        <v>72</v>
      </c>
      <c r="I5" s="135" t="s">
        <v>72</v>
      </c>
      <c r="J5" s="136" t="s">
        <v>72</v>
      </c>
    </row>
    <row r="6" spans="2:10" x14ac:dyDescent="0.3">
      <c r="B6" s="108" t="s">
        <v>28</v>
      </c>
      <c r="C6" s="11">
        <v>3236</v>
      </c>
      <c r="D6" s="11">
        <v>3240</v>
      </c>
      <c r="E6" s="11">
        <v>3251</v>
      </c>
      <c r="F6" s="11">
        <v>6335</v>
      </c>
      <c r="G6" s="11">
        <v>6339</v>
      </c>
      <c r="H6" s="35">
        <v>6339</v>
      </c>
      <c r="I6" s="35">
        <v>6339</v>
      </c>
      <c r="J6" s="107">
        <v>6339</v>
      </c>
    </row>
    <row r="7" spans="2:10" x14ac:dyDescent="0.3">
      <c r="B7" s="108" t="s">
        <v>29</v>
      </c>
      <c r="C7" s="11">
        <v>212923</v>
      </c>
      <c r="D7" s="11">
        <v>236936</v>
      </c>
      <c r="E7" s="11">
        <v>285058</v>
      </c>
      <c r="F7" s="11">
        <v>308297</v>
      </c>
      <c r="G7" s="11">
        <v>398983</v>
      </c>
      <c r="H7" s="35">
        <v>437508.29958425078</v>
      </c>
      <c r="I7" s="35">
        <v>483308.96901850606</v>
      </c>
      <c r="J7" s="107">
        <v>537060.49273134919</v>
      </c>
    </row>
    <row r="8" spans="2:10" x14ac:dyDescent="0.3">
      <c r="B8" s="108" t="s">
        <v>31</v>
      </c>
      <c r="C8" s="17">
        <v>17</v>
      </c>
      <c r="D8" s="17">
        <v>8</v>
      </c>
      <c r="E8" s="17">
        <v>4</v>
      </c>
      <c r="F8" s="17">
        <v>15</v>
      </c>
      <c r="G8" s="17">
        <v>0</v>
      </c>
      <c r="H8" s="35">
        <v>0</v>
      </c>
      <c r="I8" s="35">
        <v>0</v>
      </c>
      <c r="J8" s="107">
        <v>0</v>
      </c>
    </row>
    <row r="9" spans="2:10" s="202" customFormat="1" x14ac:dyDescent="0.3">
      <c r="B9" s="106" t="s">
        <v>144</v>
      </c>
      <c r="C9" s="50">
        <f>SUM(C6:C8)</f>
        <v>216176</v>
      </c>
      <c r="D9" s="50">
        <f t="shared" ref="D9:J9" si="0">SUM(D6:D8)</f>
        <v>240184</v>
      </c>
      <c r="E9" s="50">
        <f t="shared" si="0"/>
        <v>288313</v>
      </c>
      <c r="F9" s="50">
        <f t="shared" si="0"/>
        <v>314647</v>
      </c>
      <c r="G9" s="50">
        <f t="shared" si="0"/>
        <v>405322</v>
      </c>
      <c r="H9" s="50">
        <f t="shared" si="0"/>
        <v>443847.29958425078</v>
      </c>
      <c r="I9" s="50">
        <f t="shared" si="0"/>
        <v>489647.96901850606</v>
      </c>
      <c r="J9" s="206">
        <f t="shared" si="0"/>
        <v>543399.49273134919</v>
      </c>
    </row>
    <row r="10" spans="2:10" x14ac:dyDescent="0.3">
      <c r="B10" s="108" t="s">
        <v>142</v>
      </c>
      <c r="C10" s="11">
        <v>22719</v>
      </c>
      <c r="D10" s="11">
        <v>27417</v>
      </c>
      <c r="E10" s="11">
        <v>31425</v>
      </c>
      <c r="F10" s="11">
        <v>33612</v>
      </c>
      <c r="G10" s="11">
        <v>35163</v>
      </c>
      <c r="H10" s="11">
        <v>38525.299584250752</v>
      </c>
      <c r="I10" s="11">
        <v>45800.669434255266</v>
      </c>
      <c r="J10" s="79">
        <v>53751.523712843104</v>
      </c>
    </row>
    <row r="11" spans="2:10" x14ac:dyDescent="0.3">
      <c r="B11" s="108" t="s">
        <v>145</v>
      </c>
      <c r="C11" s="51">
        <f>C9-C10</f>
        <v>193457</v>
      </c>
      <c r="D11" s="51">
        <f t="shared" ref="D11:J11" si="1">D9-D10</f>
        <v>212767</v>
      </c>
      <c r="E11" s="51">
        <f t="shared" si="1"/>
        <v>256888</v>
      </c>
      <c r="F11" s="51">
        <f t="shared" si="1"/>
        <v>281035</v>
      </c>
      <c r="G11" s="51">
        <f t="shared" si="1"/>
        <v>370159</v>
      </c>
      <c r="H11" s="51">
        <f t="shared" si="1"/>
        <v>405322</v>
      </c>
      <c r="I11" s="51">
        <f t="shared" si="1"/>
        <v>443847.29958425078</v>
      </c>
      <c r="J11" s="207">
        <f t="shared" si="1"/>
        <v>489647.96901850612</v>
      </c>
    </row>
    <row r="12" spans="2:10" s="203" customFormat="1" ht="23.5" thickBot="1" x14ac:dyDescent="0.4">
      <c r="B12" s="179" t="s">
        <v>146</v>
      </c>
      <c r="C12" s="208">
        <v>3634</v>
      </c>
      <c r="D12" s="208">
        <f t="shared" ref="D12:I12" si="2">C9-D11</f>
        <v>3409</v>
      </c>
      <c r="E12" s="208">
        <f t="shared" si="2"/>
        <v>-16704</v>
      </c>
      <c r="F12" s="208">
        <f t="shared" si="2"/>
        <v>7278</v>
      </c>
      <c r="G12" s="208">
        <f t="shared" si="2"/>
        <v>-55512</v>
      </c>
      <c r="H12" s="208">
        <f t="shared" si="2"/>
        <v>0</v>
      </c>
      <c r="I12" s="208">
        <f t="shared" si="2"/>
        <v>0</v>
      </c>
      <c r="J12" s="209">
        <f>I9-J11</f>
        <v>0</v>
      </c>
    </row>
    <row r="13" spans="2:10" x14ac:dyDescent="0.3"/>
    <row r="14" spans="2:10" x14ac:dyDescent="0.3">
      <c r="D14" s="204"/>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ABB0A-AFBD-4F23-8E5E-3623E92B1F2A}">
  <dimension ref="A1:J19"/>
  <sheetViews>
    <sheetView showGridLines="0" workbookViewId="0">
      <selection activeCell="B18" sqref="B18"/>
    </sheetView>
  </sheetViews>
  <sheetFormatPr defaultColWidth="0" defaultRowHeight="14.5" zeroHeight="1" x14ac:dyDescent="0.35"/>
  <cols>
    <col min="1" max="1" width="4.36328125" customWidth="1"/>
    <col min="2" max="2" width="30.36328125" bestFit="1" customWidth="1"/>
    <col min="3" max="3" width="10.54296875" customWidth="1"/>
    <col min="4" max="4" width="9" bestFit="1" customWidth="1"/>
    <col min="5" max="5" width="9.7265625" bestFit="1" customWidth="1"/>
    <col min="6" max="6" width="9" bestFit="1" customWidth="1"/>
    <col min="7" max="7" width="10.36328125" bestFit="1" customWidth="1"/>
    <col min="8" max="10" width="8.7265625" customWidth="1"/>
    <col min="11" max="16384" width="8.7265625" hidden="1"/>
  </cols>
  <sheetData>
    <row r="1" spans="2:9" x14ac:dyDescent="0.35"/>
    <row r="2" spans="2:9" ht="18" x14ac:dyDescent="0.4">
      <c r="B2" s="348" t="s">
        <v>73</v>
      </c>
      <c r="C2" s="348"/>
      <c r="D2" s="348"/>
      <c r="E2" s="348"/>
      <c r="F2" s="348"/>
      <c r="G2" s="348"/>
      <c r="H2" s="348"/>
      <c r="I2" s="2"/>
    </row>
    <row r="3" spans="2:9" ht="15" thickBot="1" x14ac:dyDescent="0.4">
      <c r="B3" s="2"/>
      <c r="C3" s="2"/>
      <c r="D3" s="2"/>
      <c r="E3" s="2"/>
      <c r="F3" s="2"/>
      <c r="G3" s="2"/>
      <c r="H3" s="2"/>
      <c r="I3" s="2"/>
    </row>
    <row r="4" spans="2:9" x14ac:dyDescent="0.35">
      <c r="B4" s="174"/>
      <c r="C4" s="345">
        <v>44256</v>
      </c>
      <c r="D4" s="346"/>
      <c r="E4" s="345">
        <v>43891</v>
      </c>
      <c r="F4" s="346"/>
      <c r="G4" s="345">
        <v>43525</v>
      </c>
      <c r="H4" s="347"/>
      <c r="I4" s="2"/>
    </row>
    <row r="5" spans="2:9" x14ac:dyDescent="0.35">
      <c r="B5" s="114"/>
      <c r="C5" s="60" t="s">
        <v>79</v>
      </c>
      <c r="D5" s="61" t="s">
        <v>80</v>
      </c>
      <c r="E5" s="60" t="s">
        <v>79</v>
      </c>
      <c r="F5" s="61" t="s">
        <v>80</v>
      </c>
      <c r="G5" s="60" t="s">
        <v>79</v>
      </c>
      <c r="H5" s="210" t="s">
        <v>80</v>
      </c>
      <c r="I5" s="2"/>
    </row>
    <row r="6" spans="2:9" x14ac:dyDescent="0.35">
      <c r="B6" s="114"/>
      <c r="C6" s="16"/>
      <c r="D6" s="16"/>
      <c r="E6" s="16"/>
      <c r="F6" s="16"/>
      <c r="G6" s="16"/>
      <c r="H6" s="97"/>
      <c r="I6" s="2"/>
    </row>
    <row r="7" spans="2:9" x14ac:dyDescent="0.35">
      <c r="B7" s="114" t="s">
        <v>74</v>
      </c>
      <c r="C7" s="16"/>
      <c r="D7" s="16"/>
      <c r="E7" s="16"/>
      <c r="F7" s="16"/>
      <c r="G7" s="16"/>
      <c r="H7" s="97"/>
      <c r="I7" s="2"/>
    </row>
    <row r="8" spans="2:9" x14ac:dyDescent="0.35">
      <c r="B8" s="114" t="s">
        <v>75</v>
      </c>
      <c r="C8" s="52">
        <v>0</v>
      </c>
      <c r="D8" s="52">
        <v>0</v>
      </c>
      <c r="E8" s="52">
        <v>0</v>
      </c>
      <c r="F8" s="53">
        <v>500</v>
      </c>
      <c r="G8" s="53">
        <v>500</v>
      </c>
      <c r="H8" s="211">
        <v>0</v>
      </c>
      <c r="I8" s="2"/>
    </row>
    <row r="9" spans="2:9" x14ac:dyDescent="0.35">
      <c r="B9" s="114"/>
      <c r="C9" s="52"/>
      <c r="D9" s="52"/>
      <c r="E9" s="52"/>
      <c r="F9" s="52"/>
      <c r="G9" s="53"/>
      <c r="H9" s="211"/>
      <c r="I9" s="2"/>
    </row>
    <row r="10" spans="2:9" x14ac:dyDescent="0.35">
      <c r="B10" s="114" t="s">
        <v>76</v>
      </c>
      <c r="C10" s="52"/>
      <c r="D10" s="52"/>
      <c r="E10" s="52"/>
      <c r="F10" s="52"/>
      <c r="G10" s="53"/>
      <c r="H10" s="211"/>
      <c r="I10" s="2"/>
    </row>
    <row r="11" spans="2:9" x14ac:dyDescent="0.35">
      <c r="B11" s="114" t="s">
        <v>75</v>
      </c>
      <c r="C11" s="53">
        <v>20000</v>
      </c>
      <c r="D11" s="53">
        <v>7000</v>
      </c>
      <c r="E11" s="53">
        <v>27000</v>
      </c>
      <c r="F11" s="53">
        <v>10000</v>
      </c>
      <c r="G11" s="53">
        <v>37000</v>
      </c>
      <c r="H11" s="211">
        <v>0</v>
      </c>
      <c r="I11" s="2"/>
    </row>
    <row r="12" spans="2:9" x14ac:dyDescent="0.35">
      <c r="B12" s="114" t="s">
        <v>77</v>
      </c>
      <c r="C12" s="53">
        <f>E12-D12</f>
        <v>21797</v>
      </c>
      <c r="D12" s="53">
        <v>571</v>
      </c>
      <c r="E12" s="53">
        <f>G12-F12</f>
        <v>22368</v>
      </c>
      <c r="F12" s="53">
        <v>571</v>
      </c>
      <c r="G12" s="53">
        <v>22939</v>
      </c>
      <c r="H12" s="211">
        <v>555</v>
      </c>
      <c r="I12" s="2"/>
    </row>
    <row r="13" spans="2:9" x14ac:dyDescent="0.35">
      <c r="B13" s="114" t="s">
        <v>78</v>
      </c>
      <c r="C13" s="53">
        <f>E13-D13</f>
        <v>38647.199284485716</v>
      </c>
      <c r="D13" s="53">
        <v>9505.9003577571384</v>
      </c>
      <c r="E13" s="53">
        <f>G13-F13</f>
        <v>48153.099642242858</v>
      </c>
      <c r="F13" s="53">
        <v>9505.9003577571384</v>
      </c>
      <c r="G13" s="53">
        <v>57659</v>
      </c>
      <c r="H13" s="211">
        <v>3970</v>
      </c>
      <c r="I13" s="2"/>
    </row>
    <row r="14" spans="2:9" x14ac:dyDescent="0.35">
      <c r="B14" s="114"/>
      <c r="C14" s="53">
        <f t="shared" ref="C14:H14" si="0">SUM(C11:C13)</f>
        <v>80444.199284485716</v>
      </c>
      <c r="D14" s="53">
        <f t="shared" si="0"/>
        <v>17076.900357757138</v>
      </c>
      <c r="E14" s="53">
        <f t="shared" si="0"/>
        <v>97521.099642242858</v>
      </c>
      <c r="F14" s="53">
        <f t="shared" si="0"/>
        <v>20076.900357757138</v>
      </c>
      <c r="G14" s="53">
        <f t="shared" si="0"/>
        <v>117598</v>
      </c>
      <c r="H14" s="211">
        <f t="shared" si="0"/>
        <v>4525</v>
      </c>
      <c r="I14" s="2"/>
    </row>
    <row r="15" spans="2:9" x14ac:dyDescent="0.35">
      <c r="B15" s="114"/>
      <c r="C15" s="52"/>
      <c r="D15" s="52"/>
      <c r="E15" s="52"/>
      <c r="F15" s="52"/>
      <c r="G15" s="53"/>
      <c r="H15" s="211"/>
      <c r="I15" s="2"/>
    </row>
    <row r="16" spans="2:9" ht="15" thickBot="1" x14ac:dyDescent="0.4">
      <c r="B16" s="212" t="s">
        <v>147</v>
      </c>
      <c r="C16" s="213">
        <f t="shared" ref="C16:H16" si="1">C8+C14</f>
        <v>80444.199284485716</v>
      </c>
      <c r="D16" s="213">
        <f t="shared" si="1"/>
        <v>17076.900357757138</v>
      </c>
      <c r="E16" s="213">
        <f t="shared" si="1"/>
        <v>97521.099642242858</v>
      </c>
      <c r="F16" s="213">
        <f t="shared" si="1"/>
        <v>20576.900357757138</v>
      </c>
      <c r="G16" s="213">
        <f t="shared" si="1"/>
        <v>118098</v>
      </c>
      <c r="H16" s="214">
        <f t="shared" si="1"/>
        <v>4525</v>
      </c>
      <c r="I16" s="2"/>
    </row>
    <row r="17" spans="2:9" x14ac:dyDescent="0.35">
      <c r="B17" s="2"/>
      <c r="C17" s="2"/>
      <c r="D17" s="2"/>
      <c r="E17" s="2"/>
      <c r="F17" s="2"/>
      <c r="G17" s="2"/>
      <c r="H17" s="2"/>
      <c r="I17" s="2"/>
    </row>
    <row r="18" spans="2:9" x14ac:dyDescent="0.35">
      <c r="B18" s="2" t="s">
        <v>191</v>
      </c>
    </row>
    <row r="19" spans="2:9" x14ac:dyDescent="0.35"/>
  </sheetData>
  <mergeCells count="4">
    <mergeCell ref="C4:D4"/>
    <mergeCell ref="E4:F4"/>
    <mergeCell ref="G4:H4"/>
    <mergeCell ref="B2:H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0B2D9-136B-4BD1-8B85-DC3A4DAA09DF}">
  <dimension ref="A1:U41"/>
  <sheetViews>
    <sheetView showGridLines="0" topLeftCell="A12" workbookViewId="0">
      <selection activeCell="I34" sqref="I34"/>
    </sheetView>
  </sheetViews>
  <sheetFormatPr defaultColWidth="0" defaultRowHeight="11.5" zeroHeight="1" x14ac:dyDescent="0.35"/>
  <cols>
    <col min="1" max="1" width="4.36328125" style="32" customWidth="1"/>
    <col min="2" max="2" width="20.81640625" style="32" customWidth="1"/>
    <col min="3" max="9" width="12" style="32" bestFit="1" customWidth="1"/>
    <col min="10" max="10" width="15.90625" style="32" bestFit="1" customWidth="1"/>
    <col min="11" max="11" width="12" style="32" bestFit="1" customWidth="1"/>
    <col min="12" max="12" width="10.36328125" style="32" bestFit="1" customWidth="1"/>
    <col min="13" max="13" width="8.7265625" style="32" customWidth="1"/>
    <col min="14" max="14" width="8.08984375" style="33" bestFit="1" customWidth="1"/>
    <col min="15" max="15" width="10.36328125" style="33" bestFit="1" customWidth="1"/>
    <col min="16" max="16" width="12.1796875" style="33" bestFit="1" customWidth="1"/>
    <col min="17" max="17" width="10.36328125" style="33" bestFit="1" customWidth="1"/>
    <col min="18" max="18" width="12.1796875" style="33" bestFit="1" customWidth="1"/>
    <col min="19" max="19" width="10.36328125" style="33" bestFit="1" customWidth="1"/>
    <col min="20" max="20" width="12.1796875" style="33" bestFit="1" customWidth="1"/>
    <col min="21" max="21" width="8.7265625" style="32" customWidth="1"/>
    <col min="22" max="16384" width="8.7265625" style="32" hidden="1"/>
  </cols>
  <sheetData>
    <row r="1" spans="2:20" x14ac:dyDescent="0.35"/>
    <row r="2" spans="2:20" ht="18" x14ac:dyDescent="0.35">
      <c r="B2" s="286" t="s">
        <v>194</v>
      </c>
    </row>
    <row r="3" spans="2:20" ht="12" thickBot="1" x14ac:dyDescent="0.4"/>
    <row r="4" spans="2:20" ht="13.5" thickBot="1" x14ac:dyDescent="0.4">
      <c r="B4" s="229"/>
      <c r="C4" s="349" t="s">
        <v>192</v>
      </c>
      <c r="D4" s="349"/>
      <c r="E4" s="349"/>
      <c r="F4" s="349"/>
      <c r="G4" s="349" t="s">
        <v>119</v>
      </c>
      <c r="H4" s="349"/>
      <c r="I4" s="349"/>
      <c r="J4" s="349"/>
      <c r="K4" s="349" t="s">
        <v>193</v>
      </c>
      <c r="L4" s="350"/>
    </row>
    <row r="5" spans="2:20" s="34" customFormat="1" ht="57.5" x14ac:dyDescent="0.35">
      <c r="B5" s="256"/>
      <c r="C5" s="257" t="s">
        <v>81</v>
      </c>
      <c r="D5" s="257" t="s">
        <v>82</v>
      </c>
      <c r="E5" s="257" t="s">
        <v>83</v>
      </c>
      <c r="F5" s="257" t="s">
        <v>84</v>
      </c>
      <c r="G5" s="257" t="s">
        <v>81</v>
      </c>
      <c r="H5" s="258" t="s">
        <v>85</v>
      </c>
      <c r="I5" s="257" t="s">
        <v>83</v>
      </c>
      <c r="J5" s="257" t="s">
        <v>84</v>
      </c>
      <c r="K5" s="257" t="s">
        <v>84</v>
      </c>
      <c r="L5" s="259" t="s">
        <v>86</v>
      </c>
      <c r="M5" s="260"/>
      <c r="N5" s="261" t="s">
        <v>87</v>
      </c>
      <c r="O5" s="262" t="s">
        <v>88</v>
      </c>
      <c r="P5" s="262" t="s">
        <v>89</v>
      </c>
      <c r="Q5" s="262" t="s">
        <v>90</v>
      </c>
      <c r="R5" s="262" t="s">
        <v>91</v>
      </c>
      <c r="S5" s="262" t="s">
        <v>88</v>
      </c>
      <c r="T5" s="263" t="s">
        <v>89</v>
      </c>
    </row>
    <row r="6" spans="2:20" ht="12" customHeight="1" x14ac:dyDescent="0.25">
      <c r="B6" s="230" t="s">
        <v>92</v>
      </c>
      <c r="C6" s="219"/>
      <c r="D6" s="219"/>
      <c r="E6" s="219"/>
      <c r="F6" s="220"/>
      <c r="G6" s="221"/>
      <c r="H6" s="221"/>
      <c r="I6" s="221"/>
      <c r="J6" s="221"/>
      <c r="K6" s="221"/>
      <c r="L6" s="231"/>
      <c r="M6" s="215"/>
      <c r="N6" s="246"/>
      <c r="O6" s="243"/>
      <c r="P6" s="243"/>
      <c r="Q6" s="243"/>
      <c r="R6" s="243"/>
      <c r="S6" s="243"/>
      <c r="T6" s="247"/>
    </row>
    <row r="7" spans="2:20" ht="12" customHeight="1" x14ac:dyDescent="0.35">
      <c r="B7" s="232" t="s">
        <v>93</v>
      </c>
      <c r="C7" s="275">
        <v>19510</v>
      </c>
      <c r="D7" s="275">
        <v>2</v>
      </c>
      <c r="E7" s="275">
        <v>19</v>
      </c>
      <c r="F7" s="275">
        <v>19493</v>
      </c>
      <c r="G7" s="275">
        <v>1146</v>
      </c>
      <c r="H7" s="275">
        <v>217</v>
      </c>
      <c r="I7" s="275">
        <v>1</v>
      </c>
      <c r="J7" s="275">
        <v>1362</v>
      </c>
      <c r="K7" s="275">
        <v>18131</v>
      </c>
      <c r="L7" s="276">
        <v>18364</v>
      </c>
      <c r="M7" s="215"/>
      <c r="N7" s="248">
        <f>(H7+I7)/(F7-G7)</f>
        <v>1.1882051561563198E-2</v>
      </c>
      <c r="O7" s="243">
        <f t="shared" ref="O7:O16" si="0">K7*N7</f>
        <v>215.43347686270235</v>
      </c>
      <c r="P7" s="243">
        <f t="shared" ref="P7:P16" si="1">K7-O7</f>
        <v>17915.566523137299</v>
      </c>
      <c r="Q7" s="243">
        <f t="shared" ref="Q7:Q16" si="2">P7*N7</f>
        <v>212.87368518253288</v>
      </c>
      <c r="R7" s="243">
        <f t="shared" ref="R7:R16" si="3">P7-Q7</f>
        <v>17702.692837954764</v>
      </c>
      <c r="S7" s="243">
        <f>R7*N7</f>
        <v>210.34430907909405</v>
      </c>
      <c r="T7" s="247">
        <f t="shared" ref="T7:T16" si="4">R7-S7</f>
        <v>17492.348528875671</v>
      </c>
    </row>
    <row r="8" spans="2:20" ht="12" customHeight="1" x14ac:dyDescent="0.35">
      <c r="B8" s="232" t="s">
        <v>94</v>
      </c>
      <c r="C8" s="275">
        <v>36954</v>
      </c>
      <c r="D8" s="275">
        <v>92</v>
      </c>
      <c r="E8" s="275">
        <v>3</v>
      </c>
      <c r="F8" s="275">
        <v>37043</v>
      </c>
      <c r="G8" s="277">
        <v>0</v>
      </c>
      <c r="H8" s="277">
        <v>0</v>
      </c>
      <c r="I8" s="277">
        <v>0</v>
      </c>
      <c r="J8" s="277" t="s">
        <v>95</v>
      </c>
      <c r="K8" s="275">
        <v>37043</v>
      </c>
      <c r="L8" s="276">
        <v>36954</v>
      </c>
      <c r="M8" s="215"/>
      <c r="N8" s="248">
        <f t="shared" ref="N8:N16" si="5">(H8+I8)/(F8-G8)</f>
        <v>0</v>
      </c>
      <c r="O8" s="243">
        <f t="shared" si="0"/>
        <v>0</v>
      </c>
      <c r="P8" s="243">
        <f t="shared" si="1"/>
        <v>37043</v>
      </c>
      <c r="Q8" s="243">
        <f t="shared" si="2"/>
        <v>0</v>
      </c>
      <c r="R8" s="243">
        <f t="shared" si="3"/>
        <v>37043</v>
      </c>
      <c r="S8" s="243">
        <v>0</v>
      </c>
      <c r="T8" s="247">
        <f t="shared" si="4"/>
        <v>37043</v>
      </c>
    </row>
    <row r="9" spans="2:20" ht="12" customHeight="1" x14ac:dyDescent="0.35">
      <c r="B9" s="232" t="s">
        <v>96</v>
      </c>
      <c r="C9" s="275">
        <v>14422</v>
      </c>
      <c r="D9" s="275">
        <v>2238</v>
      </c>
      <c r="E9" s="275">
        <v>7</v>
      </c>
      <c r="F9" s="275">
        <v>16653</v>
      </c>
      <c r="G9" s="275">
        <v>5374</v>
      </c>
      <c r="H9" s="275">
        <v>950</v>
      </c>
      <c r="I9" s="275">
        <v>1</v>
      </c>
      <c r="J9" s="275">
        <v>6323</v>
      </c>
      <c r="K9" s="275">
        <v>10330</v>
      </c>
      <c r="L9" s="276">
        <v>9048</v>
      </c>
      <c r="M9" s="215"/>
      <c r="N9" s="248">
        <f t="shared" si="5"/>
        <v>8.4315985459703868E-2</v>
      </c>
      <c r="O9" s="243">
        <f t="shared" si="0"/>
        <v>870.98412979874092</v>
      </c>
      <c r="P9" s="243">
        <f t="shared" si="1"/>
        <v>9459.0158702012595</v>
      </c>
      <c r="Q9" s="243">
        <f t="shared" si="2"/>
        <v>797.54624457499756</v>
      </c>
      <c r="R9" s="243">
        <f t="shared" si="3"/>
        <v>8661.4696256262614</v>
      </c>
      <c r="S9" s="243">
        <f t="shared" ref="S9:S16" si="6">R9*N9</f>
        <v>730.30034701397051</v>
      </c>
      <c r="T9" s="247">
        <f t="shared" si="4"/>
        <v>7931.1692786122912</v>
      </c>
    </row>
    <row r="10" spans="2:20" ht="12" customHeight="1" x14ac:dyDescent="0.35">
      <c r="B10" s="232" t="s">
        <v>97</v>
      </c>
      <c r="C10" s="278">
        <v>219609</v>
      </c>
      <c r="D10" s="275">
        <v>9152</v>
      </c>
      <c r="E10" s="275">
        <v>421</v>
      </c>
      <c r="F10" s="278">
        <v>228340</v>
      </c>
      <c r="G10" s="275">
        <v>98391</v>
      </c>
      <c r="H10" s="275">
        <v>6621</v>
      </c>
      <c r="I10" s="275">
        <v>381</v>
      </c>
      <c r="J10" s="278">
        <v>104631</v>
      </c>
      <c r="K10" s="278">
        <v>123709</v>
      </c>
      <c r="L10" s="279">
        <v>121218</v>
      </c>
      <c r="M10" s="215"/>
      <c r="N10" s="248">
        <f t="shared" si="5"/>
        <v>5.3882677050227396E-2</v>
      </c>
      <c r="O10" s="243">
        <f t="shared" si="0"/>
        <v>6665.7720952065811</v>
      </c>
      <c r="P10" s="243">
        <f t="shared" si="1"/>
        <v>117043.22790479341</v>
      </c>
      <c r="Q10" s="243">
        <f t="shared" si="2"/>
        <v>6306.6024501101465</v>
      </c>
      <c r="R10" s="243">
        <f t="shared" si="3"/>
        <v>110736.62545468326</v>
      </c>
      <c r="S10" s="243">
        <f t="shared" si="6"/>
        <v>5966.785827006689</v>
      </c>
      <c r="T10" s="247">
        <f t="shared" si="4"/>
        <v>104769.83962767657</v>
      </c>
    </row>
    <row r="11" spans="2:20" ht="12" customHeight="1" x14ac:dyDescent="0.35">
      <c r="B11" s="232" t="s">
        <v>98</v>
      </c>
      <c r="C11" s="275">
        <v>6322</v>
      </c>
      <c r="D11" s="275">
        <v>513</v>
      </c>
      <c r="E11" s="275">
        <v>104</v>
      </c>
      <c r="F11" s="275">
        <v>6731</v>
      </c>
      <c r="G11" s="275">
        <v>3287</v>
      </c>
      <c r="H11" s="275">
        <v>572</v>
      </c>
      <c r="I11" s="275">
        <v>87</v>
      </c>
      <c r="J11" s="275">
        <v>3772</v>
      </c>
      <c r="K11" s="275">
        <v>2959</v>
      </c>
      <c r="L11" s="276">
        <v>3035</v>
      </c>
      <c r="M11" s="215"/>
      <c r="N11" s="248">
        <f t="shared" si="5"/>
        <v>0.19134727061556331</v>
      </c>
      <c r="O11" s="243">
        <f t="shared" si="0"/>
        <v>566.19657375145187</v>
      </c>
      <c r="P11" s="243">
        <f t="shared" si="1"/>
        <v>2392.803426248548</v>
      </c>
      <c r="Q11" s="243">
        <f t="shared" si="2"/>
        <v>457.85640473222799</v>
      </c>
      <c r="R11" s="243">
        <f t="shared" si="3"/>
        <v>1934.9470215163201</v>
      </c>
      <c r="S11" s="243">
        <f t="shared" si="6"/>
        <v>370.24683135286148</v>
      </c>
      <c r="T11" s="247">
        <f t="shared" si="4"/>
        <v>1564.7001901634585</v>
      </c>
    </row>
    <row r="12" spans="2:20" ht="12" customHeight="1" x14ac:dyDescent="0.35">
      <c r="B12" s="235" t="s">
        <v>99</v>
      </c>
      <c r="C12" s="275">
        <v>5741</v>
      </c>
      <c r="D12" s="275">
        <v>44</v>
      </c>
      <c r="E12" s="275">
        <v>362</v>
      </c>
      <c r="F12" s="275">
        <v>5423</v>
      </c>
      <c r="G12" s="275">
        <v>2919</v>
      </c>
      <c r="H12" s="275">
        <v>565</v>
      </c>
      <c r="I12" s="275">
        <v>359</v>
      </c>
      <c r="J12" s="275">
        <v>3125</v>
      </c>
      <c r="K12" s="275">
        <v>2298</v>
      </c>
      <c r="L12" s="276">
        <v>2822</v>
      </c>
      <c r="M12" s="215"/>
      <c r="N12" s="248">
        <f t="shared" si="5"/>
        <v>0.36900958466453676</v>
      </c>
      <c r="O12" s="243">
        <f t="shared" si="0"/>
        <v>847.98402555910548</v>
      </c>
      <c r="P12" s="243">
        <f t="shared" si="1"/>
        <v>1450.0159744408945</v>
      </c>
      <c r="Q12" s="243">
        <f t="shared" si="2"/>
        <v>535.069792485378</v>
      </c>
      <c r="R12" s="243">
        <f t="shared" si="3"/>
        <v>914.94618195551652</v>
      </c>
      <c r="S12" s="243">
        <f t="shared" si="6"/>
        <v>337.62391059380883</v>
      </c>
      <c r="T12" s="247">
        <f t="shared" si="4"/>
        <v>577.32227136170764</v>
      </c>
    </row>
    <row r="13" spans="2:20" ht="12" customHeight="1" x14ac:dyDescent="0.35">
      <c r="B13" s="232" t="s">
        <v>100</v>
      </c>
      <c r="C13" s="275">
        <v>658</v>
      </c>
      <c r="D13" s="275">
        <v>57</v>
      </c>
      <c r="E13" s="275">
        <v>3</v>
      </c>
      <c r="F13" s="275">
        <v>712</v>
      </c>
      <c r="G13" s="275">
        <v>513</v>
      </c>
      <c r="H13" s="275">
        <v>35</v>
      </c>
      <c r="I13" s="275">
        <v>3</v>
      </c>
      <c r="J13" s="275">
        <v>545</v>
      </c>
      <c r="K13" s="275">
        <v>167</v>
      </c>
      <c r="L13" s="276">
        <v>145</v>
      </c>
      <c r="M13" s="215"/>
      <c r="N13" s="248">
        <f t="shared" si="5"/>
        <v>0.19095477386934673</v>
      </c>
      <c r="O13" s="243">
        <f t="shared" si="0"/>
        <v>31.889447236180903</v>
      </c>
      <c r="P13" s="243">
        <f t="shared" si="1"/>
        <v>135.1105527638191</v>
      </c>
      <c r="Q13" s="243">
        <f t="shared" si="2"/>
        <v>25.800005050377514</v>
      </c>
      <c r="R13" s="243">
        <f t="shared" si="3"/>
        <v>109.31054771344159</v>
      </c>
      <c r="S13" s="243">
        <f t="shared" si="6"/>
        <v>20.873370920154674</v>
      </c>
      <c r="T13" s="247">
        <f t="shared" si="4"/>
        <v>88.437176793286923</v>
      </c>
    </row>
    <row r="14" spans="2:20" ht="12" customHeight="1" x14ac:dyDescent="0.35">
      <c r="B14" s="232" t="s">
        <v>101</v>
      </c>
      <c r="C14" s="275">
        <v>567</v>
      </c>
      <c r="D14" s="275">
        <v>38</v>
      </c>
      <c r="E14" s="275">
        <v>36</v>
      </c>
      <c r="F14" s="275">
        <v>569</v>
      </c>
      <c r="G14" s="275">
        <v>400</v>
      </c>
      <c r="H14" s="275">
        <v>61</v>
      </c>
      <c r="I14" s="275">
        <v>35</v>
      </c>
      <c r="J14" s="275">
        <v>426</v>
      </c>
      <c r="K14" s="275">
        <v>143</v>
      </c>
      <c r="L14" s="276">
        <v>167</v>
      </c>
      <c r="M14" s="215"/>
      <c r="N14" s="248">
        <f t="shared" si="5"/>
        <v>0.56804733727810652</v>
      </c>
      <c r="O14" s="243">
        <f t="shared" si="0"/>
        <v>81.230769230769226</v>
      </c>
      <c r="P14" s="243">
        <f t="shared" si="1"/>
        <v>61.769230769230774</v>
      </c>
      <c r="Q14" s="243">
        <f t="shared" si="2"/>
        <v>35.087847064178426</v>
      </c>
      <c r="R14" s="243">
        <f t="shared" si="3"/>
        <v>26.681383705052347</v>
      </c>
      <c r="S14" s="243">
        <f t="shared" si="6"/>
        <v>15.156288968550447</v>
      </c>
      <c r="T14" s="247">
        <f t="shared" si="4"/>
        <v>11.525094736501901</v>
      </c>
    </row>
    <row r="15" spans="2:20" ht="12" customHeight="1" x14ac:dyDescent="0.35">
      <c r="B15" s="232" t="s">
        <v>102</v>
      </c>
      <c r="C15" s="275">
        <v>424</v>
      </c>
      <c r="D15" s="275">
        <v>1</v>
      </c>
      <c r="E15" s="275">
        <v>7</v>
      </c>
      <c r="F15" s="275">
        <v>418</v>
      </c>
      <c r="G15" s="275">
        <v>319</v>
      </c>
      <c r="H15" s="275">
        <v>10</v>
      </c>
      <c r="I15" s="275">
        <v>7</v>
      </c>
      <c r="J15" s="275">
        <v>322</v>
      </c>
      <c r="K15" s="275">
        <v>96</v>
      </c>
      <c r="L15" s="276">
        <v>105</v>
      </c>
      <c r="M15" s="215"/>
      <c r="N15" s="248">
        <f t="shared" si="5"/>
        <v>0.17171717171717171</v>
      </c>
      <c r="O15" s="243">
        <f t="shared" si="0"/>
        <v>16.484848484848484</v>
      </c>
      <c r="P15" s="243">
        <f t="shared" si="1"/>
        <v>79.515151515151516</v>
      </c>
      <c r="Q15" s="243">
        <f t="shared" si="2"/>
        <v>13.6541169268442</v>
      </c>
      <c r="R15" s="243">
        <f t="shared" si="3"/>
        <v>65.861034588307319</v>
      </c>
      <c r="S15" s="243">
        <f t="shared" si="6"/>
        <v>11.309470585870953</v>
      </c>
      <c r="T15" s="247">
        <f t="shared" si="4"/>
        <v>54.551564002436365</v>
      </c>
    </row>
    <row r="16" spans="2:20" ht="12" customHeight="1" x14ac:dyDescent="0.35">
      <c r="B16" s="232" t="s">
        <v>103</v>
      </c>
      <c r="C16" s="275">
        <v>46</v>
      </c>
      <c r="D16" s="277" t="s">
        <v>95</v>
      </c>
      <c r="E16" s="277" t="s">
        <v>95</v>
      </c>
      <c r="F16" s="275">
        <v>46</v>
      </c>
      <c r="G16" s="275">
        <v>37</v>
      </c>
      <c r="H16" s="275">
        <v>1</v>
      </c>
      <c r="I16" s="277">
        <v>0</v>
      </c>
      <c r="J16" s="275">
        <v>38</v>
      </c>
      <c r="K16" s="275">
        <v>8</v>
      </c>
      <c r="L16" s="276">
        <v>9</v>
      </c>
      <c r="M16" s="215"/>
      <c r="N16" s="248">
        <f t="shared" si="5"/>
        <v>0.1111111111111111</v>
      </c>
      <c r="O16" s="243">
        <f t="shared" si="0"/>
        <v>0.88888888888888884</v>
      </c>
      <c r="P16" s="243">
        <f t="shared" si="1"/>
        <v>7.1111111111111107</v>
      </c>
      <c r="Q16" s="243">
        <f t="shared" si="2"/>
        <v>0.79012345679012341</v>
      </c>
      <c r="R16" s="243">
        <f t="shared" si="3"/>
        <v>6.3209876543209873</v>
      </c>
      <c r="S16" s="243">
        <f t="shared" si="6"/>
        <v>0.7023319615912208</v>
      </c>
      <c r="T16" s="247">
        <f t="shared" si="4"/>
        <v>5.6186556927297664</v>
      </c>
    </row>
    <row r="17" spans="2:20" ht="12" customHeight="1" x14ac:dyDescent="0.35">
      <c r="B17" s="237" t="s">
        <v>104</v>
      </c>
      <c r="C17" s="280">
        <f>SUM(C7:C16)</f>
        <v>304253</v>
      </c>
      <c r="D17" s="280">
        <f t="shared" ref="D17:L17" si="7">SUM(D7:D16)</f>
        <v>12137</v>
      </c>
      <c r="E17" s="280">
        <f t="shared" si="7"/>
        <v>962</v>
      </c>
      <c r="F17" s="280">
        <f t="shared" si="7"/>
        <v>315428</v>
      </c>
      <c r="G17" s="280">
        <f t="shared" si="7"/>
        <v>112386</v>
      </c>
      <c r="H17" s="280">
        <f t="shared" si="7"/>
        <v>9032</v>
      </c>
      <c r="I17" s="280">
        <f t="shared" si="7"/>
        <v>874</v>
      </c>
      <c r="J17" s="280">
        <f t="shared" si="7"/>
        <v>120544</v>
      </c>
      <c r="K17" s="280">
        <f t="shared" si="7"/>
        <v>194884</v>
      </c>
      <c r="L17" s="281">
        <f t="shared" si="7"/>
        <v>191867</v>
      </c>
      <c r="M17" s="215"/>
      <c r="N17" s="248"/>
      <c r="O17" s="243"/>
      <c r="P17" s="243"/>
      <c r="Q17" s="243"/>
      <c r="R17" s="243"/>
      <c r="S17" s="243"/>
      <c r="T17" s="247"/>
    </row>
    <row r="18" spans="2:20" ht="12" customHeight="1" x14ac:dyDescent="0.25">
      <c r="B18" s="230" t="s">
        <v>105</v>
      </c>
      <c r="C18" s="219"/>
      <c r="D18" s="219"/>
      <c r="E18" s="219"/>
      <c r="F18" s="220"/>
      <c r="G18" s="221"/>
      <c r="H18" s="221"/>
      <c r="I18" s="221"/>
      <c r="J18" s="221"/>
      <c r="K18" s="221"/>
      <c r="L18" s="231"/>
      <c r="M18" s="215"/>
      <c r="N18" s="248"/>
      <c r="O18" s="243"/>
      <c r="P18" s="243"/>
      <c r="Q18" s="243"/>
      <c r="R18" s="243"/>
      <c r="S18" s="243"/>
      <c r="T18" s="247"/>
    </row>
    <row r="19" spans="2:20" ht="12" customHeight="1" x14ac:dyDescent="0.35">
      <c r="B19" s="232" t="s">
        <v>97</v>
      </c>
      <c r="C19" s="223">
        <v>318</v>
      </c>
      <c r="D19" s="224" t="s">
        <v>95</v>
      </c>
      <c r="E19" s="224" t="s">
        <v>95</v>
      </c>
      <c r="F19" s="223">
        <v>318</v>
      </c>
      <c r="G19" s="223">
        <v>306</v>
      </c>
      <c r="H19" s="223">
        <v>1</v>
      </c>
      <c r="I19" s="224">
        <v>0</v>
      </c>
      <c r="J19" s="223">
        <v>307</v>
      </c>
      <c r="K19" s="223">
        <v>11</v>
      </c>
      <c r="L19" s="236">
        <v>12</v>
      </c>
      <c r="M19" s="215"/>
      <c r="N19" s="248">
        <f t="shared" ref="N19" si="8">(H19+I19)/(F19-G19)</f>
        <v>8.3333333333333329E-2</v>
      </c>
      <c r="O19" s="243">
        <f>K19*N19</f>
        <v>0.91666666666666663</v>
      </c>
      <c r="P19" s="243">
        <f>K19-O19</f>
        <v>10.083333333333334</v>
      </c>
      <c r="Q19" s="243">
        <f>P19*N19</f>
        <v>0.84027777777777779</v>
      </c>
      <c r="R19" s="243">
        <f>P19-Q19</f>
        <v>9.2430555555555554</v>
      </c>
      <c r="S19" s="243">
        <f>R19*N19</f>
        <v>0.77025462962962954</v>
      </c>
      <c r="T19" s="247">
        <f>R19-S19</f>
        <v>8.4728009259259256</v>
      </c>
    </row>
    <row r="20" spans="2:20" ht="12" customHeight="1" x14ac:dyDescent="0.35">
      <c r="B20" s="232" t="s">
        <v>102</v>
      </c>
      <c r="C20" s="223">
        <v>10</v>
      </c>
      <c r="D20" s="224" t="s">
        <v>95</v>
      </c>
      <c r="E20" s="224" t="s">
        <v>95</v>
      </c>
      <c r="F20" s="223">
        <v>10</v>
      </c>
      <c r="G20" s="223">
        <v>10</v>
      </c>
      <c r="H20" s="224">
        <v>0</v>
      </c>
      <c r="I20" s="224">
        <v>0</v>
      </c>
      <c r="J20" s="223">
        <v>10</v>
      </c>
      <c r="K20" s="224" t="s">
        <v>95</v>
      </c>
      <c r="L20" s="234" t="s">
        <v>95</v>
      </c>
      <c r="M20" s="215"/>
      <c r="N20" s="248"/>
      <c r="O20" s="243"/>
      <c r="P20" s="243"/>
      <c r="Q20" s="243"/>
      <c r="R20" s="243"/>
      <c r="S20" s="243"/>
      <c r="T20" s="247"/>
    </row>
    <row r="21" spans="2:20" ht="12" customHeight="1" x14ac:dyDescent="0.35">
      <c r="B21" s="237" t="s">
        <v>104</v>
      </c>
      <c r="C21" s="225">
        <f>SUM(C19:C20)</f>
        <v>328</v>
      </c>
      <c r="D21" s="225">
        <f t="shared" ref="D21:L21" si="9">SUM(D19:D20)</f>
        <v>0</v>
      </c>
      <c r="E21" s="225">
        <f t="shared" si="9"/>
        <v>0</v>
      </c>
      <c r="F21" s="225">
        <f t="shared" si="9"/>
        <v>328</v>
      </c>
      <c r="G21" s="225">
        <f t="shared" si="9"/>
        <v>316</v>
      </c>
      <c r="H21" s="225">
        <f t="shared" si="9"/>
        <v>1</v>
      </c>
      <c r="I21" s="225">
        <f t="shared" si="9"/>
        <v>0</v>
      </c>
      <c r="J21" s="225">
        <f t="shared" si="9"/>
        <v>317</v>
      </c>
      <c r="K21" s="225">
        <f t="shared" si="9"/>
        <v>11</v>
      </c>
      <c r="L21" s="282">
        <f t="shared" si="9"/>
        <v>12</v>
      </c>
      <c r="M21" s="215"/>
      <c r="N21" s="248"/>
      <c r="O21" s="243"/>
      <c r="P21" s="243"/>
      <c r="Q21" s="243"/>
      <c r="R21" s="243"/>
      <c r="S21" s="243"/>
      <c r="T21" s="247"/>
    </row>
    <row r="22" spans="2:20" s="40" customFormat="1" ht="12" customHeight="1" x14ac:dyDescent="0.35">
      <c r="B22" s="238" t="s">
        <v>106</v>
      </c>
      <c r="C22" s="226">
        <f>C17+C21</f>
        <v>304581</v>
      </c>
      <c r="D22" s="226">
        <f t="shared" ref="D22:L22" si="10">D17+D21</f>
        <v>12137</v>
      </c>
      <c r="E22" s="226">
        <f t="shared" si="10"/>
        <v>962</v>
      </c>
      <c r="F22" s="226">
        <f t="shared" si="10"/>
        <v>315756</v>
      </c>
      <c r="G22" s="226">
        <f t="shared" si="10"/>
        <v>112702</v>
      </c>
      <c r="H22" s="226">
        <f t="shared" si="10"/>
        <v>9033</v>
      </c>
      <c r="I22" s="226">
        <f t="shared" si="10"/>
        <v>874</v>
      </c>
      <c r="J22" s="226">
        <f t="shared" si="10"/>
        <v>120861</v>
      </c>
      <c r="K22" s="226">
        <f t="shared" si="10"/>
        <v>194895</v>
      </c>
      <c r="L22" s="239">
        <f t="shared" si="10"/>
        <v>191879</v>
      </c>
      <c r="M22" s="216"/>
      <c r="N22" s="249"/>
      <c r="O22" s="244">
        <f t="shared" ref="O22:T22" si="11">SUM(O7:O20)</f>
        <v>9297.780921685935</v>
      </c>
      <c r="P22" s="244">
        <f t="shared" si="11"/>
        <v>185597.21907831405</v>
      </c>
      <c r="Q22" s="244">
        <f t="shared" si="11"/>
        <v>8386.1209473612507</v>
      </c>
      <c r="R22" s="244">
        <f t="shared" si="11"/>
        <v>177211.09813095283</v>
      </c>
      <c r="S22" s="244">
        <f t="shared" si="11"/>
        <v>7664.1129421122196</v>
      </c>
      <c r="T22" s="250">
        <f t="shared" si="11"/>
        <v>169546.9851888406</v>
      </c>
    </row>
    <row r="23" spans="2:20" ht="12" customHeight="1" x14ac:dyDescent="0.25">
      <c r="B23" s="240" t="s">
        <v>107</v>
      </c>
      <c r="C23" s="227"/>
      <c r="D23" s="227"/>
      <c r="E23" s="227"/>
      <c r="F23" s="220"/>
      <c r="G23" s="221"/>
      <c r="H23" s="221"/>
      <c r="I23" s="221"/>
      <c r="J23" s="221"/>
      <c r="K23" s="221"/>
      <c r="L23" s="231"/>
      <c r="M23" s="215"/>
      <c r="N23" s="248"/>
      <c r="O23" s="243"/>
      <c r="P23" s="243"/>
      <c r="Q23" s="243"/>
      <c r="R23" s="243"/>
      <c r="S23" s="243"/>
      <c r="T23" s="247"/>
    </row>
    <row r="24" spans="2:20" ht="12" customHeight="1" x14ac:dyDescent="0.35">
      <c r="B24" s="232" t="s">
        <v>108</v>
      </c>
      <c r="C24" s="222">
        <v>4420</v>
      </c>
      <c r="D24" s="223">
        <v>138</v>
      </c>
      <c r="E24" s="224" t="s">
        <v>95</v>
      </c>
      <c r="F24" s="222">
        <v>4558</v>
      </c>
      <c r="G24" s="222">
        <v>2749</v>
      </c>
      <c r="H24" s="223">
        <v>161</v>
      </c>
      <c r="I24" s="224">
        <v>0</v>
      </c>
      <c r="J24" s="222">
        <v>2910</v>
      </c>
      <c r="K24" s="222">
        <v>1648</v>
      </c>
      <c r="L24" s="233">
        <v>1671</v>
      </c>
      <c r="M24" s="215"/>
      <c r="N24" s="248">
        <f t="shared" ref="N24:N27" si="12">(H24+I24)/(F24-G24)</f>
        <v>8.899944720840243E-2</v>
      </c>
      <c r="O24" s="243">
        <f>K24*N24</f>
        <v>146.67108899944719</v>
      </c>
      <c r="P24" s="243">
        <f>K24-O24</f>
        <v>1501.3289110005528</v>
      </c>
      <c r="Q24" s="243">
        <f>P24*N24</f>
        <v>133.617443157042</v>
      </c>
      <c r="R24" s="243">
        <f>P24-Q24</f>
        <v>1367.7114678435107</v>
      </c>
      <c r="S24" s="243">
        <f>R24*N24</f>
        <v>121.72556457866513</v>
      </c>
      <c r="T24" s="247">
        <f>R24-S24</f>
        <v>1245.9859032648455</v>
      </c>
    </row>
    <row r="25" spans="2:20" ht="12" customHeight="1" x14ac:dyDescent="0.35">
      <c r="B25" s="232" t="s">
        <v>109</v>
      </c>
      <c r="C25" s="222">
        <v>1033</v>
      </c>
      <c r="D25" s="223">
        <v>43</v>
      </c>
      <c r="E25" s="223">
        <v>13</v>
      </c>
      <c r="F25" s="222">
        <v>1063</v>
      </c>
      <c r="G25" s="223">
        <v>957</v>
      </c>
      <c r="H25" s="223">
        <v>44</v>
      </c>
      <c r="I25" s="223">
        <v>13</v>
      </c>
      <c r="J25" s="223">
        <v>988</v>
      </c>
      <c r="K25" s="223">
        <v>75</v>
      </c>
      <c r="L25" s="236">
        <v>76</v>
      </c>
      <c r="M25" s="215"/>
      <c r="N25" s="248">
        <f t="shared" si="12"/>
        <v>0.53773584905660377</v>
      </c>
      <c r="O25" s="243">
        <f>K25*N25</f>
        <v>40.330188679245282</v>
      </c>
      <c r="P25" s="243">
        <f>K25-O25</f>
        <v>34.669811320754718</v>
      </c>
      <c r="Q25" s="243">
        <f>P25*N25</f>
        <v>18.643200427198291</v>
      </c>
      <c r="R25" s="243">
        <f>P25-Q25</f>
        <v>16.026610893556427</v>
      </c>
      <c r="S25" s="243">
        <f>R25*N25</f>
        <v>8.6180832163463812</v>
      </c>
      <c r="T25" s="247">
        <f>R25-S25</f>
        <v>7.4085276772100457</v>
      </c>
    </row>
    <row r="26" spans="2:20" ht="12" customHeight="1" x14ac:dyDescent="0.35">
      <c r="B26" s="232" t="s">
        <v>110</v>
      </c>
      <c r="C26" s="222">
        <v>42163</v>
      </c>
      <c r="D26" s="223">
        <v>630</v>
      </c>
      <c r="E26" s="224" t="s">
        <v>95</v>
      </c>
      <c r="F26" s="222">
        <v>42793</v>
      </c>
      <c r="G26" s="222">
        <v>34825</v>
      </c>
      <c r="H26" s="222">
        <v>1412</v>
      </c>
      <c r="I26" s="224">
        <v>0</v>
      </c>
      <c r="J26" s="222">
        <v>36237</v>
      </c>
      <c r="K26" s="222">
        <v>6556</v>
      </c>
      <c r="L26" s="233">
        <v>7338</v>
      </c>
      <c r="M26" s="215"/>
      <c r="N26" s="248">
        <f t="shared" si="12"/>
        <v>0.17720883534136547</v>
      </c>
      <c r="O26" s="243">
        <f>K26*N26</f>
        <v>1161.7811244979921</v>
      </c>
      <c r="P26" s="243">
        <f>K26-O26</f>
        <v>5394.2188755020079</v>
      </c>
      <c r="Q26" s="243">
        <f>P26*N26</f>
        <v>955.90324450412095</v>
      </c>
      <c r="R26" s="243">
        <f>P26-Q26</f>
        <v>4438.3156309978867</v>
      </c>
      <c r="S26" s="243">
        <f>R26*N26</f>
        <v>786.50874384651308</v>
      </c>
      <c r="T26" s="247">
        <f>R26-S26</f>
        <v>3651.8068871513738</v>
      </c>
    </row>
    <row r="27" spans="2:20" ht="12" customHeight="1" x14ac:dyDescent="0.35">
      <c r="B27" s="232" t="s">
        <v>111</v>
      </c>
      <c r="C27" s="223">
        <v>812</v>
      </c>
      <c r="D27" s="223">
        <v>52</v>
      </c>
      <c r="E27" s="224" t="s">
        <v>95</v>
      </c>
      <c r="F27" s="223">
        <v>864</v>
      </c>
      <c r="G27" s="223">
        <v>812</v>
      </c>
      <c r="H27" s="223">
        <v>38</v>
      </c>
      <c r="I27" s="224">
        <v>0</v>
      </c>
      <c r="J27" s="223">
        <v>850</v>
      </c>
      <c r="K27" s="223">
        <v>14</v>
      </c>
      <c r="L27" s="234" t="s">
        <v>95</v>
      </c>
      <c r="M27" s="215"/>
      <c r="N27" s="248">
        <f t="shared" si="12"/>
        <v>0.73076923076923073</v>
      </c>
      <c r="O27" s="243">
        <f>K27*N27</f>
        <v>10.23076923076923</v>
      </c>
      <c r="P27" s="243">
        <f>K27-O27</f>
        <v>3.7692307692307701</v>
      </c>
      <c r="Q27" s="243">
        <f>P27*N27</f>
        <v>2.7544378698224858</v>
      </c>
      <c r="R27" s="243">
        <f>P27-Q27</f>
        <v>1.0147928994082842</v>
      </c>
      <c r="S27" s="243">
        <f>R27*N27</f>
        <v>0.74157942649066921</v>
      </c>
      <c r="T27" s="247">
        <f>R27-S27</f>
        <v>0.273213472917615</v>
      </c>
    </row>
    <row r="28" spans="2:20" s="39" customFormat="1" ht="12" customHeight="1" x14ac:dyDescent="0.35">
      <c r="B28" s="241" t="s">
        <v>112</v>
      </c>
      <c r="C28" s="228">
        <f>SUM(C24:C27)</f>
        <v>48428</v>
      </c>
      <c r="D28" s="228">
        <f t="shared" ref="D28:L28" si="13">SUM(D24:D27)</f>
        <v>863</v>
      </c>
      <c r="E28" s="228">
        <f t="shared" si="13"/>
        <v>13</v>
      </c>
      <c r="F28" s="228">
        <f t="shared" si="13"/>
        <v>49278</v>
      </c>
      <c r="G28" s="228">
        <f t="shared" si="13"/>
        <v>39343</v>
      </c>
      <c r="H28" s="228">
        <f t="shared" si="13"/>
        <v>1655</v>
      </c>
      <c r="I28" s="228">
        <f t="shared" si="13"/>
        <v>13</v>
      </c>
      <c r="J28" s="228">
        <f t="shared" si="13"/>
        <v>40985</v>
      </c>
      <c r="K28" s="228">
        <f t="shared" si="13"/>
        <v>8293</v>
      </c>
      <c r="L28" s="242">
        <f t="shared" si="13"/>
        <v>9085</v>
      </c>
      <c r="M28" s="217"/>
      <c r="N28" s="251"/>
      <c r="O28" s="245">
        <f t="shared" ref="O28:T28" si="14">SUM(O24:O27)</f>
        <v>1359.0131714074539</v>
      </c>
      <c r="P28" s="245">
        <f t="shared" si="14"/>
        <v>6933.9868285925459</v>
      </c>
      <c r="Q28" s="245">
        <f t="shared" si="14"/>
        <v>1110.9183259581839</v>
      </c>
      <c r="R28" s="245">
        <f t="shared" si="14"/>
        <v>5823.0685026343617</v>
      </c>
      <c r="S28" s="245">
        <f t="shared" si="14"/>
        <v>917.59397106801532</v>
      </c>
      <c r="T28" s="252">
        <f t="shared" si="14"/>
        <v>4905.4745315663467</v>
      </c>
    </row>
    <row r="29" spans="2:20" s="39" customFormat="1" ht="12" customHeight="1" thickBot="1" x14ac:dyDescent="0.4">
      <c r="B29" s="283" t="s">
        <v>113</v>
      </c>
      <c r="C29" s="284">
        <f>C22+C28</f>
        <v>353009</v>
      </c>
      <c r="D29" s="284">
        <f t="shared" ref="D29:L29" si="15">D22+D28</f>
        <v>13000</v>
      </c>
      <c r="E29" s="284">
        <f t="shared" si="15"/>
        <v>975</v>
      </c>
      <c r="F29" s="284">
        <f t="shared" si="15"/>
        <v>365034</v>
      </c>
      <c r="G29" s="284">
        <f t="shared" si="15"/>
        <v>152045</v>
      </c>
      <c r="H29" s="284">
        <f t="shared" si="15"/>
        <v>10688</v>
      </c>
      <c r="I29" s="284">
        <f t="shared" si="15"/>
        <v>887</v>
      </c>
      <c r="J29" s="284">
        <f t="shared" si="15"/>
        <v>161846</v>
      </c>
      <c r="K29" s="284">
        <f t="shared" si="15"/>
        <v>203188</v>
      </c>
      <c r="L29" s="285">
        <f t="shared" si="15"/>
        <v>200964</v>
      </c>
      <c r="M29" s="217"/>
      <c r="N29" s="253"/>
      <c r="O29" s="254">
        <f t="shared" ref="O29:T29" si="16">O22+O28</f>
        <v>10656.794093093389</v>
      </c>
      <c r="P29" s="254">
        <f t="shared" si="16"/>
        <v>192531.2059069066</v>
      </c>
      <c r="Q29" s="254">
        <f t="shared" si="16"/>
        <v>9497.0392733194349</v>
      </c>
      <c r="R29" s="254">
        <f t="shared" si="16"/>
        <v>183034.16663358719</v>
      </c>
      <c r="S29" s="254">
        <f t="shared" si="16"/>
        <v>8581.7069131802346</v>
      </c>
      <c r="T29" s="255">
        <f t="shared" si="16"/>
        <v>174452.45972040694</v>
      </c>
    </row>
    <row r="30" spans="2:20" x14ac:dyDescent="0.35">
      <c r="B30" s="215"/>
      <c r="C30" s="215"/>
      <c r="D30" s="215"/>
      <c r="E30" s="215"/>
      <c r="F30" s="215"/>
      <c r="G30" s="215"/>
      <c r="H30" s="215"/>
      <c r="I30" s="215"/>
      <c r="J30" s="215"/>
      <c r="K30" s="215"/>
      <c r="L30" s="215"/>
      <c r="M30" s="215"/>
    </row>
    <row r="31" spans="2:20" ht="12" thickBot="1" x14ac:dyDescent="0.4">
      <c r="B31" s="215"/>
      <c r="C31" s="215"/>
      <c r="D31" s="215"/>
      <c r="E31" s="215"/>
      <c r="F31" s="215"/>
      <c r="G31" s="215"/>
      <c r="H31" s="215"/>
      <c r="I31" s="215"/>
      <c r="J31" s="215"/>
      <c r="K31" s="215"/>
      <c r="L31" s="215"/>
      <c r="M31" s="215"/>
    </row>
    <row r="32" spans="2:20" x14ac:dyDescent="0.35">
      <c r="B32" s="264"/>
      <c r="C32" s="265">
        <v>41729</v>
      </c>
      <c r="D32" s="265">
        <v>42094</v>
      </c>
      <c r="E32" s="265">
        <v>42460</v>
      </c>
      <c r="F32" s="265">
        <v>42825</v>
      </c>
      <c r="G32" s="265">
        <v>43190</v>
      </c>
      <c r="H32" s="265">
        <v>43555</v>
      </c>
      <c r="I32" s="265">
        <v>43921</v>
      </c>
      <c r="J32" s="265">
        <v>44286</v>
      </c>
      <c r="K32" s="266">
        <v>44651</v>
      </c>
      <c r="L32" s="215"/>
      <c r="M32" s="215"/>
    </row>
    <row r="33" spans="2:13" x14ac:dyDescent="0.35">
      <c r="B33" s="267" t="s">
        <v>46</v>
      </c>
      <c r="C33" s="43">
        <f>80368+29038+32673+9043</f>
        <v>151122</v>
      </c>
      <c r="D33" s="43">
        <v>190316</v>
      </c>
      <c r="E33" s="269">
        <v>238289</v>
      </c>
      <c r="F33" s="269">
        <v>287319</v>
      </c>
      <c r="G33" s="269">
        <v>300447</v>
      </c>
      <c r="H33" s="269">
        <v>314745</v>
      </c>
      <c r="I33" s="269">
        <v>304088.20590690663</v>
      </c>
      <c r="J33" s="269">
        <v>294591.16663358721</v>
      </c>
      <c r="K33" s="270">
        <v>286009.45972040691</v>
      </c>
      <c r="L33" s="215"/>
      <c r="M33" s="218"/>
    </row>
    <row r="34" spans="2:13" x14ac:dyDescent="0.35">
      <c r="B34" s="267" t="s">
        <v>119</v>
      </c>
      <c r="C34" s="43">
        <v>8789</v>
      </c>
      <c r="D34" s="43">
        <v>8488</v>
      </c>
      <c r="E34" s="269">
        <v>9566</v>
      </c>
      <c r="F34" s="269">
        <v>8465</v>
      </c>
      <c r="G34" s="269">
        <v>9580</v>
      </c>
      <c r="H34" s="269">
        <v>10558</v>
      </c>
      <c r="I34" s="269">
        <v>10656.794093093389</v>
      </c>
      <c r="J34" s="269">
        <v>9497.0392733194349</v>
      </c>
      <c r="K34" s="270">
        <v>8581.7069131802346</v>
      </c>
      <c r="L34" s="215"/>
      <c r="M34" s="215"/>
    </row>
    <row r="35" spans="2:13" x14ac:dyDescent="0.35">
      <c r="B35" s="267"/>
      <c r="C35" s="271">
        <f t="shared" ref="C35:J35" si="17">C33+C34</f>
        <v>159911</v>
      </c>
      <c r="D35" s="271">
        <f t="shared" si="17"/>
        <v>198804</v>
      </c>
      <c r="E35" s="271">
        <f t="shared" si="17"/>
        <v>247855</v>
      </c>
      <c r="F35" s="271">
        <f t="shared" si="17"/>
        <v>295784</v>
      </c>
      <c r="G35" s="271">
        <f t="shared" si="17"/>
        <v>310027</v>
      </c>
      <c r="H35" s="271">
        <f t="shared" si="17"/>
        <v>325303</v>
      </c>
      <c r="I35" s="271">
        <f t="shared" si="17"/>
        <v>314745</v>
      </c>
      <c r="J35" s="271">
        <f t="shared" si="17"/>
        <v>304088.20590690663</v>
      </c>
      <c r="K35" s="272">
        <f>K33+K34</f>
        <v>294591.16663358716</v>
      </c>
      <c r="L35" s="215"/>
      <c r="M35" s="215"/>
    </row>
    <row r="36" spans="2:13" ht="12" thickBot="1" x14ac:dyDescent="0.4">
      <c r="B36" s="268" t="s">
        <v>136</v>
      </c>
      <c r="C36" s="273"/>
      <c r="D36" s="273">
        <f t="shared" ref="D36:J36" si="18">C33-D35</f>
        <v>-47682</v>
      </c>
      <c r="E36" s="273">
        <f t="shared" si="18"/>
        <v>-57539</v>
      </c>
      <c r="F36" s="273">
        <f t="shared" si="18"/>
        <v>-57495</v>
      </c>
      <c r="G36" s="273">
        <f t="shared" si="18"/>
        <v>-22708</v>
      </c>
      <c r="H36" s="273">
        <f t="shared" si="18"/>
        <v>-24856</v>
      </c>
      <c r="I36" s="273">
        <f t="shared" si="18"/>
        <v>0</v>
      </c>
      <c r="J36" s="273">
        <f t="shared" si="18"/>
        <v>0</v>
      </c>
      <c r="K36" s="274">
        <f>J33-K35</f>
        <v>0</v>
      </c>
      <c r="L36" s="215"/>
      <c r="M36" s="215"/>
    </row>
    <row r="37" spans="2:13" x14ac:dyDescent="0.35"/>
    <row r="38" spans="2:13" x14ac:dyDescent="0.35"/>
    <row r="39" spans="2:13" hidden="1" x14ac:dyDescent="0.35"/>
    <row r="40" spans="2:13" hidden="1" x14ac:dyDescent="0.35"/>
    <row r="41" spans="2:13" hidden="1" x14ac:dyDescent="0.35"/>
  </sheetData>
  <mergeCells count="3">
    <mergeCell ref="C4:F4"/>
    <mergeCell ref="G4:J4"/>
    <mergeCell ref="K4:L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88B7F-0953-4307-A196-48F43DBB37F1}">
  <dimension ref="B2:G20"/>
  <sheetViews>
    <sheetView workbookViewId="0">
      <selection activeCell="E9" sqref="E9"/>
    </sheetView>
  </sheetViews>
  <sheetFormatPr defaultRowHeight="14.5" x14ac:dyDescent="0.35"/>
  <cols>
    <col min="2" max="2" width="28.54296875" customWidth="1"/>
  </cols>
  <sheetData>
    <row r="2" spans="2:7" ht="20" x14ac:dyDescent="0.4">
      <c r="B2" s="351" t="s">
        <v>205</v>
      </c>
      <c r="C2" s="352"/>
      <c r="D2" s="352"/>
      <c r="E2" s="352"/>
      <c r="F2" s="352"/>
      <c r="G2" s="352"/>
    </row>
    <row r="3" spans="2:7" x14ac:dyDescent="0.35">
      <c r="B3" s="289"/>
      <c r="C3" s="289" t="s">
        <v>200</v>
      </c>
      <c r="D3" s="289" t="s">
        <v>199</v>
      </c>
      <c r="E3" s="289" t="s">
        <v>198</v>
      </c>
      <c r="F3" s="289" t="s">
        <v>197</v>
      </c>
      <c r="G3" s="289" t="s">
        <v>196</v>
      </c>
    </row>
    <row r="4" spans="2:7" x14ac:dyDescent="0.35">
      <c r="B4" s="289" t="s">
        <v>204</v>
      </c>
      <c r="C4" s="289">
        <v>70.2</v>
      </c>
      <c r="D4" s="289">
        <v>84.6</v>
      </c>
      <c r="E4" s="289">
        <v>96.9</v>
      </c>
      <c r="F4" s="289">
        <v>53.1</v>
      </c>
      <c r="G4" s="289">
        <v>55.5</v>
      </c>
    </row>
    <row r="5" spans="2:7" x14ac:dyDescent="0.35">
      <c r="B5" s="289" t="s">
        <v>203</v>
      </c>
      <c r="C5" s="289">
        <v>1053.3</v>
      </c>
      <c r="D5" s="289">
        <v>775.3</v>
      </c>
      <c r="E5" s="289">
        <v>817.2</v>
      </c>
      <c r="F5" s="289">
        <v>497.8</v>
      </c>
      <c r="G5" s="289">
        <v>633.5</v>
      </c>
    </row>
    <row r="6" spans="2:7" x14ac:dyDescent="0.35">
      <c r="B6" s="289" t="s">
        <v>202</v>
      </c>
      <c r="C6" s="289">
        <v>668</v>
      </c>
      <c r="D6" s="289">
        <v>784.4</v>
      </c>
      <c r="E6" s="289">
        <v>889</v>
      </c>
      <c r="F6" s="289">
        <v>496.7</v>
      </c>
      <c r="G6" s="289">
        <v>542.9</v>
      </c>
    </row>
    <row r="7" spans="2:7" x14ac:dyDescent="0.35">
      <c r="B7" s="289" t="s">
        <v>201</v>
      </c>
      <c r="C7" s="289">
        <v>13.4</v>
      </c>
      <c r="D7" s="289">
        <v>15.1</v>
      </c>
      <c r="E7" s="289">
        <v>17.100000000000001</v>
      </c>
      <c r="F7" s="289">
        <v>15.5</v>
      </c>
      <c r="G7" s="289">
        <v>13.7</v>
      </c>
    </row>
    <row r="8" spans="2:7" x14ac:dyDescent="0.35">
      <c r="B8" s="289" t="s">
        <v>195</v>
      </c>
      <c r="C8" s="289">
        <v>12.7</v>
      </c>
      <c r="D8" s="289">
        <v>17.2</v>
      </c>
      <c r="E8" s="289">
        <v>25.4</v>
      </c>
      <c r="F8" s="289">
        <v>28.7</v>
      </c>
      <c r="G8" s="289">
        <v>24.9</v>
      </c>
    </row>
    <row r="11" spans="2:7" x14ac:dyDescent="0.35">
      <c r="B11" s="289"/>
      <c r="C11" s="289" t="s">
        <v>200</v>
      </c>
      <c r="D11" s="289" t="s">
        <v>199</v>
      </c>
      <c r="E11" s="289" t="s">
        <v>198</v>
      </c>
      <c r="F11" s="289" t="s">
        <v>197</v>
      </c>
      <c r="G11" s="289" t="s">
        <v>196</v>
      </c>
    </row>
    <row r="12" spans="2:7" x14ac:dyDescent="0.35">
      <c r="B12" s="289" t="s">
        <v>204</v>
      </c>
      <c r="C12" s="289">
        <v>70.2</v>
      </c>
      <c r="D12" s="289">
        <v>84.6</v>
      </c>
      <c r="E12" s="289">
        <v>96.9</v>
      </c>
      <c r="F12" s="289">
        <v>53.1</v>
      </c>
      <c r="G12" s="289">
        <v>55.5</v>
      </c>
    </row>
    <row r="13" spans="2:7" x14ac:dyDescent="0.35">
      <c r="B13" s="289"/>
      <c r="C13" s="289" t="s">
        <v>200</v>
      </c>
      <c r="D13" s="289" t="s">
        <v>199</v>
      </c>
      <c r="E13" s="289" t="s">
        <v>198</v>
      </c>
      <c r="F13" s="289" t="s">
        <v>197</v>
      </c>
      <c r="G13" s="289" t="s">
        <v>196</v>
      </c>
    </row>
    <row r="14" spans="2:7" x14ac:dyDescent="0.35">
      <c r="B14" s="289" t="s">
        <v>203</v>
      </c>
      <c r="C14" s="289">
        <v>1053.3</v>
      </c>
      <c r="D14" s="289">
        <v>775.3</v>
      </c>
      <c r="E14" s="289">
        <v>817.2</v>
      </c>
      <c r="F14" s="289">
        <v>497.8</v>
      </c>
      <c r="G14" s="289">
        <v>633.5</v>
      </c>
    </row>
    <row r="15" spans="2:7" x14ac:dyDescent="0.35">
      <c r="B15" s="289"/>
      <c r="C15" s="289" t="s">
        <v>200</v>
      </c>
      <c r="D15" s="289" t="s">
        <v>199</v>
      </c>
      <c r="E15" s="289" t="s">
        <v>198</v>
      </c>
      <c r="F15" s="289" t="s">
        <v>197</v>
      </c>
      <c r="G15" s="289" t="s">
        <v>196</v>
      </c>
    </row>
    <row r="16" spans="2:7" x14ac:dyDescent="0.35">
      <c r="B16" s="289" t="s">
        <v>202</v>
      </c>
      <c r="C16" s="289">
        <v>668</v>
      </c>
      <c r="D16" s="289">
        <v>784.4</v>
      </c>
      <c r="E16" s="289">
        <v>889</v>
      </c>
      <c r="F16" s="289">
        <v>496.7</v>
      </c>
      <c r="G16" s="289">
        <v>542.9</v>
      </c>
    </row>
    <row r="17" spans="2:7" x14ac:dyDescent="0.35">
      <c r="B17" s="289"/>
      <c r="C17" s="289" t="s">
        <v>200</v>
      </c>
      <c r="D17" s="289" t="s">
        <v>199</v>
      </c>
      <c r="E17" s="289" t="s">
        <v>198</v>
      </c>
      <c r="F17" s="289" t="s">
        <v>197</v>
      </c>
      <c r="G17" s="289" t="s">
        <v>196</v>
      </c>
    </row>
    <row r="18" spans="2:7" x14ac:dyDescent="0.35">
      <c r="B18" s="289" t="s">
        <v>201</v>
      </c>
      <c r="C18" s="289">
        <v>13.4</v>
      </c>
      <c r="D18" s="289">
        <v>15.1</v>
      </c>
      <c r="E18" s="289">
        <v>17.100000000000001</v>
      </c>
      <c r="F18" s="289">
        <v>15.5</v>
      </c>
      <c r="G18" s="289">
        <v>13.7</v>
      </c>
    </row>
    <row r="19" spans="2:7" x14ac:dyDescent="0.35">
      <c r="B19" s="289"/>
      <c r="C19" s="289" t="s">
        <v>200</v>
      </c>
      <c r="D19" s="289" t="s">
        <v>199</v>
      </c>
      <c r="E19" s="289" t="s">
        <v>198</v>
      </c>
      <c r="F19" s="289" t="s">
        <v>197</v>
      </c>
      <c r="G19" s="289" t="s">
        <v>196</v>
      </c>
    </row>
    <row r="20" spans="2:7" x14ac:dyDescent="0.35">
      <c r="B20" s="289" t="s">
        <v>195</v>
      </c>
      <c r="C20" s="289">
        <v>12.7</v>
      </c>
      <c r="D20" s="289">
        <v>17.2</v>
      </c>
      <c r="E20" s="289">
        <v>25.4</v>
      </c>
      <c r="F20" s="289">
        <v>28.7</v>
      </c>
      <c r="G20" s="289">
        <v>24.9</v>
      </c>
    </row>
  </sheetData>
  <mergeCells count="1">
    <mergeCell ref="B2:G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P&amp;L</vt:lpstr>
      <vt:lpstr>Balance Sheet</vt:lpstr>
      <vt:lpstr>FCF, UCFF</vt:lpstr>
      <vt:lpstr>Discounted Cash Flow, Valuation</vt:lpstr>
      <vt:lpstr>Net Worth</vt:lpstr>
      <vt:lpstr>Borrowings</vt:lpstr>
      <vt:lpstr>PPE</vt:lpstr>
      <vt:lpstr>Key Ratios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Kuntal Desai</dc:creator>
  <cp:lastModifiedBy>Kuntal Desai</cp:lastModifiedBy>
  <dcterms:created xsi:type="dcterms:W3CDTF">2020-06-15T12:07:29Z</dcterms:created>
  <dcterms:modified xsi:type="dcterms:W3CDTF">2020-07-13T14:37:46Z</dcterms:modified>
</cp:coreProperties>
</file>