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04B8CD9E-9507-4CF5-BBB3-694DDBBC7739}" xr6:coauthVersionLast="47" xr6:coauthVersionMax="47" xr10:uidLastSave="{00000000-0000-0000-0000-000000000000}"/>
  <bookViews>
    <workbookView xWindow="-108" yWindow="-108" windowWidth="23256" windowHeight="12456" tabRatio="565" activeTab="4" xr2:uid="{00000000-000D-0000-FFFF-FFFF00000000}"/>
  </bookViews>
  <sheets>
    <sheet name="First_Submission" sheetId="11" r:id="rId1"/>
    <sheet name="Cost-Supply" sheetId="3" r:id="rId2"/>
    <sheet name="Price-Demand" sheetId="7" r:id="rId3"/>
    <sheet name="Model" sheetId="8" r:id="rId4"/>
    <sheet name="Pricing Model" sheetId="12" r:id="rId5"/>
  </sheets>
  <definedNames>
    <definedName name="solver_adj" localSheetId="3">Model!#REF!</definedName>
    <definedName name="solver_cvg" localSheetId="3">0.0001</definedName>
    <definedName name="solver_drv" localSheetId="3">1</definedName>
    <definedName name="solver_est" localSheetId="3">1</definedName>
    <definedName name="solver_itr" localSheetId="3">100</definedName>
    <definedName name="solver_lhs1" localSheetId="3">Model!#REF!</definedName>
    <definedName name="solver_lin" localSheetId="3">2</definedName>
    <definedName name="solver_neg" localSheetId="3">2</definedName>
    <definedName name="solver_num" localSheetId="3">1</definedName>
    <definedName name="solver_nwt" localSheetId="3">1</definedName>
    <definedName name="solver_opt" localSheetId="3">Model!$I$9</definedName>
    <definedName name="solver_pre" localSheetId="3">0.000001</definedName>
    <definedName name="solver_rel1" localSheetId="3">1</definedName>
    <definedName name="solver_rhs1" localSheetId="3">Model!$D$6</definedName>
    <definedName name="solver_scl" localSheetId="3">2</definedName>
    <definedName name="solver_sho" localSheetId="3">2</definedName>
    <definedName name="solver_tim" localSheetId="3">100</definedName>
    <definedName name="solver_tol" localSheetId="3">0.05</definedName>
    <definedName name="solver_typ" localSheetId="3">1</definedName>
    <definedName name="solver_val" localSheetId="3">0</definedName>
  </definedNames>
  <calcPr calcId="191029"/>
</workbook>
</file>

<file path=xl/calcChain.xml><?xml version="1.0" encoding="utf-8"?>
<calcChain xmlns="http://schemas.openxmlformats.org/spreadsheetml/2006/main">
  <c r="G11" i="7" l="1"/>
  <c r="C14" i="7"/>
  <c r="C13" i="7"/>
  <c r="E27" i="8"/>
  <c r="G27" i="8"/>
  <c r="K6" i="12"/>
  <c r="G8" i="12"/>
  <c r="G9" i="12"/>
  <c r="L11" i="12" s="1"/>
  <c r="I14" i="8"/>
  <c r="I15" i="8"/>
  <c r="I16" i="8"/>
  <c r="I17" i="8"/>
  <c r="I19" i="8"/>
  <c r="I20" i="8"/>
  <c r="I21" i="8"/>
  <c r="I22" i="8"/>
  <c r="I23" i="8"/>
  <c r="I24" i="8"/>
  <c r="I25" i="8"/>
  <c r="I26" i="8"/>
  <c r="I13" i="8"/>
  <c r="G14" i="8"/>
  <c r="G15" i="8"/>
  <c r="H15" i="8" s="1"/>
  <c r="G16" i="8"/>
  <c r="H16" i="8" s="1"/>
  <c r="G17" i="8"/>
  <c r="H17" i="8" s="1"/>
  <c r="G18" i="8"/>
  <c r="G19" i="8"/>
  <c r="G20" i="8"/>
  <c r="G21" i="8"/>
  <c r="G22" i="8"/>
  <c r="G23" i="8"/>
  <c r="H23" i="8" s="1"/>
  <c r="G24" i="8"/>
  <c r="H24" i="8" s="1"/>
  <c r="G25" i="8"/>
  <c r="H25" i="8" s="1"/>
  <c r="G26" i="8"/>
  <c r="G13" i="8"/>
  <c r="G9" i="7"/>
  <c r="G7" i="7"/>
  <c r="H20" i="8"/>
  <c r="H21" i="8"/>
  <c r="H13" i="8"/>
  <c r="H14" i="8"/>
  <c r="H19" i="8"/>
  <c r="H22" i="8"/>
  <c r="H26" i="8"/>
  <c r="C10" i="7"/>
  <c r="C9" i="7"/>
  <c r="F14" i="8"/>
  <c r="F15" i="8"/>
  <c r="F16" i="8"/>
  <c r="F17" i="8"/>
  <c r="F18" i="8"/>
  <c r="H18" i="8" s="1"/>
  <c r="I18" i="8" s="1"/>
  <c r="F19" i="8"/>
  <c r="F20" i="8"/>
  <c r="F21" i="8"/>
  <c r="F22" i="8"/>
  <c r="F23" i="8"/>
  <c r="F24" i="8"/>
  <c r="F25" i="8"/>
  <c r="F26" i="8"/>
  <c r="F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13" i="8"/>
  <c r="I11" i="3"/>
  <c r="I12" i="3"/>
  <c r="I13" i="3"/>
  <c r="I14" i="3"/>
  <c r="I15" i="3"/>
  <c r="I17" i="3"/>
  <c r="I18" i="3"/>
  <c r="I19" i="3"/>
  <c r="I20" i="3"/>
  <c r="I21" i="3"/>
  <c r="I23" i="3"/>
  <c r="I10" i="3"/>
  <c r="E17" i="8"/>
  <c r="E19" i="8"/>
  <c r="E20" i="8"/>
  <c r="E21" i="8"/>
  <c r="E22" i="8"/>
  <c r="E23" i="8"/>
  <c r="E24" i="8"/>
  <c r="E25" i="8"/>
  <c r="E26" i="8"/>
  <c r="H11" i="3"/>
  <c r="H13" i="3"/>
  <c r="H14" i="3"/>
  <c r="H15" i="3"/>
  <c r="H16" i="3"/>
  <c r="H17" i="3"/>
  <c r="H18" i="3"/>
  <c r="H19" i="3"/>
  <c r="H20" i="3"/>
  <c r="H21" i="3"/>
  <c r="H22" i="3"/>
  <c r="H23" i="3"/>
  <c r="H12" i="3"/>
  <c r="G14" i="3"/>
  <c r="I6" i="3"/>
  <c r="I5" i="3"/>
  <c r="H6" i="3"/>
  <c r="H5" i="3"/>
  <c r="G6" i="3"/>
  <c r="G5" i="3"/>
  <c r="K10" i="12" l="1"/>
  <c r="L10" i="12" s="1"/>
  <c r="G10" i="12"/>
  <c r="K12" i="12" s="1"/>
  <c r="K13" i="12" s="1"/>
  <c r="K16" i="12" s="1"/>
  <c r="K17" i="12" s="1"/>
  <c r="L6" i="12"/>
  <c r="G5" i="7"/>
  <c r="L12" i="12" l="1"/>
  <c r="L13" i="12" s="1"/>
  <c r="L16" i="12" s="1"/>
  <c r="L17" i="12" s="1"/>
</calcChain>
</file>

<file path=xl/sharedStrings.xml><?xml version="1.0" encoding="utf-8"?>
<sst xmlns="http://schemas.openxmlformats.org/spreadsheetml/2006/main" count="74" uniqueCount="55">
  <si>
    <t xml:space="preserve">  </t>
  </si>
  <si>
    <t>Intercept</t>
  </si>
  <si>
    <t>Slope</t>
  </si>
  <si>
    <t>Order Quantity</t>
  </si>
  <si>
    <t>Warehouse</t>
  </si>
  <si>
    <t>Total Revenue</t>
  </si>
  <si>
    <t>Profit</t>
  </si>
  <si>
    <t>Total Cost</t>
  </si>
  <si>
    <t>Selling Price</t>
  </si>
  <si>
    <t>Demand</t>
  </si>
  <si>
    <t>Profit Margin</t>
  </si>
  <si>
    <t>Panel Cost/Unit</t>
  </si>
  <si>
    <t>Total Cost/Unit</t>
  </si>
  <si>
    <t>Order Quantity Modelling</t>
  </si>
  <si>
    <t>Price</t>
  </si>
  <si>
    <t>Relationship between Order Quantity and Cost of OLED Panel</t>
  </si>
  <si>
    <t>Quantity</t>
  </si>
  <si>
    <t>Per Unit Cost</t>
  </si>
  <si>
    <t>cost/unit</t>
  </si>
  <si>
    <t>Quote from Samsung</t>
  </si>
  <si>
    <t>Price/Unit</t>
  </si>
  <si>
    <t>Line 1</t>
  </si>
  <si>
    <t>Line 2</t>
  </si>
  <si>
    <t>Line 3</t>
  </si>
  <si>
    <t>Warehouse ₹/day</t>
  </si>
  <si>
    <t>Other Costs</t>
  </si>
  <si>
    <t>Capacity</t>
  </si>
  <si>
    <t>Internal</t>
  </si>
  <si>
    <t>Total</t>
  </si>
  <si>
    <t>Other Cost Components</t>
  </si>
  <si>
    <t>Warehouse Storage Days</t>
  </si>
  <si>
    <t>Selling Price &amp; Demand</t>
  </si>
  <si>
    <t>Price &amp; Demand Relationship</t>
  </si>
  <si>
    <t>LINE 1</t>
  </si>
  <si>
    <t>LINE 2</t>
  </si>
  <si>
    <t>LINE 3</t>
  </si>
  <si>
    <t>Model Input</t>
  </si>
  <si>
    <t>Warehouse Utilization</t>
  </si>
  <si>
    <t>Intermediate variables</t>
  </si>
  <si>
    <t>Order</t>
  </si>
  <si>
    <t>Warehouse storage days</t>
  </si>
  <si>
    <t>Cost</t>
  </si>
  <si>
    <t>Other Components</t>
  </si>
  <si>
    <t>Ware house rent per day</t>
  </si>
  <si>
    <t>Revenue</t>
  </si>
  <si>
    <t>Cost price</t>
  </si>
  <si>
    <t>Per unit</t>
  </si>
  <si>
    <t>Panel cost</t>
  </si>
  <si>
    <t>Fixed Components</t>
  </si>
  <si>
    <t>Warehouse cost</t>
  </si>
  <si>
    <t>Storage capacity</t>
  </si>
  <si>
    <t xml:space="preserve">Warehouse </t>
  </si>
  <si>
    <t>Parameters</t>
  </si>
  <si>
    <t>Model Output (Revenue, Cost, Profit Margin)</t>
  </si>
  <si>
    <t>Total Cost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</si>
</sst>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₹&quot;\ #,##0;[Red]&quot;₹&quot;\ \-#,##0"/>
    <numFmt numFmtId="8" formatCode="&quot;₹&quot;\ #,##0.00;[Red]&quot;₹&quot;\ \-#,##0.00"/>
    <numFmt numFmtId="42" formatCode="_ &quot;₹&quot;\ * #,##0_ ;_ &quot;₹&quot;\ * \-#,##0_ ;_ &quot;₹&quot;\ * &quot;-&quot;_ ;_ @_ "/>
    <numFmt numFmtId="44" formatCode="_ &quot;₹&quot;\ * #,##0.00_ ;_ &quot;₹&quot;\ * \-#,##0.00_ ;_ &quot;₹&quot;\ * &quot;-&quot;??_ ;_ @_ "/>
    <numFmt numFmtId="164" formatCode="&quot;$&quot;#,##0_);[Red]\(&quot;$&quot;#,##0\)"/>
    <numFmt numFmtId="165" formatCode="#,##0.0"/>
    <numFmt numFmtId="166" formatCode="#,##0.0000"/>
    <numFmt numFmtId="167" formatCode="_-[$$-409]* #,##0.00_ ;_-[$$-409]* \-#,##0.00\ ;_-[$$-409]* &quot;-&quot;??_ ;_-@_ "/>
    <numFmt numFmtId="169" formatCode="_-[$$-409]* #,##0_ ;_-[$$-409]* \-#,##0\ ;_-[$$-409]* &quot;-&quot;_ ;_-@_ "/>
  </numFmts>
  <fonts count="15" x14ac:knownFonts="1">
    <font>
      <sz val="11"/>
      <color theme="1" tint="0.24994659260841701"/>
      <name val="Nunito"/>
    </font>
    <font>
      <sz val="10"/>
      <color rgb="FF000000"/>
      <name val="Arial"/>
      <family val="2"/>
      <scheme val="minor"/>
    </font>
    <font>
      <sz val="11"/>
      <color rgb="FF3F3F76"/>
      <name val="Nunito"/>
      <family val="2"/>
    </font>
    <font>
      <b/>
      <sz val="18"/>
      <color theme="1" tint="0.24994659260841701"/>
      <name val="Nunito"/>
    </font>
    <font>
      <b/>
      <sz val="11"/>
      <color theme="1" tint="0.24994659260841701"/>
      <name val="Nunito"/>
    </font>
    <font>
      <b/>
      <sz val="18"/>
      <color theme="1"/>
      <name val="Nunito"/>
    </font>
    <font>
      <sz val="11"/>
      <color theme="1"/>
      <name val="Nunito"/>
    </font>
    <font>
      <sz val="11"/>
      <color rgb="FF333333"/>
      <name val="Nunito"/>
    </font>
    <font>
      <sz val="11"/>
      <color rgb="FF000000"/>
      <name val="Nunito"/>
    </font>
    <font>
      <sz val="11"/>
      <color rgb="FFFFFFFF"/>
      <name val="Nunito"/>
    </font>
    <font>
      <b/>
      <sz val="11"/>
      <color rgb="FF000000"/>
      <name val="Nunito"/>
    </font>
    <font>
      <sz val="11"/>
      <color theme="1" tint="0.249977111117893"/>
      <name val="Nunito"/>
    </font>
    <font>
      <b/>
      <sz val="18"/>
      <color theme="1" tint="0.249977111117893"/>
      <name val="Nunito"/>
    </font>
    <font>
      <b/>
      <sz val="11"/>
      <color theme="1" tint="0.249977111117893"/>
      <name val="Nunito"/>
    </font>
    <font>
      <sz val="11"/>
      <color theme="1" tint="0.24994659260841701"/>
      <name val="Nunito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C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0" fillId="0" borderId="2" xfId="0" applyBorder="1"/>
    <xf numFmtId="0" fontId="3" fillId="0" borderId="0" xfId="0" applyFont="1"/>
    <xf numFmtId="0" fontId="4" fillId="0" borderId="0" xfId="0" applyFont="1"/>
    <xf numFmtId="6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left"/>
    </xf>
    <xf numFmtId="6" fontId="6" fillId="0" borderId="2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/>
    <xf numFmtId="164" fontId="11" fillId="0" borderId="2" xfId="0" applyNumberFormat="1" applyFont="1" applyBorder="1" applyAlignment="1">
      <alignment horizontal="right"/>
    </xf>
    <xf numFmtId="6" fontId="11" fillId="0" borderId="2" xfId="0" applyNumberFormat="1" applyFont="1" applyBorder="1" applyAlignment="1">
      <alignment horizontal="center"/>
    </xf>
    <xf numFmtId="166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0" fontId="11" fillId="0" borderId="2" xfId="0" applyFont="1" applyBorder="1"/>
    <xf numFmtId="3" fontId="11" fillId="0" borderId="2" xfId="0" applyNumberFormat="1" applyFont="1" applyBorder="1"/>
    <xf numFmtId="6" fontId="11" fillId="0" borderId="2" xfId="0" applyNumberFormat="1" applyFont="1" applyBorder="1"/>
    <xf numFmtId="16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6" fontId="0" fillId="0" borderId="0" xfId="0" applyNumberFormat="1"/>
    <xf numFmtId="10" fontId="0" fillId="0" borderId="2" xfId="0" applyNumberFormat="1" applyBorder="1"/>
    <xf numFmtId="6" fontId="2" fillId="2" borderId="1" xfId="1" applyNumberFormat="1" applyAlignment="1">
      <alignment horizontal="center" vertical="center"/>
    </xf>
    <xf numFmtId="3" fontId="0" fillId="0" borderId="0" xfId="0" applyNumberFormat="1"/>
    <xf numFmtId="165" fontId="6" fillId="0" borderId="0" xfId="0" applyNumberFormat="1" applyFont="1" applyAlignment="1">
      <alignment horizontal="center"/>
    </xf>
    <xf numFmtId="6" fontId="8" fillId="0" borderId="0" xfId="0" applyNumberFormat="1" applyFont="1"/>
    <xf numFmtId="8" fontId="8" fillId="0" borderId="0" xfId="0" applyNumberFormat="1" applyFont="1"/>
    <xf numFmtId="3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8" fontId="0" fillId="0" borderId="0" xfId="0" applyNumberFormat="1"/>
    <xf numFmtId="0" fontId="0" fillId="0" borderId="0" xfId="0" applyAlignment="1">
      <alignment horizontal="center"/>
    </xf>
    <xf numFmtId="0" fontId="0" fillId="5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9" fontId="0" fillId="5" borderId="3" xfId="0" applyNumberFormat="1" applyFill="1" applyBorder="1" applyAlignment="1">
      <alignment horizontal="center"/>
    </xf>
    <xf numFmtId="42" fontId="0" fillId="0" borderId="0" xfId="0" applyNumberFormat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0" fontId="0" fillId="14" borderId="3" xfId="3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9" fontId="0" fillId="5" borderId="3" xfId="0" applyNumberFormat="1" applyFill="1" applyBorder="1" applyAlignment="1">
      <alignment horizontal="center"/>
    </xf>
    <xf numFmtId="169" fontId="0" fillId="7" borderId="3" xfId="0" applyNumberFormat="1" applyFill="1" applyBorder="1" applyAlignment="1">
      <alignment horizontal="center"/>
    </xf>
    <xf numFmtId="169" fontId="0" fillId="10" borderId="3" xfId="0" applyNumberFormat="1" applyFill="1" applyBorder="1" applyAlignment="1">
      <alignment horizontal="center"/>
    </xf>
    <xf numFmtId="169" fontId="0" fillId="10" borderId="3" xfId="2" applyNumberFormat="1" applyFont="1" applyFill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3" xfId="0" applyNumberFormat="1" applyBorder="1" applyAlignment="1">
      <alignment horizontal="center"/>
    </xf>
    <xf numFmtId="169" fontId="0" fillId="13" borderId="3" xfId="0" applyNumberFormat="1" applyFill="1" applyBorder="1" applyAlignment="1">
      <alignment horizontal="center"/>
    </xf>
    <xf numFmtId="3" fontId="11" fillId="0" borderId="4" xfId="0" applyNumberFormat="1" applyFont="1" applyFill="1" applyBorder="1" applyAlignment="1">
      <alignment horizontal="center"/>
    </xf>
    <xf numFmtId="0" fontId="0" fillId="0" borderId="4" xfId="0" applyFill="1" applyBorder="1"/>
    <xf numFmtId="6" fontId="0" fillId="0" borderId="4" xfId="0" applyNumberFormat="1" applyFill="1" applyBorder="1"/>
  </cellXfs>
  <cellStyles count="4">
    <cellStyle name="Currency" xfId="2" builtinId="4"/>
    <cellStyle name="Input" xfId="1" builtinId="20"/>
    <cellStyle name="Normal" xfId="0" builtinId="0" customBuiltin="1"/>
    <cellStyle name="Percent" xfId="3" builtinId="5"/>
  </cellStyles>
  <dxfs count="0"/>
  <tableStyles count="0" defaultTableStyle="TableStyleMedium2" defaultPivotStyle="PivotStyleLight16"/>
  <colors>
    <mruColors>
      <color rgb="FF00B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77EE-86AF-481B-918B-1CD0C3E4CCA6}">
  <dimension ref="A1:Z996"/>
  <sheetViews>
    <sheetView showGridLines="0" topLeftCell="A2" zoomScale="85" zoomScaleNormal="85" workbookViewId="0">
      <selection activeCell="C10" sqref="C10"/>
    </sheetView>
  </sheetViews>
  <sheetFormatPr defaultColWidth="12.6328125" defaultRowHeight="15.6" x14ac:dyDescent="0.35"/>
  <cols>
    <col min="1" max="1" width="0.90625" customWidth="1"/>
    <col min="2" max="2" width="12.36328125" customWidth="1"/>
    <col min="3" max="5" width="16.6328125" customWidth="1"/>
    <col min="6" max="6" width="3.453125" customWidth="1"/>
    <col min="7" max="7" width="8.453125" customWidth="1"/>
    <col min="8" max="11" width="12.6328125" customWidth="1"/>
    <col min="12" max="13" width="0.90625" customWidth="1"/>
    <col min="14" max="17" width="8.90625" customWidth="1"/>
    <col min="18" max="18" width="14.453125" customWidth="1"/>
    <col min="19" max="26" width="8.90625" customWidth="1"/>
  </cols>
  <sheetData>
    <row r="1" spans="1:26" x14ac:dyDescent="0.35">
      <c r="A1" s="8"/>
      <c r="C1" s="8"/>
      <c r="D1" s="8"/>
      <c r="E1" s="8"/>
      <c r="F1" s="8"/>
      <c r="G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6.4" x14ac:dyDescent="0.6">
      <c r="A2" s="15"/>
      <c r="B2" s="7" t="s">
        <v>15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0" customFormat="1" x14ac:dyDescent="0.35">
      <c r="A3" s="8"/>
      <c r="B3" s="8"/>
      <c r="C3" s="9"/>
      <c r="D3" s="9"/>
      <c r="E3" s="9"/>
      <c r="F3" s="9"/>
      <c r="G3" s="9"/>
      <c r="H3" s="9"/>
      <c r="I3" s="9"/>
      <c r="J3" s="9"/>
      <c r="K3" s="9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s="10" customFormat="1" x14ac:dyDescent="0.35">
      <c r="A4" s="8"/>
      <c r="F4" s="9"/>
      <c r="G4" s="9"/>
      <c r="H4" s="9"/>
      <c r="I4" s="9"/>
      <c r="J4" s="9"/>
      <c r="K4" s="9"/>
      <c r="L4" s="8"/>
      <c r="M4" s="8"/>
      <c r="N4" s="11"/>
      <c r="O4" s="8"/>
    </row>
    <row r="5" spans="1:26" s="10" customFormat="1" x14ac:dyDescent="0.35">
      <c r="A5" s="8"/>
      <c r="B5" s="37" t="s">
        <v>16</v>
      </c>
      <c r="C5" s="37" t="s">
        <v>17</v>
      </c>
      <c r="F5" s="9"/>
      <c r="G5" s="9"/>
      <c r="J5"/>
      <c r="K5"/>
      <c r="L5" s="8"/>
      <c r="M5" s="8"/>
      <c r="N5" s="11"/>
      <c r="O5" s="8"/>
    </row>
    <row r="6" spans="1:26" s="10" customFormat="1" x14ac:dyDescent="0.35">
      <c r="A6" s="8"/>
      <c r="B6" s="45">
        <v>1</v>
      </c>
      <c r="C6" s="45">
        <v>1750</v>
      </c>
      <c r="F6" s="9"/>
      <c r="G6" s="9"/>
      <c r="J6"/>
      <c r="K6"/>
      <c r="L6" s="8"/>
      <c r="M6" s="8"/>
      <c r="N6" s="11"/>
      <c r="O6" s="8"/>
    </row>
    <row r="7" spans="1:26" s="10" customFormat="1" x14ac:dyDescent="0.35">
      <c r="A7" s="8"/>
      <c r="B7" s="46">
        <v>1000</v>
      </c>
      <c r="C7" s="46">
        <v>1575</v>
      </c>
      <c r="F7" s="9"/>
      <c r="G7" s="9"/>
      <c r="H7" s="9"/>
      <c r="I7" s="9"/>
      <c r="J7" s="9"/>
      <c r="K7" s="9"/>
      <c r="L7" s="8"/>
      <c r="M7" s="8"/>
      <c r="N7" s="8"/>
      <c r="O7" s="8"/>
    </row>
    <row r="8" spans="1:26" s="10" customFormat="1" x14ac:dyDescent="0.35">
      <c r="A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26" s="10" customFormat="1" x14ac:dyDescent="0.35">
      <c r="A9" s="8"/>
      <c r="B9"/>
      <c r="C9"/>
      <c r="D9"/>
      <c r="E9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26" s="10" customFormat="1" x14ac:dyDescent="0.35">
      <c r="A10" s="8"/>
      <c r="B10" s="47" t="s">
        <v>1</v>
      </c>
      <c r="C10" s="12"/>
      <c r="D10"/>
      <c r="E10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26" s="10" customFormat="1" x14ac:dyDescent="0.35">
      <c r="A11" s="8"/>
      <c r="B11" s="47" t="s">
        <v>2</v>
      </c>
      <c r="C11" s="48"/>
      <c r="D11"/>
      <c r="E11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26" s="10" customFormat="1" x14ac:dyDescent="0.35">
      <c r="A12" s="8"/>
      <c r="B12"/>
      <c r="C12"/>
      <c r="D12"/>
      <c r="E12"/>
      <c r="F12" s="42"/>
      <c r="G12" s="8"/>
      <c r="H12" s="8"/>
      <c r="I12" s="8"/>
      <c r="J12" s="8"/>
      <c r="K12" s="8"/>
      <c r="L12" s="8"/>
      <c r="M12" s="8"/>
      <c r="N12" s="8"/>
      <c r="O12" s="8"/>
    </row>
    <row r="13" spans="1:26" s="10" customFormat="1" x14ac:dyDescent="0.35">
      <c r="A13" s="8"/>
      <c r="B13"/>
      <c r="C13"/>
      <c r="D13"/>
      <c r="E13"/>
      <c r="F13" s="42"/>
      <c r="G13" s="8"/>
      <c r="H13" s="8"/>
      <c r="I13" s="8"/>
      <c r="J13" s="8"/>
      <c r="K13" s="8"/>
      <c r="L13" s="8"/>
      <c r="M13" s="8"/>
      <c r="N13" s="8"/>
      <c r="O13" s="8"/>
      <c r="V13" s="16"/>
    </row>
    <row r="14" spans="1:26" s="10" customFormat="1" x14ac:dyDescent="0.35">
      <c r="A14" s="8"/>
      <c r="B14"/>
      <c r="C14"/>
      <c r="D14"/>
      <c r="E14"/>
      <c r="F14" s="42"/>
      <c r="G14" s="8"/>
      <c r="H14" s="8"/>
      <c r="I14" s="8"/>
      <c r="J14" s="8"/>
      <c r="K14" s="8"/>
      <c r="L14" s="8"/>
      <c r="M14" s="8"/>
      <c r="N14" s="8"/>
      <c r="O14" s="8"/>
    </row>
    <row r="15" spans="1:26" s="10" customFormat="1" x14ac:dyDescent="0.35">
      <c r="A15" s="8"/>
      <c r="D15"/>
      <c r="E15"/>
      <c r="F15" s="42"/>
      <c r="G15" s="8"/>
      <c r="H15" s="8"/>
      <c r="I15" s="8"/>
      <c r="J15" s="8"/>
      <c r="K15" s="8"/>
      <c r="L15" s="8"/>
      <c r="M15" s="8"/>
      <c r="N15" s="8"/>
      <c r="O15" s="8" t="s">
        <v>0</v>
      </c>
    </row>
    <row r="16" spans="1:26" s="10" customFormat="1" x14ac:dyDescent="0.35">
      <c r="A16" s="8"/>
      <c r="D16"/>
      <c r="E16"/>
      <c r="F16" s="42"/>
      <c r="G16" s="8"/>
      <c r="H16" s="8"/>
      <c r="I16" s="8"/>
      <c r="J16" s="8"/>
      <c r="K16" s="8"/>
      <c r="L16" s="8"/>
      <c r="M16" s="8"/>
      <c r="N16" s="8"/>
      <c r="O16" s="8"/>
    </row>
    <row r="17" spans="1:26" s="10" customFormat="1" x14ac:dyDescent="0.35">
      <c r="A17" s="8"/>
      <c r="B17"/>
      <c r="C17"/>
      <c r="D17"/>
      <c r="E17"/>
      <c r="F17" s="42"/>
      <c r="G17" s="8"/>
      <c r="H17" s="8"/>
      <c r="I17" s="8"/>
      <c r="J17" s="8"/>
      <c r="K17" s="8"/>
      <c r="L17" s="8"/>
      <c r="M17" s="8"/>
      <c r="N17" s="8"/>
      <c r="O17" s="8"/>
    </row>
    <row r="18" spans="1:26" s="10" customFormat="1" x14ac:dyDescent="0.35">
      <c r="A18" s="8"/>
      <c r="B18"/>
      <c r="C18"/>
      <c r="D18"/>
      <c r="E18"/>
      <c r="F18" s="42"/>
      <c r="G18" s="8"/>
      <c r="H18" s="8"/>
      <c r="I18" s="8"/>
      <c r="J18" s="8"/>
      <c r="K18" s="8"/>
      <c r="L18" s="8"/>
      <c r="M18" s="8"/>
      <c r="N18" s="8"/>
      <c r="O18" s="8"/>
    </row>
    <row r="19" spans="1:26" s="10" customFormat="1" x14ac:dyDescent="0.35">
      <c r="A19" s="8"/>
      <c r="B19"/>
      <c r="C19"/>
      <c r="D19"/>
      <c r="E19"/>
      <c r="F19" s="42"/>
      <c r="G19" s="8"/>
      <c r="H19" s="8"/>
      <c r="I19" s="8"/>
      <c r="J19" s="8"/>
      <c r="K19" s="8"/>
      <c r="L19" s="8"/>
      <c r="M19" s="8"/>
      <c r="N19" s="8"/>
      <c r="O19" s="8"/>
      <c r="R19" s="43"/>
    </row>
    <row r="20" spans="1:26" s="10" customFormat="1" x14ac:dyDescent="0.35">
      <c r="A20" s="8"/>
      <c r="B20"/>
      <c r="C20"/>
      <c r="D20"/>
      <c r="E20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26" s="10" customFormat="1" x14ac:dyDescent="0.35">
      <c r="A21" s="8"/>
      <c r="B21"/>
      <c r="C21"/>
      <c r="D21"/>
      <c r="E21"/>
      <c r="F21" s="8"/>
      <c r="G21" s="8"/>
      <c r="H21" s="8"/>
      <c r="I21" s="8"/>
      <c r="J21" s="8"/>
      <c r="K21" s="8"/>
      <c r="L21" s="8"/>
      <c r="M21" s="8"/>
      <c r="N21" s="8"/>
      <c r="O21" s="8"/>
      <c r="R21" s="44"/>
      <c r="S21" s="43"/>
    </row>
    <row r="22" spans="1:26" s="10" customFormat="1" x14ac:dyDescent="0.35">
      <c r="A22" s="8"/>
      <c r="B22"/>
      <c r="C22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26" s="10" customFormat="1" x14ac:dyDescent="0.35">
      <c r="A23" s="8"/>
      <c r="B23"/>
      <c r="C23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26" s="10" customFormat="1" x14ac:dyDescent="0.35">
      <c r="A24" s="8"/>
      <c r="B24"/>
      <c r="C24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26" s="10" customFormat="1" x14ac:dyDescent="0.35">
      <c r="A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26" s="10" customFormat="1" x14ac:dyDescent="0.35">
      <c r="A26" s="8"/>
      <c r="B26" s="13"/>
      <c r="C26" s="14"/>
      <c r="D26" s="14"/>
      <c r="E26" s="14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26" s="10" customFormat="1" x14ac:dyDescent="0.35">
      <c r="A27" s="8"/>
      <c r="B27" s="1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26" s="10" customFormat="1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35">
      <c r="A35" s="8"/>
      <c r="B35" s="1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x14ac:dyDescent="0.3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x14ac:dyDescent="0.3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x14ac:dyDescent="0.3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x14ac:dyDescent="0.3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x14ac:dyDescent="0.3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x14ac:dyDescent="0.3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x14ac:dyDescent="0.3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x14ac:dyDescent="0.3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x14ac:dyDescent="0.3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x14ac:dyDescent="0.3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x14ac:dyDescent="0.3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x14ac:dyDescent="0.3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x14ac:dyDescent="0.3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x14ac:dyDescent="0.3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x14ac:dyDescent="0.3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x14ac:dyDescent="0.3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x14ac:dyDescent="0.3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x14ac:dyDescent="0.3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x14ac:dyDescent="0.3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x14ac:dyDescent="0.3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x14ac:dyDescent="0.3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x14ac:dyDescent="0.3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x14ac:dyDescent="0.3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x14ac:dyDescent="0.3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x14ac:dyDescent="0.3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x14ac:dyDescent="0.3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x14ac:dyDescent="0.3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x14ac:dyDescent="0.3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x14ac:dyDescent="0.3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x14ac:dyDescent="0.3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x14ac:dyDescent="0.3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x14ac:dyDescent="0.3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x14ac:dyDescent="0.3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x14ac:dyDescent="0.3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x14ac:dyDescent="0.3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x14ac:dyDescent="0.3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x14ac:dyDescent="0.3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x14ac:dyDescent="0.3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x14ac:dyDescent="0.3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x14ac:dyDescent="0.3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x14ac:dyDescent="0.3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x14ac:dyDescent="0.3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x14ac:dyDescent="0.3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x14ac:dyDescent="0.3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x14ac:dyDescent="0.3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x14ac:dyDescent="0.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x14ac:dyDescent="0.3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x14ac:dyDescent="0.3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x14ac:dyDescent="0.3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x14ac:dyDescent="0.3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x14ac:dyDescent="0.3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x14ac:dyDescent="0.3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x14ac:dyDescent="0.3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x14ac:dyDescent="0.3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x14ac:dyDescent="0.3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x14ac:dyDescent="0.3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x14ac:dyDescent="0.3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x14ac:dyDescent="0.3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x14ac:dyDescent="0.3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x14ac:dyDescent="0.3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x14ac:dyDescent="0.3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x14ac:dyDescent="0.3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x14ac:dyDescent="0.3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x14ac:dyDescent="0.3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x14ac:dyDescent="0.3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x14ac:dyDescent="0.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x14ac:dyDescent="0.3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x14ac:dyDescent="0.3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x14ac:dyDescent="0.3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x14ac:dyDescent="0.3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x14ac:dyDescent="0.3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x14ac:dyDescent="0.3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x14ac:dyDescent="0.3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x14ac:dyDescent="0.3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x14ac:dyDescent="0.3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x14ac:dyDescent="0.3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x14ac:dyDescent="0.3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x14ac:dyDescent="0.3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x14ac:dyDescent="0.3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x14ac:dyDescent="0.3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x14ac:dyDescent="0.3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x14ac:dyDescent="0.3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x14ac:dyDescent="0.3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x14ac:dyDescent="0.3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x14ac:dyDescent="0.3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x14ac:dyDescent="0.3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x14ac:dyDescent="0.3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x14ac:dyDescent="0.3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x14ac:dyDescent="0.3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x14ac:dyDescent="0.3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x14ac:dyDescent="0.3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x14ac:dyDescent="0.3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x14ac:dyDescent="0.3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x14ac:dyDescent="0.3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x14ac:dyDescent="0.3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x14ac:dyDescent="0.3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x14ac:dyDescent="0.3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x14ac:dyDescent="0.3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x14ac:dyDescent="0.3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x14ac:dyDescent="0.3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x14ac:dyDescent="0.3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x14ac:dyDescent="0.3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x14ac:dyDescent="0.3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x14ac:dyDescent="0.3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x14ac:dyDescent="0.3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x14ac:dyDescent="0.3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x14ac:dyDescent="0.3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x14ac:dyDescent="0.3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x14ac:dyDescent="0.3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x14ac:dyDescent="0.3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x14ac:dyDescent="0.3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x14ac:dyDescent="0.3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x14ac:dyDescent="0.3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x14ac:dyDescent="0.3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x14ac:dyDescent="0.3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x14ac:dyDescent="0.3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x14ac:dyDescent="0.3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x14ac:dyDescent="0.3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x14ac:dyDescent="0.3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x14ac:dyDescent="0.3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x14ac:dyDescent="0.3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x14ac:dyDescent="0.3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x14ac:dyDescent="0.3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x14ac:dyDescent="0.3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x14ac:dyDescent="0.3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x14ac:dyDescent="0.3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x14ac:dyDescent="0.3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x14ac:dyDescent="0.3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x14ac:dyDescent="0.3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x14ac:dyDescent="0.3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x14ac:dyDescent="0.3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x14ac:dyDescent="0.3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x14ac:dyDescent="0.3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x14ac:dyDescent="0.3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x14ac:dyDescent="0.3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x14ac:dyDescent="0.3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x14ac:dyDescent="0.3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x14ac:dyDescent="0.3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x14ac:dyDescent="0.3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x14ac:dyDescent="0.3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x14ac:dyDescent="0.3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x14ac:dyDescent="0.3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x14ac:dyDescent="0.3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x14ac:dyDescent="0.3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x14ac:dyDescent="0.3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x14ac:dyDescent="0.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x14ac:dyDescent="0.3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x14ac:dyDescent="0.3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x14ac:dyDescent="0.3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x14ac:dyDescent="0.3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x14ac:dyDescent="0.3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x14ac:dyDescent="0.3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x14ac:dyDescent="0.3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x14ac:dyDescent="0.3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x14ac:dyDescent="0.3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x14ac:dyDescent="0.3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x14ac:dyDescent="0.3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x14ac:dyDescent="0.3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x14ac:dyDescent="0.3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x14ac:dyDescent="0.3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x14ac:dyDescent="0.3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x14ac:dyDescent="0.3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x14ac:dyDescent="0.3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x14ac:dyDescent="0.3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x14ac:dyDescent="0.3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x14ac:dyDescent="0.3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x14ac:dyDescent="0.3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x14ac:dyDescent="0.3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x14ac:dyDescent="0.3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x14ac:dyDescent="0.3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x14ac:dyDescent="0.3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x14ac:dyDescent="0.3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x14ac:dyDescent="0.3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x14ac:dyDescent="0.3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x14ac:dyDescent="0.3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x14ac:dyDescent="0.3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x14ac:dyDescent="0.3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x14ac:dyDescent="0.3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x14ac:dyDescent="0.3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x14ac:dyDescent="0.3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x14ac:dyDescent="0.3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x14ac:dyDescent="0.3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x14ac:dyDescent="0.3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x14ac:dyDescent="0.3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x14ac:dyDescent="0.3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x14ac:dyDescent="0.3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x14ac:dyDescent="0.3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x14ac:dyDescent="0.3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x14ac:dyDescent="0.3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x14ac:dyDescent="0.3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x14ac:dyDescent="0.3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x14ac:dyDescent="0.3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x14ac:dyDescent="0.3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x14ac:dyDescent="0.3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x14ac:dyDescent="0.3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x14ac:dyDescent="0.3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x14ac:dyDescent="0.3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x14ac:dyDescent="0.3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x14ac:dyDescent="0.3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x14ac:dyDescent="0.3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x14ac:dyDescent="0.3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x14ac:dyDescent="0.3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x14ac:dyDescent="0.3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x14ac:dyDescent="0.3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x14ac:dyDescent="0.3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x14ac:dyDescent="0.3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x14ac:dyDescent="0.3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x14ac:dyDescent="0.3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x14ac:dyDescent="0.3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x14ac:dyDescent="0.3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x14ac:dyDescent="0.3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x14ac:dyDescent="0.3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x14ac:dyDescent="0.3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x14ac:dyDescent="0.3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x14ac:dyDescent="0.3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x14ac:dyDescent="0.3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x14ac:dyDescent="0.3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x14ac:dyDescent="0.3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x14ac:dyDescent="0.3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x14ac:dyDescent="0.3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x14ac:dyDescent="0.3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x14ac:dyDescent="0.3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x14ac:dyDescent="0.3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x14ac:dyDescent="0.3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x14ac:dyDescent="0.3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x14ac:dyDescent="0.3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x14ac:dyDescent="0.3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x14ac:dyDescent="0.3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x14ac:dyDescent="0.3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x14ac:dyDescent="0.3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x14ac:dyDescent="0.3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x14ac:dyDescent="0.3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x14ac:dyDescent="0.3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x14ac:dyDescent="0.3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x14ac:dyDescent="0.3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x14ac:dyDescent="0.3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x14ac:dyDescent="0.3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x14ac:dyDescent="0.3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x14ac:dyDescent="0.3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x14ac:dyDescent="0.3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x14ac:dyDescent="0.3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x14ac:dyDescent="0.3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x14ac:dyDescent="0.3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x14ac:dyDescent="0.3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x14ac:dyDescent="0.3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x14ac:dyDescent="0.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x14ac:dyDescent="0.3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x14ac:dyDescent="0.3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x14ac:dyDescent="0.3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x14ac:dyDescent="0.3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x14ac:dyDescent="0.3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x14ac:dyDescent="0.3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x14ac:dyDescent="0.3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x14ac:dyDescent="0.3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x14ac:dyDescent="0.3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x14ac:dyDescent="0.3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x14ac:dyDescent="0.3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x14ac:dyDescent="0.3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x14ac:dyDescent="0.3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x14ac:dyDescent="0.3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x14ac:dyDescent="0.3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x14ac:dyDescent="0.3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x14ac:dyDescent="0.3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x14ac:dyDescent="0.3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x14ac:dyDescent="0.3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x14ac:dyDescent="0.3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x14ac:dyDescent="0.3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x14ac:dyDescent="0.3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x14ac:dyDescent="0.3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x14ac:dyDescent="0.3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x14ac:dyDescent="0.3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x14ac:dyDescent="0.3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x14ac:dyDescent="0.3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x14ac:dyDescent="0.3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x14ac:dyDescent="0.3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x14ac:dyDescent="0.3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x14ac:dyDescent="0.3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x14ac:dyDescent="0.3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x14ac:dyDescent="0.3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x14ac:dyDescent="0.3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x14ac:dyDescent="0.3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x14ac:dyDescent="0.3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x14ac:dyDescent="0.3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x14ac:dyDescent="0.3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x14ac:dyDescent="0.3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x14ac:dyDescent="0.3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x14ac:dyDescent="0.3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x14ac:dyDescent="0.3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x14ac:dyDescent="0.3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x14ac:dyDescent="0.3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x14ac:dyDescent="0.3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x14ac:dyDescent="0.3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x14ac:dyDescent="0.3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x14ac:dyDescent="0.3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x14ac:dyDescent="0.3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x14ac:dyDescent="0.3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x14ac:dyDescent="0.3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x14ac:dyDescent="0.3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x14ac:dyDescent="0.3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x14ac:dyDescent="0.3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x14ac:dyDescent="0.3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x14ac:dyDescent="0.3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x14ac:dyDescent="0.3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x14ac:dyDescent="0.3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x14ac:dyDescent="0.3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x14ac:dyDescent="0.3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x14ac:dyDescent="0.3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x14ac:dyDescent="0.3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x14ac:dyDescent="0.3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x14ac:dyDescent="0.3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x14ac:dyDescent="0.3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x14ac:dyDescent="0.3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x14ac:dyDescent="0.3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x14ac:dyDescent="0.3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x14ac:dyDescent="0.3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x14ac:dyDescent="0.3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x14ac:dyDescent="0.3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x14ac:dyDescent="0.3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x14ac:dyDescent="0.3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x14ac:dyDescent="0.3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x14ac:dyDescent="0.3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x14ac:dyDescent="0.3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x14ac:dyDescent="0.3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x14ac:dyDescent="0.3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x14ac:dyDescent="0.3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x14ac:dyDescent="0.3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x14ac:dyDescent="0.3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x14ac:dyDescent="0.3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x14ac:dyDescent="0.3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x14ac:dyDescent="0.3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x14ac:dyDescent="0.3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x14ac:dyDescent="0.3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x14ac:dyDescent="0.3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x14ac:dyDescent="0.3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x14ac:dyDescent="0.3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x14ac:dyDescent="0.3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x14ac:dyDescent="0.3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x14ac:dyDescent="0.3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x14ac:dyDescent="0.3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x14ac:dyDescent="0.3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x14ac:dyDescent="0.3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x14ac:dyDescent="0.3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x14ac:dyDescent="0.3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x14ac:dyDescent="0.3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x14ac:dyDescent="0.3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x14ac:dyDescent="0.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x14ac:dyDescent="0.3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x14ac:dyDescent="0.3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x14ac:dyDescent="0.3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x14ac:dyDescent="0.3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x14ac:dyDescent="0.3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x14ac:dyDescent="0.3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x14ac:dyDescent="0.3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x14ac:dyDescent="0.3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x14ac:dyDescent="0.3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x14ac:dyDescent="0.3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x14ac:dyDescent="0.3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x14ac:dyDescent="0.3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x14ac:dyDescent="0.3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x14ac:dyDescent="0.3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x14ac:dyDescent="0.3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x14ac:dyDescent="0.3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x14ac:dyDescent="0.3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x14ac:dyDescent="0.3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x14ac:dyDescent="0.3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x14ac:dyDescent="0.3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x14ac:dyDescent="0.3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x14ac:dyDescent="0.3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x14ac:dyDescent="0.3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x14ac:dyDescent="0.3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x14ac:dyDescent="0.3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x14ac:dyDescent="0.3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x14ac:dyDescent="0.3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x14ac:dyDescent="0.3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x14ac:dyDescent="0.3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x14ac:dyDescent="0.3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x14ac:dyDescent="0.3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x14ac:dyDescent="0.3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x14ac:dyDescent="0.3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x14ac:dyDescent="0.3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x14ac:dyDescent="0.3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x14ac:dyDescent="0.3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x14ac:dyDescent="0.3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x14ac:dyDescent="0.3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x14ac:dyDescent="0.3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x14ac:dyDescent="0.3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x14ac:dyDescent="0.3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x14ac:dyDescent="0.3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x14ac:dyDescent="0.3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x14ac:dyDescent="0.3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x14ac:dyDescent="0.3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x14ac:dyDescent="0.3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x14ac:dyDescent="0.3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x14ac:dyDescent="0.3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x14ac:dyDescent="0.3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x14ac:dyDescent="0.3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x14ac:dyDescent="0.3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x14ac:dyDescent="0.3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x14ac:dyDescent="0.3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x14ac:dyDescent="0.3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x14ac:dyDescent="0.3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x14ac:dyDescent="0.3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x14ac:dyDescent="0.3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x14ac:dyDescent="0.3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x14ac:dyDescent="0.3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x14ac:dyDescent="0.3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x14ac:dyDescent="0.3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x14ac:dyDescent="0.3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x14ac:dyDescent="0.3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x14ac:dyDescent="0.3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x14ac:dyDescent="0.3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x14ac:dyDescent="0.3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x14ac:dyDescent="0.3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x14ac:dyDescent="0.3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x14ac:dyDescent="0.3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x14ac:dyDescent="0.3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x14ac:dyDescent="0.3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x14ac:dyDescent="0.3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x14ac:dyDescent="0.3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x14ac:dyDescent="0.3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x14ac:dyDescent="0.3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x14ac:dyDescent="0.3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x14ac:dyDescent="0.3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x14ac:dyDescent="0.3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x14ac:dyDescent="0.3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x14ac:dyDescent="0.3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x14ac:dyDescent="0.3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x14ac:dyDescent="0.3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x14ac:dyDescent="0.3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x14ac:dyDescent="0.3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x14ac:dyDescent="0.3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x14ac:dyDescent="0.3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x14ac:dyDescent="0.3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x14ac:dyDescent="0.3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x14ac:dyDescent="0.3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x14ac:dyDescent="0.3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x14ac:dyDescent="0.3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x14ac:dyDescent="0.3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x14ac:dyDescent="0.3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x14ac:dyDescent="0.3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x14ac:dyDescent="0.3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x14ac:dyDescent="0.3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x14ac:dyDescent="0.3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x14ac:dyDescent="0.3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x14ac:dyDescent="0.3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x14ac:dyDescent="0.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x14ac:dyDescent="0.3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x14ac:dyDescent="0.3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x14ac:dyDescent="0.3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x14ac:dyDescent="0.3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x14ac:dyDescent="0.3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x14ac:dyDescent="0.3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x14ac:dyDescent="0.3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x14ac:dyDescent="0.3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x14ac:dyDescent="0.3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x14ac:dyDescent="0.3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x14ac:dyDescent="0.3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x14ac:dyDescent="0.3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x14ac:dyDescent="0.3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x14ac:dyDescent="0.3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x14ac:dyDescent="0.3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x14ac:dyDescent="0.3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x14ac:dyDescent="0.3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x14ac:dyDescent="0.3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x14ac:dyDescent="0.3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x14ac:dyDescent="0.3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x14ac:dyDescent="0.3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x14ac:dyDescent="0.3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x14ac:dyDescent="0.3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x14ac:dyDescent="0.3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x14ac:dyDescent="0.3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x14ac:dyDescent="0.3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x14ac:dyDescent="0.3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x14ac:dyDescent="0.3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x14ac:dyDescent="0.3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x14ac:dyDescent="0.3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x14ac:dyDescent="0.3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x14ac:dyDescent="0.3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x14ac:dyDescent="0.3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x14ac:dyDescent="0.3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x14ac:dyDescent="0.3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x14ac:dyDescent="0.3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x14ac:dyDescent="0.3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x14ac:dyDescent="0.3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x14ac:dyDescent="0.3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x14ac:dyDescent="0.3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x14ac:dyDescent="0.3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x14ac:dyDescent="0.3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x14ac:dyDescent="0.3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x14ac:dyDescent="0.3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x14ac:dyDescent="0.3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x14ac:dyDescent="0.3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x14ac:dyDescent="0.3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x14ac:dyDescent="0.3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x14ac:dyDescent="0.3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x14ac:dyDescent="0.3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x14ac:dyDescent="0.3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x14ac:dyDescent="0.3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x14ac:dyDescent="0.3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x14ac:dyDescent="0.3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x14ac:dyDescent="0.3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x14ac:dyDescent="0.3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x14ac:dyDescent="0.3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x14ac:dyDescent="0.3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x14ac:dyDescent="0.3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x14ac:dyDescent="0.3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x14ac:dyDescent="0.3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x14ac:dyDescent="0.3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x14ac:dyDescent="0.3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x14ac:dyDescent="0.3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x14ac:dyDescent="0.3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x14ac:dyDescent="0.3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x14ac:dyDescent="0.3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x14ac:dyDescent="0.3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x14ac:dyDescent="0.3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x14ac:dyDescent="0.3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x14ac:dyDescent="0.3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x14ac:dyDescent="0.3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x14ac:dyDescent="0.3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x14ac:dyDescent="0.3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x14ac:dyDescent="0.3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x14ac:dyDescent="0.3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x14ac:dyDescent="0.3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x14ac:dyDescent="0.3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x14ac:dyDescent="0.3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x14ac:dyDescent="0.3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x14ac:dyDescent="0.3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x14ac:dyDescent="0.3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x14ac:dyDescent="0.3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x14ac:dyDescent="0.3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x14ac:dyDescent="0.3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x14ac:dyDescent="0.3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x14ac:dyDescent="0.3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x14ac:dyDescent="0.3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x14ac:dyDescent="0.3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x14ac:dyDescent="0.3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x14ac:dyDescent="0.3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x14ac:dyDescent="0.3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x14ac:dyDescent="0.3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x14ac:dyDescent="0.3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x14ac:dyDescent="0.3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x14ac:dyDescent="0.3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x14ac:dyDescent="0.3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x14ac:dyDescent="0.3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x14ac:dyDescent="0.3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x14ac:dyDescent="0.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x14ac:dyDescent="0.3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x14ac:dyDescent="0.3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x14ac:dyDescent="0.3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x14ac:dyDescent="0.3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x14ac:dyDescent="0.3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x14ac:dyDescent="0.3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x14ac:dyDescent="0.3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x14ac:dyDescent="0.3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x14ac:dyDescent="0.3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x14ac:dyDescent="0.3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x14ac:dyDescent="0.3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x14ac:dyDescent="0.3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x14ac:dyDescent="0.3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x14ac:dyDescent="0.3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x14ac:dyDescent="0.3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x14ac:dyDescent="0.3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x14ac:dyDescent="0.3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x14ac:dyDescent="0.3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x14ac:dyDescent="0.3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x14ac:dyDescent="0.3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x14ac:dyDescent="0.3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x14ac:dyDescent="0.3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x14ac:dyDescent="0.3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x14ac:dyDescent="0.3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x14ac:dyDescent="0.3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x14ac:dyDescent="0.3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x14ac:dyDescent="0.3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x14ac:dyDescent="0.3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x14ac:dyDescent="0.3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x14ac:dyDescent="0.3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x14ac:dyDescent="0.3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x14ac:dyDescent="0.3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x14ac:dyDescent="0.3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x14ac:dyDescent="0.3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x14ac:dyDescent="0.3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x14ac:dyDescent="0.3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x14ac:dyDescent="0.3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x14ac:dyDescent="0.3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x14ac:dyDescent="0.3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x14ac:dyDescent="0.3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x14ac:dyDescent="0.3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x14ac:dyDescent="0.3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x14ac:dyDescent="0.3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x14ac:dyDescent="0.3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x14ac:dyDescent="0.3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x14ac:dyDescent="0.3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x14ac:dyDescent="0.3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x14ac:dyDescent="0.3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x14ac:dyDescent="0.3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x14ac:dyDescent="0.3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x14ac:dyDescent="0.3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x14ac:dyDescent="0.3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x14ac:dyDescent="0.3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x14ac:dyDescent="0.3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x14ac:dyDescent="0.3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x14ac:dyDescent="0.3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x14ac:dyDescent="0.3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x14ac:dyDescent="0.3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x14ac:dyDescent="0.3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x14ac:dyDescent="0.3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x14ac:dyDescent="0.3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x14ac:dyDescent="0.3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x14ac:dyDescent="0.3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x14ac:dyDescent="0.3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x14ac:dyDescent="0.3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x14ac:dyDescent="0.3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x14ac:dyDescent="0.3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x14ac:dyDescent="0.3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x14ac:dyDescent="0.3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x14ac:dyDescent="0.3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x14ac:dyDescent="0.3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x14ac:dyDescent="0.3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x14ac:dyDescent="0.3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x14ac:dyDescent="0.3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x14ac:dyDescent="0.3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x14ac:dyDescent="0.3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x14ac:dyDescent="0.3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x14ac:dyDescent="0.3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x14ac:dyDescent="0.3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x14ac:dyDescent="0.3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x14ac:dyDescent="0.3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x14ac:dyDescent="0.3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x14ac:dyDescent="0.3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x14ac:dyDescent="0.3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x14ac:dyDescent="0.3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x14ac:dyDescent="0.3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x14ac:dyDescent="0.3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x14ac:dyDescent="0.3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x14ac:dyDescent="0.3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x14ac:dyDescent="0.3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x14ac:dyDescent="0.3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x14ac:dyDescent="0.3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x14ac:dyDescent="0.3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x14ac:dyDescent="0.3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x14ac:dyDescent="0.3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x14ac:dyDescent="0.3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x14ac:dyDescent="0.3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x14ac:dyDescent="0.3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x14ac:dyDescent="0.3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x14ac:dyDescent="0.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x14ac:dyDescent="0.3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x14ac:dyDescent="0.3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x14ac:dyDescent="0.3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x14ac:dyDescent="0.3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x14ac:dyDescent="0.3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x14ac:dyDescent="0.3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x14ac:dyDescent="0.3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x14ac:dyDescent="0.3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x14ac:dyDescent="0.3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x14ac:dyDescent="0.3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x14ac:dyDescent="0.3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x14ac:dyDescent="0.3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x14ac:dyDescent="0.3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x14ac:dyDescent="0.3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x14ac:dyDescent="0.3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x14ac:dyDescent="0.3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x14ac:dyDescent="0.3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x14ac:dyDescent="0.3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x14ac:dyDescent="0.3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x14ac:dyDescent="0.3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x14ac:dyDescent="0.3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x14ac:dyDescent="0.3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x14ac:dyDescent="0.3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x14ac:dyDescent="0.3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x14ac:dyDescent="0.3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x14ac:dyDescent="0.3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x14ac:dyDescent="0.3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x14ac:dyDescent="0.3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x14ac:dyDescent="0.3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x14ac:dyDescent="0.3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x14ac:dyDescent="0.3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x14ac:dyDescent="0.3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x14ac:dyDescent="0.3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x14ac:dyDescent="0.3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x14ac:dyDescent="0.3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x14ac:dyDescent="0.3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x14ac:dyDescent="0.3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x14ac:dyDescent="0.3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x14ac:dyDescent="0.3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x14ac:dyDescent="0.3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x14ac:dyDescent="0.3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x14ac:dyDescent="0.3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x14ac:dyDescent="0.3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x14ac:dyDescent="0.3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x14ac:dyDescent="0.3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x14ac:dyDescent="0.3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x14ac:dyDescent="0.3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x14ac:dyDescent="0.3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x14ac:dyDescent="0.3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x14ac:dyDescent="0.3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x14ac:dyDescent="0.3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x14ac:dyDescent="0.3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x14ac:dyDescent="0.3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x14ac:dyDescent="0.3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x14ac:dyDescent="0.3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x14ac:dyDescent="0.3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x14ac:dyDescent="0.3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x14ac:dyDescent="0.3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x14ac:dyDescent="0.3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x14ac:dyDescent="0.3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x14ac:dyDescent="0.3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3" manualBreakCount="3">
    <brk id="22" man="1"/>
    <brk id="12" man="1"/>
    <brk id="3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7"/>
  <sheetViews>
    <sheetView showGridLines="0" zoomScaleNormal="100" workbookViewId="0">
      <selection activeCell="H10" sqref="H10"/>
    </sheetView>
  </sheetViews>
  <sheetFormatPr defaultColWidth="12.6328125" defaultRowHeight="15.6" x14ac:dyDescent="0.35"/>
  <cols>
    <col min="1" max="1" width="0.90625" style="18" customWidth="1"/>
    <col min="2" max="2" width="17.36328125" style="18" customWidth="1"/>
    <col min="3" max="5" width="16.6328125" style="18" customWidth="1"/>
    <col min="6" max="9" width="15.6328125" style="18" customWidth="1"/>
    <col min="10" max="11" width="12.6328125" style="18" customWidth="1"/>
    <col min="12" max="13" width="0.90625" style="18" customWidth="1"/>
    <col min="14" max="20" width="8.90625" style="18" customWidth="1"/>
    <col min="21" max="21" width="15.453125" style="18" customWidth="1"/>
    <col min="22" max="22" width="13.453125" style="18" customWidth="1"/>
    <col min="23" max="26" width="8.90625" style="18" customWidth="1"/>
    <col min="27" max="16384" width="12.6328125" style="18"/>
  </cols>
  <sheetData>
    <row r="1" spans="1:26" x14ac:dyDescent="0.35">
      <c r="A1" s="17"/>
      <c r="C1" s="17"/>
      <c r="D1" s="17"/>
      <c r="E1" s="17"/>
      <c r="F1" s="17"/>
      <c r="G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26.4" x14ac:dyDescent="0.6">
      <c r="A2" s="17"/>
      <c r="B2" s="19" t="s">
        <v>15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35">
      <c r="A4" s="17"/>
      <c r="F4" s="17"/>
      <c r="G4" s="17" t="s">
        <v>21</v>
      </c>
      <c r="H4" s="17" t="s">
        <v>22</v>
      </c>
      <c r="I4" s="17" t="s">
        <v>23</v>
      </c>
      <c r="J4" s="17"/>
      <c r="K4" s="17"/>
      <c r="L4" s="17"/>
      <c r="M4" s="17"/>
      <c r="N4" s="20"/>
      <c r="O4" s="17"/>
    </row>
    <row r="5" spans="1:26" x14ac:dyDescent="0.35">
      <c r="A5" s="17"/>
      <c r="B5" s="21" t="s">
        <v>19</v>
      </c>
      <c r="F5" s="22" t="s">
        <v>1</v>
      </c>
      <c r="G5" s="23">
        <f>INTERCEPT(C15:C16,B15:B16)</f>
        <v>1450.0050010002001</v>
      </c>
      <c r="H5" s="23">
        <f>INTERCEPT(C20:C21,B20:B21)</f>
        <v>1483.3333333333333</v>
      </c>
      <c r="I5" s="23">
        <f>INTERCEPT(C24:C25,B24:B25)</f>
        <v>1783.3333333333335</v>
      </c>
      <c r="L5" s="17"/>
      <c r="M5" s="17"/>
      <c r="N5" s="20"/>
      <c r="O5" s="17"/>
    </row>
    <row r="6" spans="1:26" x14ac:dyDescent="0.35">
      <c r="A6" s="17"/>
      <c r="F6" s="22" t="s">
        <v>2</v>
      </c>
      <c r="G6" s="24">
        <f>SLOPE(C15:C16,B15:B16)</f>
        <v>-5.0010002000400082E-3</v>
      </c>
      <c r="H6" s="24">
        <f>SLOPE(C20:C21,B20:B21)</f>
        <v>-1.1666666666666667E-2</v>
      </c>
      <c r="I6" s="24">
        <f>SLOPE(C24:C25,B24:B25)</f>
        <v>-2.6666666666666668E-2</v>
      </c>
      <c r="L6" s="17"/>
      <c r="M6" s="17"/>
      <c r="N6" s="20"/>
      <c r="O6" s="17"/>
    </row>
    <row r="7" spans="1:26" x14ac:dyDescent="0.35">
      <c r="A7" s="17"/>
      <c r="B7" s="25" t="s">
        <v>3</v>
      </c>
      <c r="C7" s="25" t="s">
        <v>18</v>
      </c>
      <c r="J7" s="17"/>
      <c r="K7" s="17"/>
      <c r="L7" s="17"/>
      <c r="M7" s="17"/>
      <c r="N7" s="17"/>
      <c r="O7" s="17"/>
    </row>
    <row r="8" spans="1:26" x14ac:dyDescent="0.35">
      <c r="A8" s="17"/>
      <c r="B8" s="26">
        <v>1</v>
      </c>
      <c r="C8" s="23">
        <v>1450</v>
      </c>
      <c r="J8" s="17"/>
      <c r="K8" s="17"/>
      <c r="L8" s="17"/>
      <c r="M8" s="17"/>
      <c r="N8" s="17"/>
      <c r="O8" s="17"/>
    </row>
    <row r="9" spans="1:26" x14ac:dyDescent="0.35">
      <c r="A9" s="17"/>
      <c r="B9" s="26">
        <v>5000</v>
      </c>
      <c r="C9" s="23">
        <v>1425</v>
      </c>
      <c r="F9" s="27" t="s">
        <v>3</v>
      </c>
      <c r="G9" s="27" t="s">
        <v>20</v>
      </c>
      <c r="H9" s="27" t="s">
        <v>20</v>
      </c>
      <c r="I9" s="27" t="s">
        <v>20</v>
      </c>
      <c r="J9" s="17"/>
      <c r="K9" s="17"/>
      <c r="L9" s="17"/>
      <c r="M9" s="17"/>
      <c r="N9" s="17"/>
      <c r="O9" s="17"/>
    </row>
    <row r="10" spans="1:26" x14ac:dyDescent="0.35">
      <c r="A10" s="17"/>
      <c r="B10" s="26">
        <v>20000</v>
      </c>
      <c r="C10" s="23">
        <v>1250</v>
      </c>
      <c r="F10" s="28">
        <v>1</v>
      </c>
      <c r="G10" s="29">
        <v>1450</v>
      </c>
      <c r="H10" s="29"/>
      <c r="I10" s="29">
        <f>(I5+(I6*F10))</f>
        <v>1783.3066666666668</v>
      </c>
      <c r="J10" s="17"/>
      <c r="K10" s="17"/>
      <c r="L10" s="17"/>
      <c r="M10" s="17"/>
      <c r="N10" s="17"/>
      <c r="O10" s="17"/>
    </row>
    <row r="11" spans="1:26" x14ac:dyDescent="0.35">
      <c r="A11" s="17"/>
      <c r="B11" s="26">
        <v>50000</v>
      </c>
      <c r="C11" s="23">
        <v>450</v>
      </c>
      <c r="F11" s="28">
        <v>500</v>
      </c>
      <c r="G11" s="29"/>
      <c r="H11" s="29">
        <f>(1483 + (-0.0117*F11))</f>
        <v>1477.15</v>
      </c>
      <c r="I11" s="29">
        <f>(1783 + (-0.0267 *F11))</f>
        <v>1769.65</v>
      </c>
      <c r="J11" s="17"/>
      <c r="K11" s="17"/>
      <c r="L11" s="17"/>
      <c r="M11" s="17"/>
      <c r="N11" s="17"/>
      <c r="O11" s="17"/>
    </row>
    <row r="12" spans="1:26" x14ac:dyDescent="0.35">
      <c r="A12" s="17"/>
      <c r="F12" s="28">
        <v>1000</v>
      </c>
      <c r="G12" s="29"/>
      <c r="H12" s="29">
        <f>(1483 + (-0.0117*F12))</f>
        <v>1471.3</v>
      </c>
      <c r="I12" s="29">
        <f t="shared" ref="I12:I23" si="0">(1783 + (-0.0267 *F12))</f>
        <v>1756.3</v>
      </c>
      <c r="J12" s="17"/>
      <c r="K12" s="17"/>
      <c r="L12" s="17"/>
      <c r="M12" s="17"/>
      <c r="N12" s="17"/>
      <c r="O12" s="17"/>
    </row>
    <row r="13" spans="1:26" x14ac:dyDescent="0.35">
      <c r="A13" s="17"/>
      <c r="F13" s="28">
        <v>5000</v>
      </c>
      <c r="G13" s="29">
        <v>1425</v>
      </c>
      <c r="H13" s="29">
        <f t="shared" ref="H13:H23" si="1">(1483 + (-0.0117*F13))</f>
        <v>1424.5</v>
      </c>
      <c r="I13" s="29">
        <f t="shared" si="0"/>
        <v>1649.5</v>
      </c>
      <c r="J13" s="17"/>
      <c r="K13" s="17"/>
      <c r="L13" s="17"/>
      <c r="M13" s="17"/>
      <c r="N13" s="17"/>
      <c r="O13" s="17"/>
    </row>
    <row r="14" spans="1:26" x14ac:dyDescent="0.35">
      <c r="A14" s="17"/>
      <c r="B14" s="18" t="s">
        <v>33</v>
      </c>
      <c r="F14" s="28">
        <v>10000</v>
      </c>
      <c r="G14" s="29">
        <f>(G5+(G6*F14))</f>
        <v>1399.9949989997999</v>
      </c>
      <c r="H14" s="29">
        <f t="shared" si="1"/>
        <v>1366</v>
      </c>
      <c r="I14" s="29">
        <f t="shared" si="0"/>
        <v>1516</v>
      </c>
      <c r="J14" s="17"/>
      <c r="K14" s="17"/>
      <c r="L14" s="17"/>
      <c r="M14" s="17"/>
      <c r="N14" s="17"/>
      <c r="O14" s="17"/>
    </row>
    <row r="15" spans="1:26" x14ac:dyDescent="0.35">
      <c r="A15" s="17"/>
      <c r="B15" s="28">
        <v>1</v>
      </c>
      <c r="C15" s="29">
        <v>1450</v>
      </c>
      <c r="F15" s="28">
        <v>15000</v>
      </c>
      <c r="G15" s="29"/>
      <c r="H15" s="29">
        <f t="shared" si="1"/>
        <v>1307.5</v>
      </c>
      <c r="I15" s="29">
        <f t="shared" si="0"/>
        <v>1382.5</v>
      </c>
      <c r="J15" s="17"/>
      <c r="K15" s="17"/>
      <c r="L15" s="17"/>
      <c r="M15" s="17"/>
      <c r="N15" s="17"/>
      <c r="O15" s="17" t="s">
        <v>0</v>
      </c>
    </row>
    <row r="16" spans="1:26" x14ac:dyDescent="0.35">
      <c r="A16" s="17"/>
      <c r="B16" s="28">
        <v>5000</v>
      </c>
      <c r="C16" s="29">
        <v>1425</v>
      </c>
      <c r="F16" s="28">
        <v>20000</v>
      </c>
      <c r="G16" s="29"/>
      <c r="H16" s="29">
        <f t="shared" si="1"/>
        <v>1249</v>
      </c>
      <c r="I16" s="29">
        <v>1250</v>
      </c>
      <c r="J16" s="17"/>
      <c r="K16" s="17"/>
      <c r="L16" s="17"/>
      <c r="M16" s="17"/>
      <c r="N16" s="17"/>
      <c r="O16" s="17"/>
    </row>
    <row r="17" spans="1:26" x14ac:dyDescent="0.35">
      <c r="A17" s="17"/>
      <c r="F17" s="28">
        <v>25000</v>
      </c>
      <c r="G17" s="29"/>
      <c r="H17" s="29">
        <f t="shared" si="1"/>
        <v>1190.5</v>
      </c>
      <c r="I17" s="29">
        <f t="shared" si="0"/>
        <v>1115.5</v>
      </c>
      <c r="J17" s="17"/>
      <c r="K17" s="17"/>
      <c r="L17" s="17"/>
      <c r="M17" s="17"/>
      <c r="N17" s="17"/>
      <c r="O17" s="17"/>
    </row>
    <row r="18" spans="1:26" x14ac:dyDescent="0.35">
      <c r="A18" s="17"/>
      <c r="F18" s="28">
        <v>30000</v>
      </c>
      <c r="G18" s="29"/>
      <c r="H18" s="29">
        <f t="shared" si="1"/>
        <v>1132</v>
      </c>
      <c r="I18" s="29">
        <f t="shared" si="0"/>
        <v>982</v>
      </c>
      <c r="J18" s="17"/>
      <c r="K18" s="17"/>
      <c r="L18" s="17"/>
      <c r="M18" s="17"/>
      <c r="N18" s="17"/>
      <c r="O18" s="17"/>
    </row>
    <row r="19" spans="1:26" x14ac:dyDescent="0.35">
      <c r="A19" s="17"/>
      <c r="B19" s="18" t="s">
        <v>34</v>
      </c>
      <c r="F19" s="28">
        <v>35000</v>
      </c>
      <c r="G19" s="29"/>
      <c r="H19" s="29">
        <f t="shared" si="1"/>
        <v>1073.5</v>
      </c>
      <c r="I19" s="29">
        <f t="shared" si="0"/>
        <v>848.5</v>
      </c>
      <c r="J19" s="17"/>
      <c r="K19" s="17"/>
      <c r="L19" s="17"/>
      <c r="M19" s="17"/>
      <c r="N19" s="17"/>
      <c r="O19" s="17"/>
      <c r="U19" s="17"/>
      <c r="V19" s="17"/>
    </row>
    <row r="20" spans="1:26" x14ac:dyDescent="0.35">
      <c r="A20" s="17"/>
      <c r="B20" s="28">
        <v>5000</v>
      </c>
      <c r="C20" s="29">
        <v>1425</v>
      </c>
      <c r="F20" s="28">
        <v>40000</v>
      </c>
      <c r="G20" s="29"/>
      <c r="H20" s="29">
        <f t="shared" si="1"/>
        <v>1015</v>
      </c>
      <c r="I20" s="29">
        <f t="shared" si="0"/>
        <v>715</v>
      </c>
      <c r="J20" s="17"/>
      <c r="K20" s="17"/>
      <c r="L20" s="17"/>
      <c r="M20" s="17"/>
      <c r="N20" s="17"/>
      <c r="O20" s="17"/>
      <c r="U20" s="17"/>
      <c r="V20" s="17"/>
    </row>
    <row r="21" spans="1:26" x14ac:dyDescent="0.35">
      <c r="A21" s="17"/>
      <c r="B21" s="28">
        <v>20000</v>
      </c>
      <c r="C21" s="29">
        <v>1250</v>
      </c>
      <c r="F21" s="28">
        <v>45000</v>
      </c>
      <c r="G21" s="29"/>
      <c r="H21" s="29">
        <f t="shared" si="1"/>
        <v>956.5</v>
      </c>
      <c r="I21" s="29">
        <f t="shared" si="0"/>
        <v>581.5</v>
      </c>
      <c r="J21" s="17"/>
      <c r="K21" s="17"/>
      <c r="L21" s="17"/>
      <c r="M21" s="17"/>
      <c r="N21" s="17"/>
      <c r="O21" s="17"/>
      <c r="U21" s="17"/>
      <c r="V21" s="17"/>
    </row>
    <row r="22" spans="1:26" x14ac:dyDescent="0.35">
      <c r="A22" s="17"/>
      <c r="F22" s="28">
        <v>50000</v>
      </c>
      <c r="G22" s="29"/>
      <c r="H22" s="29">
        <f t="shared" si="1"/>
        <v>898</v>
      </c>
      <c r="I22" s="29">
        <v>450</v>
      </c>
      <c r="J22" s="17"/>
      <c r="K22" s="17"/>
      <c r="L22" s="17"/>
      <c r="M22" s="17"/>
      <c r="N22" s="17"/>
      <c r="O22" s="17"/>
      <c r="U22" s="17"/>
      <c r="V22" s="17"/>
    </row>
    <row r="23" spans="1:26" x14ac:dyDescent="0.35">
      <c r="A23" s="17"/>
      <c r="B23" s="30" t="s">
        <v>35</v>
      </c>
      <c r="C23" s="31"/>
      <c r="D23" s="31"/>
      <c r="E23" s="31"/>
      <c r="F23" s="28">
        <v>55000</v>
      </c>
      <c r="G23" s="29"/>
      <c r="H23" s="29">
        <f t="shared" si="1"/>
        <v>839.5</v>
      </c>
      <c r="I23" s="29">
        <f t="shared" si="0"/>
        <v>314.5</v>
      </c>
      <c r="J23" s="17"/>
      <c r="K23" s="17"/>
      <c r="L23" s="17"/>
      <c r="M23" s="17"/>
      <c r="N23" s="17"/>
      <c r="O23" s="17"/>
      <c r="U23" s="17"/>
      <c r="V23" s="17"/>
    </row>
    <row r="24" spans="1:26" x14ac:dyDescent="0.35">
      <c r="A24" s="17"/>
      <c r="B24" s="28">
        <v>20000</v>
      </c>
      <c r="C24" s="29">
        <v>1250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U24" s="17"/>
      <c r="V24" s="17"/>
    </row>
    <row r="25" spans="1:26" x14ac:dyDescent="0.35">
      <c r="A25" s="17"/>
      <c r="B25" s="28">
        <v>50000</v>
      </c>
      <c r="C25" s="29">
        <v>450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U25" s="17"/>
      <c r="V25" s="17"/>
    </row>
    <row r="26" spans="1:26" x14ac:dyDescent="0.35">
      <c r="A26" s="17"/>
      <c r="B26" s="30"/>
      <c r="C26" s="31"/>
      <c r="D26" s="31"/>
      <c r="E26" s="31"/>
      <c r="F26" s="17"/>
      <c r="G26" s="17"/>
      <c r="H26" s="17"/>
      <c r="I26" s="17"/>
      <c r="J26" s="17"/>
      <c r="K26" s="17"/>
      <c r="L26" s="17"/>
      <c r="M26" s="17"/>
      <c r="N26" s="17"/>
      <c r="O26" s="17"/>
      <c r="U26" s="17"/>
      <c r="V26" s="17"/>
    </row>
    <row r="27" spans="1:26" x14ac:dyDescent="0.35">
      <c r="A27" s="17"/>
      <c r="B27" s="3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U27" s="17"/>
      <c r="V27" s="17"/>
    </row>
    <row r="28" spans="1:26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3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3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35">
      <c r="A35" s="17"/>
      <c r="B35" s="20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3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3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3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3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3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3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3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3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3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3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3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3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3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3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3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3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3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3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3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3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3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3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3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3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3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3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3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3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3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3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3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3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3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3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3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3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3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3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3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3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3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3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3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3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3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3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3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3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3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3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3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3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3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3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3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3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3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3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3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3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3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3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3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3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3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3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3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3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3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3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3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3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3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3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3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3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3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3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3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3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3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3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3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3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3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3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3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3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3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3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3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3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3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3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3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3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3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3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3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3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3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3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3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3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3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3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3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3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3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3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3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3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3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3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3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3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3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3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3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3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3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3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3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3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3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3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3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3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3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3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3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3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3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3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3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3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3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3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3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3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3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3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3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3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3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3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3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3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3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3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3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3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3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3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3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3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3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3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3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3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3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3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3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3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3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3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3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3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3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3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3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3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3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3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3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3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3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3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3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3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3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3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3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3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3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3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3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3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3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3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3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3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3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3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3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3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3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3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3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3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3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3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3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3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3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3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3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3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3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3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3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3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3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3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3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3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3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3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3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3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3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3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3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3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3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3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3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3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3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3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3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3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3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3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3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3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3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3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3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3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3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3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3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3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3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3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3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3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3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3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3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3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3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3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3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3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3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3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3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3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3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3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3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3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3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3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3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3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3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3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3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3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3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3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3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3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3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3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3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3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3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3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3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3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3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3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3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3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3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3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3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3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3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3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3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3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3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3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3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3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3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3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3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3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3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3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3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3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3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3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3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3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3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3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3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3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3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3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3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3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3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3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3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3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3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3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3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3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3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3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3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3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3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3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3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3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3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3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3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3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3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3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3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3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3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3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3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3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3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3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3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3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3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3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3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3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3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3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3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3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3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3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3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3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3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3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3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3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3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3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3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3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3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3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3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3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3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3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3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3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3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3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3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3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3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3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3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3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3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3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3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3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3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3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3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3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3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3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3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3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3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3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3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3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3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3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3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3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3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3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3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3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3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3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3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3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3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3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3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3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3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3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3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3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3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3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3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3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3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3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3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3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3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3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3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3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3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3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3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3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3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3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3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3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3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3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3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3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3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3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3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3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3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3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3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3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3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3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3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3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3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3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3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3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3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3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3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3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3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3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3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3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3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3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3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3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3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3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3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3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3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3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3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3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3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3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3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3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3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3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3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3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3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3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3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3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3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3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3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3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3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3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3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3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3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3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3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3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3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3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3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3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3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3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3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3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3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3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3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3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3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3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3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3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3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3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3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3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3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3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3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3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3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3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3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3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3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3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3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3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3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3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3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3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3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3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3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3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3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3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3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3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3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3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3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3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3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3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3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3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3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3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3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3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3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3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3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3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3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3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3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3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3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3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3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3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3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3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3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3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3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3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3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3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3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3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3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3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3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3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3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3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3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3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3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3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3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3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3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3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3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3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3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3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3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3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3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3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3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3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3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3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3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3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3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3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3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3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3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3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3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3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3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3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3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3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3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3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3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3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3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3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3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3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3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3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3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3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3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3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3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3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3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3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3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3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3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3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3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3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3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3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3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3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3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3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3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3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3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3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3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3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3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3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3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3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3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3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3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3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3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3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3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3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3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3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3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3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3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3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3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3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3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3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3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3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3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3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3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3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3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3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3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3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3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3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3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3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3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3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3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3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3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3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3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3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3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3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3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3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3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3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3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3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3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3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3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3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3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3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3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3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3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3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3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3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3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3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3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3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3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3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3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3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3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3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3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3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3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3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3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3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3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3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3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3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3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3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3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3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3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3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3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3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3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3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3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3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3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3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3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3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3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3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3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3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3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3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3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3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3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3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3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3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3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3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3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3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3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3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3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3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3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3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3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3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3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3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3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3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3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3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3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3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3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3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3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3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3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3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3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3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3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3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3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3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3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3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3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3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3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3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3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3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3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3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3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3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3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3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3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3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3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3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3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3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3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3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3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3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3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3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3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3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3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3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3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3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3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3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3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3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3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3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3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3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3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3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3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3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3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3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3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3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3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3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3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3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3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3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3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3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3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3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3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3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3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3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3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3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3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3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3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3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3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3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3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3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3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3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3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3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3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3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3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3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3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3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3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3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3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3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3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3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3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3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3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3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3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3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3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3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3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3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3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3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3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3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3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3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3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3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3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3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3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3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3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3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3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3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3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3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3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3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3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3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3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W988" s="17"/>
      <c r="X988" s="17"/>
      <c r="Y988" s="17"/>
      <c r="Z988" s="17"/>
    </row>
    <row r="989" spans="1:26" x14ac:dyDescent="0.3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W989" s="17"/>
      <c r="X989" s="17"/>
      <c r="Y989" s="17"/>
      <c r="Z989" s="17"/>
    </row>
    <row r="990" spans="1:26" x14ac:dyDescent="0.3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W990" s="17"/>
      <c r="X990" s="17"/>
      <c r="Y990" s="17"/>
      <c r="Z990" s="17"/>
    </row>
    <row r="991" spans="1:26" x14ac:dyDescent="0.3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W991" s="17"/>
      <c r="X991" s="17"/>
      <c r="Y991" s="17"/>
      <c r="Z991" s="17"/>
    </row>
    <row r="992" spans="1:26" x14ac:dyDescent="0.3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W992" s="17"/>
      <c r="X992" s="17"/>
      <c r="Y992" s="17"/>
      <c r="Z992" s="17"/>
    </row>
    <row r="993" spans="1:26" x14ac:dyDescent="0.3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W993" s="17"/>
      <c r="X993" s="17"/>
      <c r="Y993" s="17"/>
      <c r="Z993" s="17"/>
    </row>
    <row r="994" spans="1:26" x14ac:dyDescent="0.3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W994" s="17"/>
      <c r="X994" s="17"/>
      <c r="Y994" s="17"/>
      <c r="Z994" s="17"/>
    </row>
    <row r="995" spans="1:26" x14ac:dyDescent="0.3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W995" s="17"/>
      <c r="X995" s="17"/>
      <c r="Y995" s="17"/>
      <c r="Z995" s="17"/>
    </row>
    <row r="996" spans="1:26" x14ac:dyDescent="0.3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W996" s="17"/>
      <c r="X996" s="17"/>
      <c r="Y996" s="17"/>
      <c r="Z996" s="17"/>
    </row>
    <row r="997" spans="1:26" x14ac:dyDescent="0.35">
      <c r="F997" s="17"/>
      <c r="G997" s="17"/>
      <c r="H997" s="17"/>
      <c r="I997" s="17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3" manualBreakCount="3">
    <brk id="22" man="1"/>
    <brk id="12" man="1"/>
    <brk id="3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5C6B-52D7-4BEB-AB68-58BECA6D84B6}">
  <dimension ref="B2:L14"/>
  <sheetViews>
    <sheetView showGridLines="0" workbookViewId="0">
      <selection activeCell="G12" sqref="G12"/>
    </sheetView>
  </sheetViews>
  <sheetFormatPr defaultRowHeight="15.6" x14ac:dyDescent="0.35"/>
  <cols>
    <col min="1" max="1" width="2.1796875" customWidth="1"/>
    <col min="2" max="2" width="13.453125" customWidth="1"/>
    <col min="7" max="7" width="9" bestFit="1" customWidth="1"/>
  </cols>
  <sheetData>
    <row r="2" spans="2:12" ht="26.4" x14ac:dyDescent="0.6">
      <c r="B2" s="3" t="s">
        <v>32</v>
      </c>
    </row>
    <row r="3" spans="2:12" x14ac:dyDescent="0.35">
      <c r="G3">
        <v>1800</v>
      </c>
    </row>
    <row r="4" spans="2:12" x14ac:dyDescent="0.35">
      <c r="B4" s="27" t="s">
        <v>8</v>
      </c>
      <c r="C4" s="27" t="s">
        <v>9</v>
      </c>
    </row>
    <row r="5" spans="2:12" x14ac:dyDescent="0.35">
      <c r="B5" s="29">
        <v>8000</v>
      </c>
      <c r="C5" s="28">
        <v>175</v>
      </c>
      <c r="G5" s="49">
        <f>(C9 + (C10*G3))</f>
        <v>21513.333333333336</v>
      </c>
    </row>
    <row r="6" spans="2:12" x14ac:dyDescent="0.35">
      <c r="B6" s="29">
        <v>5000</v>
      </c>
      <c r="C6" s="28">
        <v>10500</v>
      </c>
    </row>
    <row r="7" spans="2:12" x14ac:dyDescent="0.35">
      <c r="G7" s="49">
        <f>(C9+(C10*8000))</f>
        <v>175</v>
      </c>
    </row>
    <row r="9" spans="2:12" x14ac:dyDescent="0.35">
      <c r="B9" s="27" t="s">
        <v>1</v>
      </c>
      <c r="C9" s="29">
        <f>INTERCEPT(C5:C6,B5:B6)</f>
        <v>27708.333333333336</v>
      </c>
      <c r="G9" s="38">
        <f>(C9+(C10*7500))</f>
        <v>1895.8333333333358</v>
      </c>
      <c r="L9" s="1"/>
    </row>
    <row r="10" spans="2:12" x14ac:dyDescent="0.35">
      <c r="B10" s="27" t="s">
        <v>2</v>
      </c>
      <c r="C10" s="27">
        <f>SLOPE(C5:C6,B5:B6)</f>
        <v>-3.4416666666666669</v>
      </c>
      <c r="L10" s="1"/>
    </row>
    <row r="11" spans="2:12" x14ac:dyDescent="0.35">
      <c r="B11" s="38"/>
      <c r="C11" s="41"/>
      <c r="G11">
        <f>(C13+(C14*6000))</f>
        <v>6307.5060532687648</v>
      </c>
    </row>
    <row r="13" spans="2:12" x14ac:dyDescent="0.35">
      <c r="C13">
        <f>INTERCEPT(B5:B6,C5:C6)</f>
        <v>8050.8474576271183</v>
      </c>
    </row>
    <row r="14" spans="2:12" x14ac:dyDescent="0.35">
      <c r="C14">
        <f>SLOPE(B5:B6,C5:C6)</f>
        <v>-0.29055690072639223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5AF8A-639F-46DF-B3C6-14505EB100D4}">
  <sheetPr>
    <tabColor rgb="FFFFFF99"/>
  </sheetPr>
  <dimension ref="B2:J27"/>
  <sheetViews>
    <sheetView showGridLines="0" topLeftCell="A9" workbookViewId="0">
      <selection activeCell="D27" sqref="D27"/>
    </sheetView>
  </sheetViews>
  <sheetFormatPr defaultColWidth="12.6328125" defaultRowHeight="15.6" x14ac:dyDescent="0.35"/>
  <cols>
    <col min="1" max="1" width="0.90625" customWidth="1"/>
    <col min="2" max="2" width="16.08984375" customWidth="1"/>
    <col min="3" max="3" width="15.08984375" customWidth="1"/>
    <col min="4" max="4" width="14.453125" customWidth="1"/>
    <col min="5" max="5" width="14.54296875" customWidth="1"/>
    <col min="6" max="6" width="12.36328125" customWidth="1"/>
    <col min="7" max="7" width="12.36328125" bestFit="1" customWidth="1"/>
    <col min="8" max="8" width="12.36328125" customWidth="1"/>
    <col min="9" max="9" width="14.81640625" customWidth="1"/>
    <col min="10" max="10" width="9.08984375" customWidth="1"/>
    <col min="11" max="11" width="10.90625" customWidth="1"/>
    <col min="12" max="21" width="8.90625" customWidth="1"/>
    <col min="22" max="22" width="11.453125" customWidth="1"/>
    <col min="23" max="27" width="8.90625" customWidth="1"/>
  </cols>
  <sheetData>
    <row r="2" spans="2:10" ht="26.4" x14ac:dyDescent="0.6">
      <c r="B2" s="3" t="s">
        <v>13</v>
      </c>
    </row>
    <row r="4" spans="2:10" s="32" customFormat="1" x14ac:dyDescent="0.35">
      <c r="B4" s="35"/>
      <c r="C4" s="35" t="s">
        <v>27</v>
      </c>
      <c r="D4" s="35" t="s">
        <v>4</v>
      </c>
      <c r="E4" s="35" t="s">
        <v>28</v>
      </c>
    </row>
    <row r="5" spans="2:10" ht="21" customHeight="1" x14ac:dyDescent="0.35">
      <c r="B5" s="35" t="s">
        <v>26</v>
      </c>
      <c r="C5" s="2">
        <v>2000</v>
      </c>
      <c r="D5" s="2">
        <v>10000</v>
      </c>
      <c r="E5" s="2">
        <v>12000</v>
      </c>
    </row>
    <row r="7" spans="2:10" x14ac:dyDescent="0.35">
      <c r="B7" s="4" t="s">
        <v>25</v>
      </c>
      <c r="E7" s="4" t="s">
        <v>31</v>
      </c>
    </row>
    <row r="8" spans="2:10" s="32" customFormat="1" ht="29.25" customHeight="1" x14ac:dyDescent="0.35">
      <c r="B8" s="35" t="s">
        <v>24</v>
      </c>
      <c r="C8" s="35">
        <v>12000</v>
      </c>
      <c r="E8" s="35" t="s">
        <v>14</v>
      </c>
      <c r="F8" s="40">
        <v>7500</v>
      </c>
    </row>
    <row r="9" spans="2:10" s="32" customFormat="1" ht="31.2" x14ac:dyDescent="0.35">
      <c r="B9" s="36" t="s">
        <v>29</v>
      </c>
      <c r="C9" s="35">
        <v>6000</v>
      </c>
      <c r="E9" s="35" t="s">
        <v>9</v>
      </c>
      <c r="F9" s="35">
        <v>1896</v>
      </c>
      <c r="H9"/>
    </row>
    <row r="12" spans="2:10" s="32" customFormat="1" ht="31.2" x14ac:dyDescent="0.35">
      <c r="B12" s="33" t="s">
        <v>3</v>
      </c>
      <c r="C12" s="33" t="s">
        <v>11</v>
      </c>
      <c r="D12" s="33" t="s">
        <v>12</v>
      </c>
      <c r="E12" s="34" t="s">
        <v>30</v>
      </c>
      <c r="F12" s="33" t="s">
        <v>7</v>
      </c>
      <c r="G12" s="33" t="s">
        <v>5</v>
      </c>
      <c r="H12" s="33" t="s">
        <v>6</v>
      </c>
      <c r="I12" s="33" t="s">
        <v>10</v>
      </c>
      <c r="J12"/>
    </row>
    <row r="13" spans="2:10" ht="20.25" customHeight="1" x14ac:dyDescent="0.35">
      <c r="B13" s="6">
        <v>1</v>
      </c>
      <c r="C13" s="29">
        <v>1482.9883</v>
      </c>
      <c r="D13" s="5">
        <f>((C13+6000)*B13)</f>
        <v>7482.9883</v>
      </c>
      <c r="E13" s="2">
        <v>0</v>
      </c>
      <c r="F13" s="5">
        <f>(D13+(E13*12000))</f>
        <v>7482.9883</v>
      </c>
      <c r="G13" s="5">
        <f>(7500*B13)</f>
        <v>7500</v>
      </c>
      <c r="H13" s="5">
        <f>(G13-F13)</f>
        <v>17.011700000000019</v>
      </c>
      <c r="I13" s="39">
        <f>((H13/F13))</f>
        <v>2.2733832150987083E-3</v>
      </c>
    </row>
    <row r="14" spans="2:10" ht="20.25" customHeight="1" x14ac:dyDescent="0.35">
      <c r="B14" s="6">
        <v>500</v>
      </c>
      <c r="C14" s="29">
        <v>1477.15</v>
      </c>
      <c r="D14" s="5">
        <f t="shared" ref="D14:D26" si="0">((C14+6000)*B14)</f>
        <v>3738575</v>
      </c>
      <c r="E14" s="2">
        <v>0</v>
      </c>
      <c r="F14" s="5">
        <f t="shared" ref="F14:F26" si="1">(D14+(E14*12000))</f>
        <v>3738575</v>
      </c>
      <c r="G14" s="5">
        <f t="shared" ref="G14:G27" si="2">(7500*B14)</f>
        <v>3750000</v>
      </c>
      <c r="H14" s="5">
        <f t="shared" ref="H14:H26" si="3">(G14-F14)</f>
        <v>11425</v>
      </c>
      <c r="I14" s="39">
        <f t="shared" ref="I14:I26" si="4">((H14/F14))</f>
        <v>3.0559772105681979E-3</v>
      </c>
    </row>
    <row r="15" spans="2:10" ht="20.25" customHeight="1" x14ac:dyDescent="0.35">
      <c r="B15" s="26">
        <v>1000</v>
      </c>
      <c r="C15" s="29">
        <v>1471.3</v>
      </c>
      <c r="D15" s="5">
        <f t="shared" si="0"/>
        <v>7471300</v>
      </c>
      <c r="E15" s="2">
        <v>0</v>
      </c>
      <c r="F15" s="5">
        <f t="shared" si="1"/>
        <v>7471300</v>
      </c>
      <c r="G15" s="5">
        <f t="shared" si="2"/>
        <v>7500000</v>
      </c>
      <c r="H15" s="5">
        <f t="shared" si="3"/>
        <v>28700</v>
      </c>
      <c r="I15" s="39">
        <f t="shared" si="4"/>
        <v>3.8413662950222854E-3</v>
      </c>
    </row>
    <row r="16" spans="2:10" ht="20.25" customHeight="1" x14ac:dyDescent="0.35">
      <c r="B16" s="26">
        <v>5000</v>
      </c>
      <c r="C16" s="29">
        <v>1424.5</v>
      </c>
      <c r="D16" s="5">
        <f t="shared" si="0"/>
        <v>37122500</v>
      </c>
      <c r="E16" s="2">
        <v>2</v>
      </c>
      <c r="F16" s="5">
        <f t="shared" si="1"/>
        <v>37146500</v>
      </c>
      <c r="G16" s="5">
        <f t="shared" si="2"/>
        <v>37500000</v>
      </c>
      <c r="H16" s="5">
        <f t="shared" si="3"/>
        <v>353500</v>
      </c>
      <c r="I16" s="39">
        <f t="shared" si="4"/>
        <v>9.5163743555920482E-3</v>
      </c>
    </row>
    <row r="17" spans="2:9" ht="20.25" customHeight="1" x14ac:dyDescent="0.35">
      <c r="B17" s="26">
        <v>10000</v>
      </c>
      <c r="C17" s="29">
        <v>1366</v>
      </c>
      <c r="D17" s="5">
        <f t="shared" si="0"/>
        <v>73660000</v>
      </c>
      <c r="E17" s="2">
        <f>_xlfn.CEILING.MATH(((B17-1800)/2000),1)</f>
        <v>5</v>
      </c>
      <c r="F17" s="5">
        <f t="shared" si="1"/>
        <v>73720000</v>
      </c>
      <c r="G17" s="5">
        <f t="shared" si="2"/>
        <v>75000000</v>
      </c>
      <c r="H17" s="5">
        <f t="shared" si="3"/>
        <v>1280000</v>
      </c>
      <c r="I17" s="39">
        <f t="shared" si="4"/>
        <v>1.7362995116657624E-2</v>
      </c>
    </row>
    <row r="18" spans="2:9" ht="20.25" customHeight="1" x14ac:dyDescent="0.35">
      <c r="B18" s="26">
        <v>15000</v>
      </c>
      <c r="C18" s="29">
        <v>1307.5</v>
      </c>
      <c r="D18" s="5">
        <f t="shared" si="0"/>
        <v>109612500</v>
      </c>
      <c r="E18" s="2"/>
      <c r="F18" s="5">
        <f t="shared" si="1"/>
        <v>109612500</v>
      </c>
      <c r="G18" s="5">
        <f t="shared" si="2"/>
        <v>112500000</v>
      </c>
      <c r="H18" s="5">
        <f t="shared" si="3"/>
        <v>2887500</v>
      </c>
      <c r="I18" s="39">
        <f t="shared" si="4"/>
        <v>2.6342798494697228E-2</v>
      </c>
    </row>
    <row r="19" spans="2:9" ht="20.25" customHeight="1" x14ac:dyDescent="0.35">
      <c r="B19" s="26">
        <v>20000</v>
      </c>
      <c r="C19" s="29">
        <v>1249</v>
      </c>
      <c r="D19" s="5">
        <f t="shared" si="0"/>
        <v>144980000</v>
      </c>
      <c r="E19" s="2">
        <f t="shared" ref="E18:E27" si="5">_xlfn.CEILING.MATH(((B19-1800)/2000),1)</f>
        <v>10</v>
      </c>
      <c r="F19" s="5">
        <f t="shared" si="1"/>
        <v>145100000</v>
      </c>
      <c r="G19" s="5">
        <f t="shared" si="2"/>
        <v>150000000</v>
      </c>
      <c r="H19" s="5">
        <f t="shared" si="3"/>
        <v>4900000</v>
      </c>
      <c r="I19" s="39">
        <f t="shared" si="4"/>
        <v>3.3769813921433495E-2</v>
      </c>
    </row>
    <row r="20" spans="2:9" ht="20.25" customHeight="1" x14ac:dyDescent="0.35">
      <c r="B20" s="26">
        <v>25000</v>
      </c>
      <c r="C20" s="29">
        <v>1190.5</v>
      </c>
      <c r="D20" s="5">
        <f t="shared" si="0"/>
        <v>179762500</v>
      </c>
      <c r="E20" s="2">
        <f t="shared" si="5"/>
        <v>12</v>
      </c>
      <c r="F20" s="5">
        <f t="shared" si="1"/>
        <v>179906500</v>
      </c>
      <c r="G20" s="5">
        <f t="shared" si="2"/>
        <v>187500000</v>
      </c>
      <c r="H20" s="5">
        <f t="shared" si="3"/>
        <v>7593500</v>
      </c>
      <c r="I20" s="39">
        <f t="shared" si="4"/>
        <v>4.2208035840839549E-2</v>
      </c>
    </row>
    <row r="21" spans="2:9" ht="20.25" customHeight="1" x14ac:dyDescent="0.35">
      <c r="B21" s="26">
        <v>30000</v>
      </c>
      <c r="C21" s="29">
        <v>1132</v>
      </c>
      <c r="D21" s="5">
        <f t="shared" si="0"/>
        <v>213960000</v>
      </c>
      <c r="E21" s="2">
        <f t="shared" si="5"/>
        <v>15</v>
      </c>
      <c r="F21" s="5">
        <f t="shared" si="1"/>
        <v>214140000</v>
      </c>
      <c r="G21" s="5">
        <f t="shared" si="2"/>
        <v>225000000</v>
      </c>
      <c r="H21" s="5">
        <f t="shared" si="3"/>
        <v>10860000</v>
      </c>
      <c r="I21" s="39">
        <f t="shared" si="4"/>
        <v>5.0714485850378258E-2</v>
      </c>
    </row>
    <row r="22" spans="2:9" x14ac:dyDescent="0.35">
      <c r="B22" s="26">
        <v>35000</v>
      </c>
      <c r="C22" s="29">
        <v>1073.5</v>
      </c>
      <c r="D22" s="5">
        <f t="shared" si="0"/>
        <v>247572500</v>
      </c>
      <c r="E22" s="2">
        <f t="shared" si="5"/>
        <v>17</v>
      </c>
      <c r="F22" s="5">
        <f t="shared" si="1"/>
        <v>247776500</v>
      </c>
      <c r="G22" s="5">
        <f t="shared" si="2"/>
        <v>262500000</v>
      </c>
      <c r="H22" s="5">
        <f t="shared" si="3"/>
        <v>14723500</v>
      </c>
      <c r="I22" s="39">
        <f t="shared" si="4"/>
        <v>5.9422503748337713E-2</v>
      </c>
    </row>
    <row r="23" spans="2:9" x14ac:dyDescent="0.35">
      <c r="B23" s="26">
        <v>40000</v>
      </c>
      <c r="C23" s="29">
        <v>1015</v>
      </c>
      <c r="D23" s="5">
        <f t="shared" si="0"/>
        <v>280600000</v>
      </c>
      <c r="E23" s="2">
        <f t="shared" si="5"/>
        <v>20</v>
      </c>
      <c r="F23" s="5">
        <f t="shared" si="1"/>
        <v>280840000</v>
      </c>
      <c r="G23" s="5">
        <f t="shared" si="2"/>
        <v>300000000</v>
      </c>
      <c r="H23" s="5">
        <f t="shared" si="3"/>
        <v>19160000</v>
      </c>
      <c r="I23" s="39">
        <f t="shared" si="4"/>
        <v>6.8223899729383281E-2</v>
      </c>
    </row>
    <row r="24" spans="2:9" x14ac:dyDescent="0.35">
      <c r="B24" s="26">
        <v>45000</v>
      </c>
      <c r="C24" s="29">
        <v>956.5</v>
      </c>
      <c r="D24" s="5">
        <f t="shared" si="0"/>
        <v>313042500</v>
      </c>
      <c r="E24" s="2">
        <f t="shared" si="5"/>
        <v>22</v>
      </c>
      <c r="F24" s="5">
        <f t="shared" si="1"/>
        <v>313306500</v>
      </c>
      <c r="G24" s="5">
        <f t="shared" si="2"/>
        <v>337500000</v>
      </c>
      <c r="H24" s="5">
        <f t="shared" si="3"/>
        <v>24193500</v>
      </c>
      <c r="I24" s="39">
        <f t="shared" si="4"/>
        <v>7.7219910854067819E-2</v>
      </c>
    </row>
    <row r="25" spans="2:9" x14ac:dyDescent="0.35">
      <c r="B25" s="26">
        <v>50000</v>
      </c>
      <c r="C25" s="29">
        <v>898</v>
      </c>
      <c r="D25" s="5">
        <f t="shared" si="0"/>
        <v>344900000</v>
      </c>
      <c r="E25" s="2">
        <f t="shared" si="5"/>
        <v>25</v>
      </c>
      <c r="F25" s="5">
        <f t="shared" si="1"/>
        <v>345200000</v>
      </c>
      <c r="G25" s="5">
        <f t="shared" si="2"/>
        <v>375000000</v>
      </c>
      <c r="H25" s="5">
        <f t="shared" si="3"/>
        <v>29800000</v>
      </c>
      <c r="I25" s="39">
        <f t="shared" si="4"/>
        <v>8.6326767091541134E-2</v>
      </c>
    </row>
    <row r="26" spans="2:9" x14ac:dyDescent="0.35">
      <c r="B26" s="26">
        <v>55000</v>
      </c>
      <c r="C26" s="29">
        <v>839.5</v>
      </c>
      <c r="D26" s="5">
        <f t="shared" si="0"/>
        <v>376172500</v>
      </c>
      <c r="E26" s="2">
        <f t="shared" si="5"/>
        <v>27</v>
      </c>
      <c r="F26" s="5">
        <f t="shared" si="1"/>
        <v>376496500</v>
      </c>
      <c r="G26" s="5">
        <f t="shared" si="2"/>
        <v>412500000</v>
      </c>
      <c r="H26" s="5">
        <f t="shared" si="3"/>
        <v>36003500</v>
      </c>
      <c r="I26" s="39">
        <f t="shared" si="4"/>
        <v>9.5627714998678601E-2</v>
      </c>
    </row>
    <row r="27" spans="2:9" x14ac:dyDescent="0.35">
      <c r="B27" s="76">
        <v>12000</v>
      </c>
      <c r="C27" s="29">
        <v>839.5</v>
      </c>
      <c r="E27" s="77">
        <f t="shared" si="5"/>
        <v>6</v>
      </c>
      <c r="G27" s="78">
        <f t="shared" si="2"/>
        <v>90000000</v>
      </c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1" manualBreakCount="1">
    <brk id="2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C3EA1-F398-444D-83F4-BC0B9F9BE9FB}">
  <dimension ref="B4:L19"/>
  <sheetViews>
    <sheetView tabSelected="1" workbookViewId="0">
      <selection activeCell="F22" sqref="F22"/>
    </sheetView>
  </sheetViews>
  <sheetFormatPr defaultRowHeight="15.6" x14ac:dyDescent="0.35"/>
  <cols>
    <col min="1" max="1" width="8.7265625" style="50"/>
    <col min="2" max="2" width="17.36328125" style="50" bestFit="1" customWidth="1"/>
    <col min="3" max="3" width="10.7265625" style="50" bestFit="1" customWidth="1"/>
    <col min="4" max="5" width="8.7265625" style="50"/>
    <col min="6" max="6" width="19.7265625" style="50" bestFit="1" customWidth="1"/>
    <col min="7" max="9" width="8.7265625" style="50"/>
    <col min="10" max="10" width="14.7265625" style="50" bestFit="1" customWidth="1"/>
    <col min="11" max="11" width="9.7265625" style="50" bestFit="1" customWidth="1"/>
    <col min="12" max="12" width="14.54296875" style="50" bestFit="1" customWidth="1"/>
    <col min="13" max="16384" width="8.7265625" style="50"/>
  </cols>
  <sheetData>
    <row r="4" spans="2:12" x14ac:dyDescent="0.35">
      <c r="B4" s="51" t="s">
        <v>36</v>
      </c>
      <c r="C4" s="51"/>
      <c r="J4" s="55" t="s">
        <v>53</v>
      </c>
      <c r="K4" s="55"/>
      <c r="L4" s="55"/>
    </row>
    <row r="5" spans="2:12" x14ac:dyDescent="0.35">
      <c r="B5" s="56" t="s">
        <v>8</v>
      </c>
      <c r="C5" s="69">
        <v>7500</v>
      </c>
      <c r="J5" s="57" t="s">
        <v>44</v>
      </c>
      <c r="K5" s="57" t="s">
        <v>46</v>
      </c>
      <c r="L5" s="57" t="s">
        <v>28</v>
      </c>
    </row>
    <row r="6" spans="2:12" x14ac:dyDescent="0.35">
      <c r="B6" s="56" t="s">
        <v>37</v>
      </c>
      <c r="C6" s="58">
        <v>1</v>
      </c>
      <c r="J6" s="57" t="s">
        <v>5</v>
      </c>
      <c r="K6" s="71">
        <f>(C5)</f>
        <v>7500</v>
      </c>
      <c r="L6" s="72">
        <f>(K6*G9)</f>
        <v>90000000</v>
      </c>
    </row>
    <row r="7" spans="2:12" x14ac:dyDescent="0.35">
      <c r="F7" s="54" t="s">
        <v>38</v>
      </c>
      <c r="G7" s="54"/>
      <c r="K7" s="73"/>
      <c r="L7" s="73"/>
    </row>
    <row r="8" spans="2:12" x14ac:dyDescent="0.35">
      <c r="F8" s="60" t="s">
        <v>9</v>
      </c>
      <c r="G8" s="61">
        <f>ROUND((27708+(-3.44167*'Pricing Model'!C5)),0)</f>
        <v>1895</v>
      </c>
      <c r="K8" s="73"/>
      <c r="L8" s="73"/>
    </row>
    <row r="9" spans="2:12" x14ac:dyDescent="0.35">
      <c r="B9" s="52" t="s">
        <v>52</v>
      </c>
      <c r="C9" s="52"/>
      <c r="F9" s="60" t="s">
        <v>39</v>
      </c>
      <c r="G9" s="61">
        <f>((C6*10000)+2000)</f>
        <v>12000</v>
      </c>
      <c r="J9" s="62" t="s">
        <v>45</v>
      </c>
      <c r="K9" s="74"/>
      <c r="L9" s="74"/>
    </row>
    <row r="10" spans="2:12" x14ac:dyDescent="0.35">
      <c r="F10" s="60" t="s">
        <v>40</v>
      </c>
      <c r="G10" s="61">
        <f>_xlfn.CEILING.MATH(((G9-G8)/2000),1)</f>
        <v>6</v>
      </c>
      <c r="J10" s="62" t="s">
        <v>47</v>
      </c>
      <c r="K10" s="75">
        <f>(1483 + (-0.0117*G9))</f>
        <v>1342.6</v>
      </c>
      <c r="L10" s="75">
        <f>(K10*G9)</f>
        <v>16111199.999999998</v>
      </c>
    </row>
    <row r="11" spans="2:12" x14ac:dyDescent="0.35">
      <c r="B11" s="53" t="s">
        <v>41</v>
      </c>
      <c r="C11" s="53"/>
      <c r="I11" s="59"/>
      <c r="J11" s="62" t="s">
        <v>48</v>
      </c>
      <c r="K11" s="75">
        <v>6000</v>
      </c>
      <c r="L11" s="75">
        <f>(K11*G9)</f>
        <v>72000000</v>
      </c>
    </row>
    <row r="12" spans="2:12" x14ac:dyDescent="0.35">
      <c r="B12" s="63" t="s">
        <v>42</v>
      </c>
      <c r="C12" s="70">
        <v>6000</v>
      </c>
      <c r="J12" s="62" t="s">
        <v>49</v>
      </c>
      <c r="K12" s="75">
        <f>((C13*G10)/G9)</f>
        <v>6</v>
      </c>
      <c r="L12" s="75">
        <f>(K12*G9)</f>
        <v>72000</v>
      </c>
    </row>
    <row r="13" spans="2:12" x14ac:dyDescent="0.35">
      <c r="B13" s="63" t="s">
        <v>43</v>
      </c>
      <c r="C13" s="70">
        <v>12000</v>
      </c>
      <c r="J13" s="62" t="s">
        <v>54</v>
      </c>
      <c r="K13" s="75">
        <f>SUM(K10:K12)</f>
        <v>7348.6</v>
      </c>
      <c r="L13" s="75">
        <f>SUM(L10:L12)</f>
        <v>88183200</v>
      </c>
    </row>
    <row r="14" spans="2:12" x14ac:dyDescent="0.35">
      <c r="K14" s="73"/>
      <c r="L14" s="73"/>
    </row>
    <row r="15" spans="2:12" x14ac:dyDescent="0.35">
      <c r="H15" s="68"/>
      <c r="K15" s="73"/>
      <c r="L15" s="73"/>
    </row>
    <row r="16" spans="2:12" x14ac:dyDescent="0.35">
      <c r="B16" s="53" t="s">
        <v>50</v>
      </c>
      <c r="C16" s="53"/>
      <c r="J16" s="64" t="s">
        <v>6</v>
      </c>
      <c r="K16" s="74">
        <f>K6-K13</f>
        <v>151.39999999999964</v>
      </c>
      <c r="L16" s="74">
        <f>(L6-L13)</f>
        <v>1816800</v>
      </c>
    </row>
    <row r="17" spans="2:12" x14ac:dyDescent="0.35">
      <c r="B17" s="65" t="s">
        <v>27</v>
      </c>
      <c r="C17" s="66">
        <v>2000</v>
      </c>
      <c r="J17" s="64" t="s">
        <v>10</v>
      </c>
      <c r="K17" s="67">
        <f>(K16/K13)</f>
        <v>2.0602563753640099E-2</v>
      </c>
      <c r="L17" s="67">
        <f>(L16/L13)</f>
        <v>2.0602563753640148E-2</v>
      </c>
    </row>
    <row r="18" spans="2:12" x14ac:dyDescent="0.35">
      <c r="B18" s="65" t="s">
        <v>51</v>
      </c>
      <c r="C18" s="66">
        <v>10000</v>
      </c>
    </row>
    <row r="19" spans="2:12" x14ac:dyDescent="0.35">
      <c r="B19" s="65" t="s">
        <v>28</v>
      </c>
      <c r="C19" s="66">
        <v>12000</v>
      </c>
    </row>
  </sheetData>
  <mergeCells count="6">
    <mergeCell ref="B4:C4"/>
    <mergeCell ref="B9:C9"/>
    <mergeCell ref="F7:G7"/>
    <mergeCell ref="J4:L4"/>
    <mergeCell ref="B11:C11"/>
    <mergeCell ref="B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First_Submission</vt:lpstr>
      <vt:lpstr>Cost-Supply</vt:lpstr>
      <vt:lpstr>Price-Demand</vt:lpstr>
      <vt:lpstr>Model</vt:lpstr>
      <vt:lpstr>Pricing Model</vt:lpstr>
      <vt:lpstr>Model!solver_opt</vt:lpstr>
      <vt:lpstr>Model!solver_rhs1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Kaushal</dc:creator>
  <cp:lastModifiedBy>anjana jyothi</cp:lastModifiedBy>
  <dcterms:created xsi:type="dcterms:W3CDTF">2003-11-13T08:17:49Z</dcterms:created>
  <dcterms:modified xsi:type="dcterms:W3CDTF">2023-09-29T10:35:22Z</dcterms:modified>
</cp:coreProperties>
</file>