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4547CC92-C1D2-4B2F-9CC6-D1CE170948D4}" xr6:coauthVersionLast="47" xr6:coauthVersionMax="47" xr10:uidLastSave="{00000000-0000-0000-0000-000000000000}"/>
  <bookViews>
    <workbookView xWindow="-108" yWindow="-108" windowWidth="23256" windowHeight="12456" activeTab="4" xr2:uid="{9FF4F011-8B11-4F1B-90B1-22E4C193FF2A}"/>
  </bookViews>
  <sheets>
    <sheet name="Balance-Sheet" sheetId="1" r:id="rId1"/>
    <sheet name="Quiz" sheetId="3" r:id="rId2"/>
    <sheet name=" Price List" sheetId="4" r:id="rId3"/>
    <sheet name="Attendance" sheetId="2" r:id="rId4"/>
    <sheet name="Admission Form" sheetId="5" r:id="rId5"/>
    <sheet name="Month Loan" sheetId="6" r:id="rId6"/>
    <sheet name="Transport" sheetId="7" r:id="rId7"/>
    <sheet name="Actual Work Progress" sheetId="8" r:id="rId8"/>
    <sheet name="Dynamic Search Box" sheetId="9" r:id="rId9"/>
    <sheet name="Select Cell" sheetId="10" r:id="rId10"/>
    <sheet name="Payroll" sheetId="11" r:id="rId11"/>
    <sheet name="Reciept" sheetId="12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2" l="1" a="1"/>
  <c r="C32" i="12" s="1"/>
  <c r="C31" i="12" a="1"/>
  <c r="C31" i="12" s="1"/>
  <c r="C30" i="12" a="1"/>
  <c r="C30" i="12" s="1"/>
  <c r="F20" i="12" a="1"/>
  <c r="F20" i="12" s="1"/>
  <c r="F21" i="12" a="1"/>
  <c r="F21" i="12" s="1"/>
  <c r="F19" i="12" a="1"/>
  <c r="F19" i="12" s="1"/>
  <c r="C23" i="12" a="1"/>
  <c r="C23" i="12" s="1"/>
  <c r="C22" i="12" a="1"/>
  <c r="C22" i="12" s="1"/>
  <c r="C21" i="12" a="1"/>
  <c r="C21" i="12" s="1"/>
  <c r="C20" i="12" a="1"/>
  <c r="C20" i="12" s="1"/>
  <c r="C19" i="12" a="1"/>
  <c r="C19" i="12" s="1"/>
  <c r="F15" i="12" a="1"/>
  <c r="F15" i="12" s="1"/>
  <c r="C15" i="12" a="1"/>
  <c r="C15" i="12" s="1"/>
  <c r="C11" i="12" a="1"/>
  <c r="C11" i="12" s="1"/>
  <c r="B15" i="12" a="1"/>
  <c r="B15" i="12" s="1"/>
  <c r="C10" i="12" a="1"/>
  <c r="C10" i="12" s="1"/>
  <c r="N2" i="12" a="1"/>
  <c r="N2" i="12" s="1"/>
  <c r="F6" i="11"/>
  <c r="R11" i="11"/>
  <c r="R12" i="11"/>
  <c r="R13" i="11"/>
  <c r="R14" i="11"/>
  <c r="R15" i="11"/>
  <c r="R16" i="11"/>
  <c r="R17" i="11"/>
  <c r="R18" i="11"/>
  <c r="R19" i="11"/>
  <c r="R10" i="11"/>
  <c r="P11" i="11"/>
  <c r="P12" i="11"/>
  <c r="P13" i="11"/>
  <c r="P14" i="11"/>
  <c r="P15" i="11"/>
  <c r="P16" i="11"/>
  <c r="P17" i="11"/>
  <c r="P18" i="11"/>
  <c r="P19" i="11"/>
  <c r="P10" i="11"/>
  <c r="I10" i="11"/>
  <c r="N11" i="11"/>
  <c r="N12" i="11"/>
  <c r="N13" i="11"/>
  <c r="N14" i="11"/>
  <c r="N15" i="11"/>
  <c r="N16" i="11"/>
  <c r="N17" i="11"/>
  <c r="N18" i="11"/>
  <c r="N19" i="11"/>
  <c r="N10" i="11"/>
  <c r="J11" i="11"/>
  <c r="J12" i="11"/>
  <c r="J13" i="11"/>
  <c r="J14" i="11"/>
  <c r="J15" i="11"/>
  <c r="J16" i="11"/>
  <c r="J17" i="11"/>
  <c r="J18" i="11"/>
  <c r="J19" i="11"/>
  <c r="J10" i="11"/>
  <c r="I11" i="11"/>
  <c r="I12" i="11"/>
  <c r="I13" i="11"/>
  <c r="I14" i="11"/>
  <c r="I15" i="11"/>
  <c r="I16" i="11"/>
  <c r="I17" i="11"/>
  <c r="I18" i="11"/>
  <c r="I19" i="11"/>
  <c r="H11" i="11"/>
  <c r="H12" i="11"/>
  <c r="H13" i="11"/>
  <c r="H14" i="11"/>
  <c r="H15" i="11"/>
  <c r="H16" i="11"/>
  <c r="H17" i="11"/>
  <c r="H18" i="11"/>
  <c r="H19" i="11"/>
  <c r="H10" i="11"/>
  <c r="F11" i="11"/>
  <c r="F12" i="11"/>
  <c r="F13" i="11"/>
  <c r="F14" i="11"/>
  <c r="F15" i="11"/>
  <c r="F16" i="11"/>
  <c r="F17" i="11"/>
  <c r="F18" i="11"/>
  <c r="F19" i="11"/>
  <c r="F10" i="11"/>
  <c r="B12" i="11"/>
  <c r="B13" i="11"/>
  <c r="B14" i="11"/>
  <c r="B15" i="11"/>
  <c r="B16" i="11"/>
  <c r="B17" i="11"/>
  <c r="B18" i="11"/>
  <c r="B19" i="11"/>
  <c r="B11" i="11"/>
  <c r="H10" i="9"/>
  <c r="I10" i="9"/>
  <c r="J10" i="9"/>
  <c r="H11" i="9"/>
  <c r="I11" i="9"/>
  <c r="J11" i="9"/>
  <c r="H12" i="9"/>
  <c r="I12" i="9"/>
  <c r="J12" i="9"/>
  <c r="H13" i="9"/>
  <c r="I13" i="9"/>
  <c r="J13" i="9"/>
  <c r="H14" i="9"/>
  <c r="I14" i="9"/>
  <c r="J14" i="9"/>
  <c r="H15" i="9"/>
  <c r="I15" i="9"/>
  <c r="J15" i="9"/>
  <c r="H16" i="9"/>
  <c r="I16" i="9"/>
  <c r="J16" i="9"/>
  <c r="H17" i="9"/>
  <c r="I17" i="9"/>
  <c r="J17" i="9"/>
  <c r="H18" i="9"/>
  <c r="I18" i="9"/>
  <c r="J18" i="9"/>
  <c r="I9" i="9"/>
  <c r="J9" i="9"/>
  <c r="H9" i="9"/>
  <c r="F12" i="8"/>
  <c r="F14" i="8"/>
  <c r="F16" i="8"/>
  <c r="M27" i="7"/>
  <c r="G7" i="6"/>
  <c r="D12" i="6"/>
  <c r="D13" i="6"/>
  <c r="E13" i="6"/>
  <c r="F13" i="6"/>
  <c r="G13" i="6"/>
  <c r="H13" i="6"/>
  <c r="D14" i="6"/>
  <c r="E14" i="6"/>
  <c r="F14" i="6"/>
  <c r="G14" i="6"/>
  <c r="H14" i="6"/>
  <c r="D15" i="6"/>
  <c r="E15" i="6"/>
  <c r="F15" i="6"/>
  <c r="G15" i="6"/>
  <c r="H15" i="6"/>
  <c r="D16" i="6"/>
  <c r="E16" i="6"/>
  <c r="F16" i="6"/>
  <c r="G16" i="6"/>
  <c r="H16" i="6"/>
  <c r="E12" i="6"/>
  <c r="F12" i="6"/>
  <c r="G12" i="6"/>
  <c r="H12" i="6"/>
  <c r="M38" i="5"/>
  <c r="M34" i="5"/>
  <c r="M25" i="5"/>
  <c r="E39" i="5"/>
  <c r="E42" i="5" s="1"/>
  <c r="I12" i="5"/>
  <c r="F13" i="4"/>
  <c r="F14" i="4"/>
  <c r="G14" i="4" s="1"/>
  <c r="F15" i="4"/>
  <c r="G15" i="4" s="1"/>
  <c r="F16" i="4"/>
  <c r="F17" i="4"/>
  <c r="F12" i="4"/>
  <c r="G12" i="4"/>
  <c r="G13" i="3"/>
  <c r="I17" i="3"/>
  <c r="G18" i="3"/>
  <c r="G14" i="3"/>
  <c r="G16" i="3"/>
  <c r="G17" i="3"/>
  <c r="G12" i="3"/>
  <c r="P10" i="2"/>
  <c r="P11" i="2"/>
  <c r="P12" i="2"/>
  <c r="P13" i="2"/>
  <c r="P9" i="2"/>
  <c r="O10" i="2"/>
  <c r="O11" i="2"/>
  <c r="O12" i="2"/>
  <c r="O13" i="2"/>
  <c r="O9" i="2"/>
  <c r="N9" i="2"/>
  <c r="N10" i="2"/>
  <c r="N11" i="2"/>
  <c r="N12" i="2"/>
  <c r="N13" i="2"/>
  <c r="X19" i="1"/>
  <c r="T13" i="1"/>
  <c r="T19" i="1" s="1"/>
  <c r="F26" i="1"/>
  <c r="K26" i="1"/>
  <c r="F15" i="1"/>
  <c r="F18" i="1" s="1"/>
  <c r="G15" i="3"/>
  <c r="F26" i="12" l="1"/>
  <c r="C26" i="12"/>
  <c r="F18" i="8"/>
  <c r="E41" i="5"/>
  <c r="I12" i="4"/>
  <c r="G13" i="4"/>
  <c r="I13" i="4" s="1"/>
  <c r="G17" i="4"/>
  <c r="I17" i="4" s="1"/>
  <c r="G16" i="4"/>
  <c r="I16" i="4" s="1"/>
  <c r="I15" i="4"/>
  <c r="I14" i="4"/>
  <c r="G20" i="3"/>
  <c r="E19" i="3" s="1"/>
  <c r="G21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<sst xmlns="http://schemas.openxmlformats.org/spreadsheetml/2006/main" count="366" uniqueCount="290">
  <si>
    <t>Trading and Profit &amp; Loss Account</t>
  </si>
  <si>
    <t>Particular</t>
  </si>
  <si>
    <t>Amount</t>
  </si>
  <si>
    <t>To stock(1-4-2014)</t>
  </si>
  <si>
    <t>To Purchase</t>
  </si>
  <si>
    <t>To Gross Profit transferred</t>
  </si>
  <si>
    <t xml:space="preserve">      to P/L A/c</t>
  </si>
  <si>
    <t>To commission</t>
  </si>
  <si>
    <t>To General Expense</t>
  </si>
  <si>
    <t>To salaries</t>
  </si>
  <si>
    <t>To Depreciation on Machinery @ 10%</t>
  </si>
  <si>
    <t>To Net Profit Transferred to Capital A/c</t>
  </si>
  <si>
    <t xml:space="preserve">To Wages                    </t>
  </si>
  <si>
    <t xml:space="preserve">Add: Outstanding          </t>
  </si>
  <si>
    <t xml:space="preserve">To rent                            </t>
  </si>
  <si>
    <t xml:space="preserve">       Less:Prepaid            </t>
  </si>
  <si>
    <t>By Sales</t>
  </si>
  <si>
    <t>By Closing Stock</t>
  </si>
  <si>
    <t>By Gross Profit transferred from Trading A/c</t>
  </si>
  <si>
    <t>By Interest Received</t>
  </si>
  <si>
    <t>Balance Sheet</t>
  </si>
  <si>
    <t>Liabiliites</t>
  </si>
  <si>
    <t>Assets</t>
  </si>
  <si>
    <t>Capital</t>
  </si>
  <si>
    <t>Add: Net Profit</t>
  </si>
  <si>
    <t>Sundry Creditors</t>
  </si>
  <si>
    <t>Outstanding Wages</t>
  </si>
  <si>
    <t>Cash in hand</t>
  </si>
  <si>
    <t>Bills Receivable</t>
  </si>
  <si>
    <t>Sundry Debtors</t>
  </si>
  <si>
    <t>Machinery</t>
  </si>
  <si>
    <t>Less: Depreciation</t>
  </si>
  <si>
    <t>Prepaid Rent</t>
  </si>
  <si>
    <t>Closing Stock</t>
  </si>
  <si>
    <t>ComputerTech Computer Center</t>
  </si>
  <si>
    <t>Roll No</t>
  </si>
  <si>
    <t>Student</t>
  </si>
  <si>
    <t>Course</t>
  </si>
  <si>
    <t>SUN</t>
  </si>
  <si>
    <t>MON</t>
  </si>
  <si>
    <t>TUE</t>
  </si>
  <si>
    <t>WED</t>
  </si>
  <si>
    <t>THRU</t>
  </si>
  <si>
    <t>FRI</t>
  </si>
  <si>
    <t>SAT</t>
  </si>
  <si>
    <t>ABS</t>
  </si>
  <si>
    <t>HOLI</t>
  </si>
  <si>
    <t>PRESENT</t>
  </si>
  <si>
    <t>A</t>
  </si>
  <si>
    <t>H</t>
  </si>
  <si>
    <t>P</t>
  </si>
  <si>
    <t>Gautam Jha</t>
  </si>
  <si>
    <t>Btech</t>
  </si>
  <si>
    <t>BA</t>
  </si>
  <si>
    <t>Bussiness</t>
  </si>
  <si>
    <t>Stock</t>
  </si>
  <si>
    <t>Pawan</t>
  </si>
  <si>
    <t>Shashank</t>
  </si>
  <si>
    <t>Suraj</t>
  </si>
  <si>
    <t>a</t>
  </si>
  <si>
    <t>p</t>
  </si>
  <si>
    <t>Objective Quiz</t>
  </si>
  <si>
    <t>Q.no</t>
  </si>
  <si>
    <t>Question</t>
  </si>
  <si>
    <t>Option</t>
  </si>
  <si>
    <t>Result</t>
  </si>
  <si>
    <t>Mother Board is also known as</t>
  </si>
  <si>
    <t>option 1</t>
  </si>
  <si>
    <t>option 2</t>
  </si>
  <si>
    <t>option 3</t>
  </si>
  <si>
    <t>option 4</t>
  </si>
  <si>
    <t>option 5</t>
  </si>
  <si>
    <t>option 6</t>
  </si>
  <si>
    <t>option 7</t>
  </si>
  <si>
    <t>Hard Disk</t>
  </si>
  <si>
    <t>RAM</t>
  </si>
  <si>
    <t>Mouse</t>
  </si>
  <si>
    <t>Printer</t>
  </si>
  <si>
    <t>MB</t>
  </si>
  <si>
    <t>GB</t>
  </si>
  <si>
    <t>TB</t>
  </si>
  <si>
    <t>Byte</t>
  </si>
  <si>
    <t>Moniter</t>
  </si>
  <si>
    <t>Devisional</t>
  </si>
  <si>
    <t xml:space="preserve">Dual </t>
  </si>
  <si>
    <t>Device</t>
  </si>
  <si>
    <t>Digital</t>
  </si>
  <si>
    <t>Ultra Board</t>
  </si>
  <si>
    <t>Main Board</t>
  </si>
  <si>
    <t>Central Board</t>
  </si>
  <si>
    <t>Circuit Board</t>
  </si>
  <si>
    <t>Fourth</t>
  </si>
  <si>
    <t>Third</t>
  </si>
  <si>
    <t>Secondary</t>
  </si>
  <si>
    <t>Primary</t>
  </si>
  <si>
    <t>pass</t>
  </si>
  <si>
    <t>Fail</t>
  </si>
  <si>
    <t>Try Again</t>
  </si>
  <si>
    <t>______is a primary memory.</t>
  </si>
  <si>
    <t>1024kb is equal to 1___</t>
  </si>
  <si>
    <t>______  is an input device</t>
  </si>
  <si>
    <t>DVD means ______ Versatile Disk</t>
  </si>
  <si>
    <t>ROM is a______ memory</t>
  </si>
  <si>
    <t>1 Character is a made up of_____ bits</t>
  </si>
  <si>
    <t>Total Correct</t>
  </si>
  <si>
    <t>Total Incorrect</t>
  </si>
  <si>
    <t>Congratulation!!! You are Pass</t>
  </si>
  <si>
    <t>Price List &amp; Commission</t>
  </si>
  <si>
    <t>Product Code</t>
  </si>
  <si>
    <t>Product</t>
  </si>
  <si>
    <t>Purchase Price</t>
  </si>
  <si>
    <t xml:space="preserve">Gross Price </t>
  </si>
  <si>
    <t>Monthly Scheme</t>
  </si>
  <si>
    <t>Final Price</t>
  </si>
  <si>
    <t>S21</t>
  </si>
  <si>
    <t>Samsung Mobile</t>
  </si>
  <si>
    <t>Quantity Purchase</t>
  </si>
  <si>
    <t>Discount 2%</t>
  </si>
  <si>
    <t>S33</t>
  </si>
  <si>
    <t>Sony TV</t>
  </si>
  <si>
    <t>L23</t>
  </si>
  <si>
    <t>LG washing Machine</t>
  </si>
  <si>
    <t>P20</t>
  </si>
  <si>
    <t>Philips Iron</t>
  </si>
  <si>
    <t>W11</t>
  </si>
  <si>
    <t>Whirlpool Fridge</t>
  </si>
  <si>
    <t>V30</t>
  </si>
  <si>
    <t>Videocon Oven</t>
  </si>
  <si>
    <t>Date</t>
  </si>
  <si>
    <t>Duration</t>
  </si>
  <si>
    <t>Name</t>
  </si>
  <si>
    <t>Address</t>
  </si>
  <si>
    <t>City</t>
  </si>
  <si>
    <t>Pincode</t>
  </si>
  <si>
    <t>Mobile:</t>
  </si>
  <si>
    <t>Gender</t>
  </si>
  <si>
    <t>DOB</t>
  </si>
  <si>
    <t>Education</t>
  </si>
  <si>
    <t>School/College</t>
  </si>
  <si>
    <t>Mother Language</t>
  </si>
  <si>
    <t>Professions</t>
  </si>
  <si>
    <t>Form No.              :</t>
  </si>
  <si>
    <t>Admission FOrm</t>
  </si>
  <si>
    <t>Coding</t>
  </si>
  <si>
    <t>Digital Marketing</t>
  </si>
  <si>
    <t>Maths</t>
  </si>
  <si>
    <t>Total Fees                     :</t>
  </si>
  <si>
    <t>Due Date                       :</t>
  </si>
  <si>
    <t>Advanced Paid             :</t>
  </si>
  <si>
    <t>Balance                          :</t>
  </si>
  <si>
    <t>3 Months</t>
  </si>
  <si>
    <t>6 Months</t>
  </si>
  <si>
    <t>9 Months</t>
  </si>
  <si>
    <t>12 Months</t>
  </si>
  <si>
    <t>General</t>
  </si>
  <si>
    <t>Male</t>
  </si>
  <si>
    <t>Female</t>
  </si>
  <si>
    <t>Transgender</t>
  </si>
  <si>
    <t>JOB</t>
  </si>
  <si>
    <t>STUDENT</t>
  </si>
  <si>
    <t>CODER</t>
  </si>
  <si>
    <t>TRADER</t>
  </si>
  <si>
    <t>s12</t>
  </si>
  <si>
    <t>ddgffp</t>
  </si>
  <si>
    <t>darbhanga</t>
  </si>
  <si>
    <t>khkjhk</t>
  </si>
  <si>
    <t>nbmnb</t>
  </si>
  <si>
    <t>maithali</t>
  </si>
  <si>
    <t>Monthly Payment Loan</t>
  </si>
  <si>
    <t>Loan Amount</t>
  </si>
  <si>
    <t>Interest Rate</t>
  </si>
  <si>
    <t>Months to Repay</t>
  </si>
  <si>
    <t>Monthly Payment</t>
  </si>
  <si>
    <t>Months</t>
  </si>
  <si>
    <t>Per Month</t>
  </si>
  <si>
    <t>Mumbai</t>
  </si>
  <si>
    <t>Transport Method</t>
  </si>
  <si>
    <t>Plane</t>
  </si>
  <si>
    <t>Ship</t>
  </si>
  <si>
    <t>Train</t>
  </si>
  <si>
    <t>Truck</t>
  </si>
  <si>
    <t>Product1</t>
  </si>
  <si>
    <t>Product2</t>
  </si>
  <si>
    <t>Product3</t>
  </si>
  <si>
    <t>Product4</t>
  </si>
  <si>
    <t>Pune</t>
  </si>
  <si>
    <t>Transport</t>
  </si>
  <si>
    <t>Search for Transportation Rate of different product in different City through different Transportation medium:</t>
  </si>
  <si>
    <t>Transort Medium</t>
  </si>
  <si>
    <t>Rate</t>
  </si>
  <si>
    <t>Actual Work Progress</t>
  </si>
  <si>
    <t>Level Max</t>
  </si>
  <si>
    <t>Data Series</t>
  </si>
  <si>
    <t>Remainder</t>
  </si>
  <si>
    <t>Level 1</t>
  </si>
  <si>
    <t>Level 2</t>
  </si>
  <si>
    <t>Level 3</t>
  </si>
  <si>
    <t>Date of Admission</t>
  </si>
  <si>
    <t>Student Name</t>
  </si>
  <si>
    <t>Mobile No.</t>
  </si>
  <si>
    <t>S251</t>
  </si>
  <si>
    <t>S252</t>
  </si>
  <si>
    <t>S253</t>
  </si>
  <si>
    <t>Raju S Meghwal</t>
  </si>
  <si>
    <t>MS-CIT</t>
  </si>
  <si>
    <t>ShivaJi Nagar</t>
  </si>
  <si>
    <t>Govind Patiakr</t>
  </si>
  <si>
    <t>Anusha S Gounder</t>
  </si>
  <si>
    <t>Master Tally</t>
  </si>
  <si>
    <t>Padwal Nagar</t>
  </si>
  <si>
    <t>S254</t>
  </si>
  <si>
    <t>Kiran Thakula</t>
  </si>
  <si>
    <t>Kisan Nagar</t>
  </si>
  <si>
    <t>S255</t>
  </si>
  <si>
    <t>S256</t>
  </si>
  <si>
    <t>S257</t>
  </si>
  <si>
    <t>S258</t>
  </si>
  <si>
    <t>S259</t>
  </si>
  <si>
    <t>S260</t>
  </si>
  <si>
    <t>Pawan Jaiswal</t>
  </si>
  <si>
    <t>Suraj Kumar</t>
  </si>
  <si>
    <t xml:space="preserve">Shashank </t>
  </si>
  <si>
    <t>Sachin K Yadhav</t>
  </si>
  <si>
    <t>Pragna Gangani</t>
  </si>
  <si>
    <t>Typing</t>
  </si>
  <si>
    <t>Laheriasarai</t>
  </si>
  <si>
    <t>Gola Road</t>
  </si>
  <si>
    <t>Jagdeo Path</t>
  </si>
  <si>
    <t>Benta</t>
  </si>
  <si>
    <t>Search Box</t>
  </si>
  <si>
    <t/>
  </si>
  <si>
    <t>Form No.</t>
  </si>
  <si>
    <t>Less Than</t>
  </si>
  <si>
    <t>Payroll-   Salary Sheet</t>
  </si>
  <si>
    <t>Id No.</t>
  </si>
  <si>
    <t>Employee Name</t>
  </si>
  <si>
    <t>Designaion</t>
  </si>
  <si>
    <t>Basic Salary</t>
  </si>
  <si>
    <t>Home Rent  25%</t>
  </si>
  <si>
    <t>Medical Allowance 1000</t>
  </si>
  <si>
    <t>Transport Allowance 5%</t>
  </si>
  <si>
    <t>Other Allowance 2%</t>
  </si>
  <si>
    <t>Gross Salary</t>
  </si>
  <si>
    <t>Working Day</t>
  </si>
  <si>
    <t>Attendance</t>
  </si>
  <si>
    <t>Overtime/Holiday</t>
  </si>
  <si>
    <t>Gross Payable</t>
  </si>
  <si>
    <t>Kiran Mane</t>
  </si>
  <si>
    <t xml:space="preserve">Sujal Das </t>
  </si>
  <si>
    <t xml:space="preserve">Sunita Sheety </t>
  </si>
  <si>
    <t>Vinay Bhosale</t>
  </si>
  <si>
    <t>Harsh Sharma</t>
  </si>
  <si>
    <t>Meera Nale</t>
  </si>
  <si>
    <t>Rakesh Sharma</t>
  </si>
  <si>
    <t>Pushkar Das</t>
  </si>
  <si>
    <t>Jinal Shah</t>
  </si>
  <si>
    <t>Sanjay Kale</t>
  </si>
  <si>
    <t>Managing Director</t>
  </si>
  <si>
    <t>General Manager</t>
  </si>
  <si>
    <t>Assistant Manager</t>
  </si>
  <si>
    <t>Accountant</t>
  </si>
  <si>
    <t>Production Manager</t>
  </si>
  <si>
    <t>Quality Manager</t>
  </si>
  <si>
    <t>ualigty Controller</t>
  </si>
  <si>
    <t>Supervisor</t>
  </si>
  <si>
    <t>Peon</t>
  </si>
  <si>
    <t>Helper</t>
  </si>
  <si>
    <t>Advance Deduction</t>
  </si>
  <si>
    <t>Other Deduction</t>
  </si>
  <si>
    <t>Life Insurance Deduction 2%</t>
  </si>
  <si>
    <t>Net payable</t>
  </si>
  <si>
    <t>Automated Pay Slip using Payroll</t>
  </si>
  <si>
    <t>Payslip for Jan 2020</t>
  </si>
  <si>
    <t>Employee Id No</t>
  </si>
  <si>
    <t>Designation</t>
  </si>
  <si>
    <t>Earning</t>
  </si>
  <si>
    <t>Deduction</t>
  </si>
  <si>
    <t>Basic</t>
  </si>
  <si>
    <t>HR</t>
  </si>
  <si>
    <t>Medical Allowance</t>
  </si>
  <si>
    <t>Transport Allowance</t>
  </si>
  <si>
    <t>Other Allowance</t>
  </si>
  <si>
    <t>Life Insurance Deduction</t>
  </si>
  <si>
    <t>Total</t>
  </si>
  <si>
    <t>Net Payable</t>
  </si>
  <si>
    <t>Prepared By</t>
  </si>
  <si>
    <t>Approved By</t>
  </si>
  <si>
    <t>Ankit Pvt LTd</t>
  </si>
  <si>
    <t>Ankit Kumar</t>
  </si>
  <si>
    <t>Ankit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</si>
</sst>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₹&quot;\ #,##0;&quot;₹&quot;\ \-#,##0"/>
    <numFmt numFmtId="41" formatCode="_ * #,##0_ ;_ * \-#,##0_ ;_ * &quot;-&quot;_ ;_ @_ "/>
    <numFmt numFmtId="43" formatCode="_ * #,##0.00_ ;_ * \-#,##0.00_ ;_ * &quot;-&quot;??_ ;_ @_ "/>
    <numFmt numFmtId="164" formatCode="_ &quot;₹&quot;\ * #,##0.0_ ;_ &quot;₹&quot;\ * \-#,##0.0_ ;_ &quot;₹&quot;\ * &quot;-&quot;?_ ;_ @_ "/>
    <numFmt numFmtId="165" formatCode="_ * #,##0_ ;_ * \-#,##0_ ;_ * &quot;-&quot;??_ ;_ @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double"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6"/>
      <color theme="0"/>
      <name val="Algerian"/>
      <family val="5"/>
    </font>
    <font>
      <b/>
      <i/>
      <u/>
      <sz val="12"/>
      <color theme="0"/>
      <name val="Algerian"/>
      <family val="5"/>
    </font>
    <font>
      <b/>
      <i/>
      <u/>
      <sz val="22"/>
      <color theme="0"/>
      <name val="Algerian"/>
      <family val="5"/>
    </font>
    <font>
      <b/>
      <sz val="14"/>
      <color theme="1"/>
      <name val="Calibri Light"/>
      <family val="2"/>
      <scheme val="major"/>
    </font>
    <font>
      <b/>
      <sz val="16"/>
      <color rgb="FF00B05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i/>
      <sz val="10"/>
      <color theme="4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F4FD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7420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8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/>
    <xf numFmtId="0" fontId="2" fillId="4" borderId="1" xfId="0" applyFont="1" applyFill="1" applyBorder="1"/>
    <xf numFmtId="41" fontId="2" fillId="4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0" fillId="4" borderId="1" xfId="0" applyNumberFormat="1" applyFill="1" applyBorder="1"/>
    <xf numFmtId="41" fontId="2" fillId="5" borderId="1" xfId="0" applyNumberFormat="1" applyFont="1" applyFill="1" applyBorder="1"/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2" fillId="3" borderId="6" xfId="0" applyFont="1" applyFill="1" applyBorder="1"/>
    <xf numFmtId="41" fontId="2" fillId="4" borderId="7" xfId="0" applyNumberFormat="1" applyFont="1" applyFill="1" applyBorder="1"/>
    <xf numFmtId="41" fontId="2" fillId="5" borderId="7" xfId="0" applyNumberFormat="1" applyFont="1" applyFill="1" applyBorder="1"/>
    <xf numFmtId="0" fontId="2" fillId="3" borderId="6" xfId="0" applyFont="1" applyFill="1" applyBorder="1" applyAlignment="1">
      <alignment wrapText="1"/>
    </xf>
    <xf numFmtId="0" fontId="2" fillId="4" borderId="8" xfId="0" applyFont="1" applyFill="1" applyBorder="1"/>
    <xf numFmtId="0" fontId="2" fillId="4" borderId="9" xfId="0" applyFont="1" applyFill="1" applyBorder="1"/>
    <xf numFmtId="41" fontId="2" fillId="5" borderId="9" xfId="0" applyNumberFormat="1" applyFont="1" applyFill="1" applyBorder="1"/>
    <xf numFmtId="41" fontId="2" fillId="5" borderId="10" xfId="0" applyNumberFormat="1" applyFont="1" applyFill="1" applyBorder="1"/>
    <xf numFmtId="0" fontId="2" fillId="6" borderId="1" xfId="0" applyFont="1" applyFill="1" applyBorder="1"/>
    <xf numFmtId="0" fontId="2" fillId="6" borderId="7" xfId="0" applyFont="1" applyFill="1" applyBorder="1"/>
    <xf numFmtId="0" fontId="2" fillId="7" borderId="6" xfId="0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readingOrder="1"/>
    </xf>
    <xf numFmtId="0" fontId="2" fillId="6" borderId="8" xfId="0" applyFont="1" applyFill="1" applyBorder="1"/>
    <xf numFmtId="0" fontId="2" fillId="6" borderId="9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65" fontId="0" fillId="0" borderId="0" xfId="1" applyNumberFormat="1" applyFont="1"/>
    <xf numFmtId="165" fontId="2" fillId="6" borderId="1" xfId="1" applyNumberFormat="1" applyFont="1" applyFill="1" applyBorder="1"/>
    <xf numFmtId="165" fontId="2" fillId="6" borderId="9" xfId="1" applyNumberFormat="1" applyFont="1" applyFill="1" applyBorder="1"/>
    <xf numFmtId="165" fontId="2" fillId="6" borderId="7" xfId="1" applyNumberFormat="1" applyFont="1" applyFill="1" applyBorder="1"/>
    <xf numFmtId="165" fontId="2" fillId="6" borderId="10" xfId="1" applyNumberFormat="1" applyFont="1" applyFill="1" applyBorder="1"/>
    <xf numFmtId="0" fontId="6" fillId="3" borderId="2" xfId="0" applyFont="1" applyFill="1" applyBorder="1" applyAlignment="1">
      <alignment horizontal="centerContinuous"/>
    </xf>
    <xf numFmtId="0" fontId="6" fillId="3" borderId="3" xfId="0" applyFont="1" applyFill="1" applyBorder="1" applyAlignment="1">
      <alignment horizontal="centerContinuous"/>
    </xf>
    <xf numFmtId="0" fontId="2" fillId="6" borderId="6" xfId="0" applyFont="1" applyFill="1" applyBorder="1" applyAlignment="1">
      <alignment horizontal="centerContinuous"/>
    </xf>
    <xf numFmtId="0" fontId="2" fillId="6" borderId="1" xfId="0" applyFont="1" applyFill="1" applyBorder="1" applyAlignment="1">
      <alignment horizontal="centerContinuous"/>
    </xf>
    <xf numFmtId="0" fontId="0" fillId="9" borderId="0" xfId="0" applyFill="1"/>
    <xf numFmtId="0" fontId="0" fillId="10" borderId="1" xfId="0" applyFill="1" applyBorder="1" applyAlignment="1">
      <alignment vertic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10" borderId="11" xfId="0" applyFill="1" applyBorder="1" applyAlignment="1">
      <alignment horizontal="center" vertical="center"/>
    </xf>
    <xf numFmtId="0" fontId="0" fillId="9" borderId="1" xfId="0" applyFill="1" applyBorder="1"/>
    <xf numFmtId="0" fontId="8" fillId="11" borderId="0" xfId="0" applyFont="1" applyFill="1" applyAlignment="1">
      <alignment horizontal="centerContinuous"/>
    </xf>
    <xf numFmtId="0" fontId="9" fillId="11" borderId="0" xfId="0" applyFont="1" applyFill="1" applyAlignment="1">
      <alignment horizontal="centerContinuous"/>
    </xf>
    <xf numFmtId="0" fontId="2" fillId="0" borderId="1" xfId="0" applyFont="1" applyBorder="1"/>
    <xf numFmtId="0" fontId="2" fillId="2" borderId="1" xfId="0" applyFont="1" applyFill="1" applyBorder="1"/>
    <xf numFmtId="0" fontId="0" fillId="14" borderId="1" xfId="0" applyFill="1" applyBorder="1"/>
    <xf numFmtId="0" fontId="0" fillId="17" borderId="1" xfId="0" applyFill="1" applyBorder="1"/>
    <xf numFmtId="0" fontId="0" fillId="15" borderId="1" xfId="0" applyFill="1" applyBorder="1"/>
    <xf numFmtId="0" fontId="0" fillId="17" borderId="11" xfId="0" applyFill="1" applyBorder="1"/>
    <xf numFmtId="0" fontId="2" fillId="3" borderId="1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/>
    <xf numFmtId="0" fontId="2" fillId="0" borderId="6" xfId="0" applyFont="1" applyBorder="1" applyAlignment="1">
      <alignment horizontal="center" vertical="top"/>
    </xf>
    <xf numFmtId="0" fontId="2" fillId="12" borderId="7" xfId="0" applyFont="1" applyFill="1" applyBorder="1"/>
    <xf numFmtId="0" fontId="2" fillId="0" borderId="7" xfId="0" applyFont="1" applyBorder="1"/>
    <xf numFmtId="0" fontId="2" fillId="2" borderId="8" xfId="0" applyFont="1" applyFill="1" applyBorder="1" applyAlignment="1">
      <alignment horizontal="center" vertical="top"/>
    </xf>
    <xf numFmtId="0" fontId="2" fillId="2" borderId="9" xfId="0" applyFont="1" applyFill="1" applyBorder="1"/>
    <xf numFmtId="0" fontId="2" fillId="2" borderId="10" xfId="0" applyFont="1" applyFill="1" applyBorder="1"/>
    <xf numFmtId="0" fontId="2" fillId="17" borderId="11" xfId="0" applyFont="1" applyFill="1" applyBorder="1"/>
    <xf numFmtId="0" fontId="2" fillId="13" borderId="1" xfId="0" applyFont="1" applyFill="1" applyBorder="1"/>
    <xf numFmtId="0" fontId="2" fillId="14" borderId="1" xfId="0" applyFont="1" applyFill="1" applyBorder="1"/>
    <xf numFmtId="0" fontId="12" fillId="17" borderId="0" xfId="0" applyFont="1" applyFill="1" applyAlignment="1">
      <alignment horizontal="centerContinuous"/>
    </xf>
    <xf numFmtId="43" fontId="0" fillId="0" borderId="0" xfId="1" applyFont="1"/>
    <xf numFmtId="0" fontId="11" fillId="17" borderId="0" xfId="0" applyFont="1" applyFill="1" applyAlignment="1">
      <alignment horizontal="center" vertical="center" wrapText="1"/>
    </xf>
    <xf numFmtId="0" fontId="11" fillId="17" borderId="0" xfId="0" applyFont="1" applyFill="1" applyAlignment="1">
      <alignment vertical="center"/>
    </xf>
    <xf numFmtId="0" fontId="11" fillId="17" borderId="0" xfId="0" applyFont="1" applyFill="1" applyAlignment="1">
      <alignment vertical="center" wrapText="1"/>
    </xf>
    <xf numFmtId="0" fontId="14" fillId="19" borderId="0" xfId="0" applyFont="1" applyFill="1" applyAlignment="1">
      <alignment vertical="center"/>
    </xf>
    <xf numFmtId="0" fontId="15" fillId="19" borderId="0" xfId="0" applyFont="1" applyFill="1" applyAlignment="1">
      <alignment vertical="center"/>
    </xf>
    <xf numFmtId="14" fontId="0" fillId="0" borderId="0" xfId="0" applyNumberFormat="1"/>
    <xf numFmtId="0" fontId="0" fillId="20" borderId="1" xfId="0" applyFill="1" applyBorder="1"/>
    <xf numFmtId="14" fontId="0" fillId="20" borderId="1" xfId="0" applyNumberFormat="1" applyFill="1" applyBorder="1"/>
    <xf numFmtId="0" fontId="0" fillId="0" borderId="1" xfId="0" applyBorder="1" applyAlignment="1">
      <alignment wrapText="1" shrinkToFit="1"/>
    </xf>
    <xf numFmtId="0" fontId="0" fillId="2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22" fontId="0" fillId="0" borderId="0" xfId="0" applyNumberFormat="1"/>
    <xf numFmtId="0" fontId="16" fillId="19" borderId="0" xfId="0" applyFont="1" applyFill="1" applyAlignment="1">
      <alignment vertical="center"/>
    </xf>
    <xf numFmtId="0" fontId="0" fillId="0" borderId="14" xfId="0" applyBorder="1"/>
    <xf numFmtId="14" fontId="0" fillId="0" borderId="14" xfId="0" applyNumberFormat="1" applyBorder="1"/>
    <xf numFmtId="0" fontId="0" fillId="7" borderId="1" xfId="0" applyFill="1" applyBorder="1"/>
    <xf numFmtId="9" fontId="0" fillId="7" borderId="1" xfId="0" applyNumberFormat="1" applyFill="1" applyBorder="1"/>
    <xf numFmtId="43" fontId="0" fillId="13" borderId="1" xfId="1" applyFont="1" applyFill="1" applyBorder="1"/>
    <xf numFmtId="0" fontId="0" fillId="16" borderId="1" xfId="0" applyFill="1" applyBorder="1"/>
    <xf numFmtId="9" fontId="0" fillId="16" borderId="1" xfId="0" applyNumberFormat="1" applyFill="1" applyBorder="1"/>
    <xf numFmtId="0" fontId="17" fillId="2" borderId="18" xfId="0" applyFont="1" applyFill="1" applyBorder="1"/>
    <xf numFmtId="0" fontId="17" fillId="2" borderId="0" xfId="0" applyFont="1" applyFill="1"/>
    <xf numFmtId="0" fontId="0" fillId="7" borderId="6" xfId="0" applyFill="1" applyBorder="1"/>
    <xf numFmtId="0" fontId="0" fillId="16" borderId="6" xfId="0" applyFill="1" applyBorder="1"/>
    <xf numFmtId="9" fontId="0" fillId="16" borderId="7" xfId="0" applyNumberFormat="1" applyFill="1" applyBorder="1"/>
    <xf numFmtId="43" fontId="0" fillId="16" borderId="6" xfId="1" applyFont="1" applyFill="1" applyBorder="1"/>
    <xf numFmtId="43" fontId="0" fillId="13" borderId="7" xfId="1" applyFont="1" applyFill="1" applyBorder="1"/>
    <xf numFmtId="0" fontId="0" fillId="21" borderId="15" xfId="0" applyFill="1" applyBorder="1"/>
    <xf numFmtId="0" fontId="0" fillId="21" borderId="16" xfId="0" applyFill="1" applyBorder="1"/>
    <xf numFmtId="0" fontId="0" fillId="21" borderId="17" xfId="0" applyFill="1" applyBorder="1"/>
    <xf numFmtId="0" fontId="0" fillId="21" borderId="18" xfId="0" applyFill="1" applyBorder="1"/>
    <xf numFmtId="0" fontId="0" fillId="21" borderId="0" xfId="0" applyFill="1"/>
    <xf numFmtId="0" fontId="0" fillId="21" borderId="19" xfId="0" applyFill="1" applyBorder="1"/>
    <xf numFmtId="0" fontId="0" fillId="21" borderId="20" xfId="0" applyFill="1" applyBorder="1"/>
    <xf numFmtId="0" fontId="0" fillId="21" borderId="21" xfId="0" applyFill="1" applyBorder="1"/>
    <xf numFmtId="0" fontId="0" fillId="21" borderId="22" xfId="0" applyFill="1" applyBorder="1"/>
    <xf numFmtId="2" fontId="11" fillId="22" borderId="24" xfId="0" applyNumberFormat="1" applyFont="1" applyFill="1" applyBorder="1"/>
    <xf numFmtId="0" fontId="11" fillId="21" borderId="23" xfId="0" applyFont="1" applyFill="1" applyBorder="1" applyAlignment="1">
      <alignment horizontal="center" vertical="center"/>
    </xf>
    <xf numFmtId="0" fontId="2" fillId="0" borderId="0" xfId="0" applyFont="1"/>
    <xf numFmtId="0" fontId="2" fillId="15" borderId="1" xfId="0" applyFont="1" applyFill="1" applyBorder="1"/>
    <xf numFmtId="0" fontId="2" fillId="16" borderId="1" xfId="0" applyFont="1" applyFill="1" applyBorder="1"/>
    <xf numFmtId="0" fontId="2" fillId="23" borderId="1" xfId="0" applyFont="1" applyFill="1" applyBorder="1"/>
    <xf numFmtId="0" fontId="2" fillId="10" borderId="1" xfId="0" applyFont="1" applyFill="1" applyBorder="1"/>
    <xf numFmtId="0" fontId="2" fillId="3" borderId="0" xfId="0" applyFont="1" applyFill="1"/>
    <xf numFmtId="0" fontId="2" fillId="0" borderId="0" xfId="0" applyFont="1" applyAlignment="1">
      <alignment horizontal="centerContinuous"/>
    </xf>
    <xf numFmtId="0" fontId="2" fillId="13" borderId="0" xfId="0" applyFont="1" applyFill="1"/>
    <xf numFmtId="9" fontId="0" fillId="10" borderId="1" xfId="0" applyNumberFormat="1" applyFill="1" applyBorder="1"/>
    <xf numFmtId="9" fontId="0" fillId="9" borderId="1" xfId="2" applyFont="1" applyFill="1" applyBorder="1"/>
    <xf numFmtId="0" fontId="0" fillId="6" borderId="1" xfId="0" applyFill="1" applyBorder="1"/>
    <xf numFmtId="9" fontId="0" fillId="24" borderId="1" xfId="2" applyFont="1" applyFill="1" applyBorder="1"/>
    <xf numFmtId="0" fontId="0" fillId="15" borderId="26" xfId="0" applyFill="1" applyBorder="1"/>
    <xf numFmtId="0" fontId="0" fillId="15" borderId="27" xfId="0" applyFill="1" applyBorder="1"/>
    <xf numFmtId="0" fontId="0" fillId="15" borderId="28" xfId="0" applyFill="1" applyBorder="1"/>
    <xf numFmtId="0" fontId="0" fillId="0" borderId="18" xfId="0" applyBorder="1"/>
    <xf numFmtId="9" fontId="0" fillId="16" borderId="29" xfId="2" applyFont="1" applyFill="1" applyBorder="1"/>
    <xf numFmtId="0" fontId="0" fillId="10" borderId="18" xfId="0" applyFill="1" applyBorder="1"/>
    <xf numFmtId="0" fontId="0" fillId="17" borderId="0" xfId="0" applyFill="1"/>
    <xf numFmtId="0" fontId="0" fillId="17" borderId="18" xfId="0" applyFill="1" applyBorder="1"/>
    <xf numFmtId="0" fontId="0" fillId="17" borderId="19" xfId="0" applyFill="1" applyBorder="1"/>
    <xf numFmtId="0" fontId="0" fillId="17" borderId="22" xfId="0" applyFill="1" applyBorder="1"/>
    <xf numFmtId="0" fontId="0" fillId="17" borderId="20" xfId="0" applyFill="1" applyBorder="1"/>
    <xf numFmtId="0" fontId="0" fillId="17" borderId="21" xfId="0" applyFill="1" applyBorder="1"/>
    <xf numFmtId="9" fontId="0" fillId="17" borderId="0" xfId="2" applyFont="1" applyFill="1" applyBorder="1"/>
    <xf numFmtId="0" fontId="0" fillId="16" borderId="17" xfId="0" applyFill="1" applyBorder="1"/>
    <xf numFmtId="14" fontId="0" fillId="0" borderId="1" xfId="0" applyNumberFormat="1" applyBorder="1"/>
    <xf numFmtId="0" fontId="18" fillId="17" borderId="0" xfId="0" applyFont="1" applyFill="1"/>
    <xf numFmtId="0" fontId="2" fillId="9" borderId="1" xfId="0" applyFont="1" applyFill="1" applyBorder="1"/>
    <xf numFmtId="0" fontId="0" fillId="16" borderId="0" xfId="0" applyFill="1"/>
    <xf numFmtId="0" fontId="20" fillId="9" borderId="1" xfId="0" applyFont="1" applyFill="1" applyBorder="1" applyAlignment="1">
      <alignment vertical="center" wrapText="1"/>
    </xf>
    <xf numFmtId="0" fontId="21" fillId="9" borderId="1" xfId="0" applyFont="1" applyFill="1" applyBorder="1" applyAlignment="1">
      <alignment vertical="center" wrapText="1"/>
    </xf>
    <xf numFmtId="165" fontId="0" fillId="0" borderId="1" xfId="1" applyNumberFormat="1" applyFont="1" applyBorder="1"/>
    <xf numFmtId="17" fontId="22" fillId="18" borderId="0" xfId="0" applyNumberFormat="1" applyFont="1" applyFill="1"/>
    <xf numFmtId="0" fontId="0" fillId="18" borderId="0" xfId="0" applyFill="1"/>
    <xf numFmtId="0" fontId="3" fillId="8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0" fillId="0" borderId="35" xfId="0" applyBorder="1"/>
    <xf numFmtId="0" fontId="0" fillId="0" borderId="31" xfId="0" applyBorder="1"/>
    <xf numFmtId="0" fontId="2" fillId="0" borderId="1" xfId="0" applyFont="1" applyBorder="1" applyAlignment="1">
      <alignment horizontal="center" vertical="center"/>
    </xf>
    <xf numFmtId="0" fontId="3" fillId="14" borderId="0" xfId="0" applyFont="1" applyFill="1"/>
    <xf numFmtId="0" fontId="2" fillId="0" borderId="6" xfId="0" applyFont="1" applyBorder="1"/>
    <xf numFmtId="0" fontId="3" fillId="8" borderId="6" xfId="0" applyFont="1" applyFill="1" applyBorder="1" applyAlignment="1">
      <alignment vertical="center"/>
    </xf>
    <xf numFmtId="0" fontId="3" fillId="8" borderId="7" xfId="0" applyFont="1" applyFill="1" applyBorder="1" applyAlignment="1">
      <alignment vertical="center"/>
    </xf>
    <xf numFmtId="0" fontId="5" fillId="9" borderId="6" xfId="0" applyFont="1" applyFill="1" applyBorder="1" applyAlignment="1">
      <alignment vertical="center"/>
    </xf>
    <xf numFmtId="0" fontId="2" fillId="0" borderId="37" xfId="0" applyFont="1" applyBorder="1"/>
    <xf numFmtId="0" fontId="23" fillId="0" borderId="1" xfId="0" applyFont="1" applyBorder="1" applyAlignment="1">
      <alignment horizontal="center" vertical="center"/>
    </xf>
    <xf numFmtId="0" fontId="23" fillId="0" borderId="6" xfId="0" applyFont="1" applyBorder="1" applyAlignment="1">
      <alignment vertical="center"/>
    </xf>
    <xf numFmtId="165" fontId="2" fillId="25" borderId="1" xfId="1" applyNumberFormat="1" applyFont="1" applyFill="1" applyBorder="1"/>
    <xf numFmtId="165" fontId="2" fillId="0" borderId="1" xfId="1" applyNumberFormat="1" applyFont="1" applyBorder="1"/>
    <xf numFmtId="5" fontId="2" fillId="2" borderId="1" xfId="1" applyNumberFormat="1" applyFont="1" applyFill="1" applyBorder="1"/>
    <xf numFmtId="0" fontId="5" fillId="8" borderId="0" xfId="0" applyFont="1" applyFill="1" applyAlignment="1">
      <alignment horizontal="center" shrinkToFit="1"/>
    </xf>
    <xf numFmtId="0" fontId="3" fillId="2" borderId="0" xfId="0" applyFont="1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16" borderId="12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13" fillId="18" borderId="0" xfId="0" applyFont="1" applyFill="1" applyAlignment="1">
      <alignment horizontal="center"/>
    </xf>
    <xf numFmtId="0" fontId="7" fillId="9" borderId="0" xfId="0" applyFont="1" applyFill="1" applyAlignment="1">
      <alignment horizontal="center" wrapText="1"/>
    </xf>
    <xf numFmtId="0" fontId="0" fillId="20" borderId="1" xfId="0" applyFill="1" applyBorder="1" applyAlignment="1">
      <alignment horizontal="left" vertical="top" wrapText="1"/>
    </xf>
    <xf numFmtId="0" fontId="2" fillId="14" borderId="0" xfId="0" applyFont="1" applyFill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9" borderId="30" xfId="0" applyFont="1" applyFill="1" applyBorder="1" applyAlignment="1">
      <alignment horizontal="center" vertical="center"/>
    </xf>
    <xf numFmtId="0" fontId="5" fillId="9" borderId="36" xfId="0" applyFont="1" applyFill="1" applyBorder="1" applyAlignment="1">
      <alignment horizontal="center" vertical="center"/>
    </xf>
    <xf numFmtId="165" fontId="2" fillId="25" borderId="30" xfId="1" applyNumberFormat="1" applyFont="1" applyFill="1" applyBorder="1" applyAlignment="1">
      <alignment horizontal="center"/>
    </xf>
    <xf numFmtId="165" fontId="2" fillId="25" borderId="36" xfId="1" applyNumberFormat="1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0" borderId="7" xfId="1" applyNumberFormat="1" applyFont="1" applyBorder="1" applyAlignment="1">
      <alignment horizontal="center"/>
    </xf>
    <xf numFmtId="0" fontId="4" fillId="26" borderId="13" xfId="0" applyFont="1" applyFill="1" applyBorder="1" applyAlignment="1">
      <alignment horizontal="center"/>
    </xf>
    <xf numFmtId="0" fontId="4" fillId="26" borderId="4" xfId="0" applyFont="1" applyFill="1" applyBorder="1" applyAlignment="1">
      <alignment horizontal="center"/>
    </xf>
    <xf numFmtId="0" fontId="4" fillId="26" borderId="5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0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0"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74209"/>
      <color rgb="FFB1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C2E-4CB1-9669-37AFF65A96A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'Actual Work Progress'!$F$5</c:f>
              <c:numCache>
                <c:formatCode>0%</c:formatCode>
                <c:ptCount val="1"/>
                <c:pt idx="0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7B-4802-9618-B1B0F754248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spc="100" baseline="0">
                <a:solidFill>
                  <a:srgbClr val="FF0000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0000"/>
                </a:solidFill>
              </a:rPr>
              <a:t>Work Progress </a:t>
            </a:r>
            <a:r>
              <a:rPr lang="en-IN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: Data Series</a:t>
            </a:r>
            <a:endParaRPr lang="en-IN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rgbClr val="FF0000"/>
                </a:solidFill>
              </a:defRPr>
            </a:pPr>
            <a:endParaRPr lang="en-IN">
              <a:solidFill>
                <a:srgbClr val="FF0000"/>
              </a:solidFill>
            </a:endParaRPr>
          </a:p>
        </c:rich>
      </c:tx>
      <c:layout>
        <c:manualLayout>
          <c:xMode val="edge"/>
          <c:yMode val="edge"/>
          <c:x val="0.22810213940648724"/>
          <c:y val="1.33037740467461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spc="100" baseline="0">
              <a:solidFill>
                <a:srgbClr val="FF0000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8F7-467D-8903-653C9588618F}"/>
              </c:ext>
            </c:extLst>
          </c:dPt>
          <c:dPt>
            <c:idx val="1"/>
            <c:bubble3D val="0"/>
            <c:spPr>
              <a:solidFill>
                <a:srgbClr val="F74209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543-48D1-90D9-4C51DB5198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('Actual Work Progress'!$F$5,'Actual Work Progress'!$F$18)</c:f>
              <c:numCache>
                <c:formatCode>0%</c:formatCode>
                <c:ptCount val="2"/>
                <c:pt idx="0">
                  <c:v>0.68</c:v>
                </c:pt>
                <c:pt idx="1">
                  <c:v>0.31999999999999995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3-48D1-90D9-4C51DB51981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577851</xdr:colOff>
      <xdr:row>4</xdr:row>
      <xdr:rowOff>158751</xdr:rowOff>
    </xdr:from>
    <xdr:to>
      <xdr:col>3</xdr:col>
      <xdr:colOff>215900</xdr:colOff>
      <xdr:row>9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7051" y="895351"/>
          <a:ext cx="971549" cy="9588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4</xdr:row>
      <xdr:rowOff>6350</xdr:rowOff>
    </xdr:from>
    <xdr:to>
      <xdr:col>16</xdr:col>
      <xdr:colOff>101599</xdr:colOff>
      <xdr:row>19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377825</xdr:colOff>
      <xdr:row>4</xdr:row>
      <xdr:rowOff>0</xdr:rowOff>
    </xdr:from>
    <xdr:to>
      <xdr:col>16</xdr:col>
      <xdr:colOff>101600</xdr:colOff>
      <xdr:row>19</xdr:row>
      <xdr:rowOff>171449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3</xdr:row>
          <xdr:rowOff>175260</xdr:rowOff>
        </xdr:from>
        <xdr:to>
          <xdr:col>4</xdr:col>
          <xdr:colOff>0</xdr:colOff>
          <xdr:row>5</xdr:row>
          <xdr:rowOff>7620</xdr:rowOff>
        </xdr:to>
        <xdr:sp macro="" textlink="">
          <xdr:nvSpPr>
            <xdr:cNvPr id="9217" name="TextBox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8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8BE3B2-6290-4EBC-B0ED-53DD1D4F2C74}" name="Table2" displayName="Table2" ref="B11:I17" totalsRowShown="0" headerRowDxfId="9" dataDxfId="8" dataCellStyle="Comma">
  <autoFilter ref="B11:I17" xr:uid="{EE8BE3B2-6290-4EBC-B0ED-53DD1D4F2C74}"/>
  <tableColumns count="8">
    <tableColumn id="1" xr3:uid="{5A2E671F-669C-4B41-B719-BABCFE2E25F9}" name="Product Code"/>
    <tableColumn id="2" xr3:uid="{47DC6831-2E3C-4C6F-9BF9-E413B4718E6D}" name="Product"/>
    <tableColumn id="3" xr3:uid="{9F00EAF5-0D2C-4C33-A059-57D174A6A649}" name="Purchase Price" dataDxfId="7" dataCellStyle="Comma"/>
    <tableColumn id="4" xr3:uid="{AD8C8FAB-CDA7-4476-8672-F674368C1CC4}" name="Quantity Purchase"/>
    <tableColumn id="5" xr3:uid="{AC2A2983-6CE0-4BC4-B96A-1B615A9750DF}" name="Gross Price " dataDxfId="6" dataCellStyle="Comma">
      <calculatedColumnFormula>D12*E12</calculatedColumnFormula>
    </tableColumn>
    <tableColumn id="6" xr3:uid="{0E8B12A6-A2CA-42F2-AFA4-056D37D2A6D3}" name="Discount 2%" dataDxfId="5" dataCellStyle="Comma">
      <calculatedColumnFormula>(F12*2)/100</calculatedColumnFormula>
    </tableColumn>
    <tableColumn id="7" xr3:uid="{784DA5B4-3014-4B9E-98DF-44F0A6C13808}" name="Monthly Scheme"/>
    <tableColumn id="8" xr3:uid="{C5EF5A1A-8CCC-4A4D-A144-8FA59E3C4A7C}" name="Final Price" dataDxfId="4" dataCellStyle="Comma">
      <calculatedColumnFormula>F12-G12-H12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A8F7-85DD-4613-A852-8E002007C471}">
  <sheetPr codeName="Sheet2"/>
  <dimension ref="C7:X26"/>
  <sheetViews>
    <sheetView showGridLines="0" zoomScale="49" zoomScaleNormal="90" workbookViewId="0">
      <selection activeCell="O19" sqref="O19"/>
    </sheetView>
  </sheetViews>
  <sheetFormatPr defaultRowHeight="14.4" x14ac:dyDescent="0.3"/>
  <cols>
    <col min="3" max="3" width="23" customWidth="1"/>
    <col min="6" max="6" width="13.77734375" bestFit="1" customWidth="1"/>
    <col min="8" max="8" width="22.109375" customWidth="1"/>
    <col min="11" max="11" width="9.88671875" customWidth="1"/>
    <col min="18" max="18" width="19.77734375" customWidth="1"/>
    <col min="19" max="19" width="8.77734375" customWidth="1"/>
    <col min="20" max="20" width="10.88671875" bestFit="1" customWidth="1"/>
    <col min="22" max="22" width="15.21875" customWidth="1"/>
    <col min="23" max="23" width="9.88671875" bestFit="1" customWidth="1"/>
    <col min="24" max="24" width="10.88671875" bestFit="1" customWidth="1"/>
  </cols>
  <sheetData>
    <row r="7" spans="3:24" x14ac:dyDescent="0.3">
      <c r="Q7" s="33"/>
    </row>
    <row r="8" spans="3:24" ht="18.45" customHeight="1" x14ac:dyDescent="0.4">
      <c r="C8" s="164" t="s">
        <v>0</v>
      </c>
      <c r="D8" s="164"/>
      <c r="E8" s="164"/>
      <c r="F8" s="164"/>
      <c r="G8" s="164"/>
      <c r="H8" s="164"/>
      <c r="I8" s="164"/>
      <c r="J8" s="164"/>
      <c r="K8" s="164"/>
      <c r="T8" s="163" t="s">
        <v>20</v>
      </c>
      <c r="U8" s="163"/>
      <c r="V8" s="163"/>
    </row>
    <row r="9" spans="3:24" ht="15" thickBot="1" x14ac:dyDescent="0.35"/>
    <row r="10" spans="3:24" ht="18" x14ac:dyDescent="0.35">
      <c r="C10" s="165" t="s">
        <v>1</v>
      </c>
      <c r="D10" s="166"/>
      <c r="E10" s="9"/>
      <c r="F10" s="10" t="s">
        <v>2</v>
      </c>
      <c r="G10" s="9"/>
      <c r="H10" s="10" t="s">
        <v>1</v>
      </c>
      <c r="I10" s="9"/>
      <c r="J10" s="9"/>
      <c r="K10" s="11" t="s">
        <v>2</v>
      </c>
      <c r="R10" s="38" t="s">
        <v>21</v>
      </c>
      <c r="S10" s="39"/>
      <c r="T10" s="31" t="s">
        <v>2</v>
      </c>
      <c r="U10" s="29"/>
      <c r="V10" s="30" t="s">
        <v>22</v>
      </c>
      <c r="W10" s="29"/>
      <c r="X10" s="32" t="s">
        <v>2</v>
      </c>
    </row>
    <row r="11" spans="3:24" x14ac:dyDescent="0.3">
      <c r="C11" s="12"/>
      <c r="D11" s="2"/>
      <c r="E11" s="2"/>
      <c r="F11" s="7"/>
      <c r="G11" s="2"/>
      <c r="H11" s="2"/>
      <c r="I11" s="2"/>
      <c r="J11" s="2"/>
      <c r="K11" s="13"/>
      <c r="R11" s="40"/>
      <c r="S11" s="41"/>
      <c r="T11" s="22"/>
      <c r="U11" s="22"/>
      <c r="V11" s="22"/>
      <c r="W11" s="22"/>
      <c r="X11" s="23"/>
    </row>
    <row r="12" spans="3:24" ht="22.05" customHeight="1" x14ac:dyDescent="0.3">
      <c r="C12" s="14" t="s">
        <v>3</v>
      </c>
      <c r="D12" s="3"/>
      <c r="E12" s="3"/>
      <c r="F12" s="4">
        <v>6000</v>
      </c>
      <c r="G12" s="3"/>
      <c r="H12" s="5" t="s">
        <v>16</v>
      </c>
      <c r="I12" s="3"/>
      <c r="J12" s="3"/>
      <c r="K12" s="15">
        <v>16000</v>
      </c>
      <c r="N12" s="1"/>
      <c r="R12" s="24" t="s">
        <v>23</v>
      </c>
      <c r="S12" s="34">
        <v>9000</v>
      </c>
      <c r="T12" s="34"/>
      <c r="U12" s="22"/>
      <c r="V12" s="25" t="s">
        <v>27</v>
      </c>
      <c r="W12" s="34"/>
      <c r="X12" s="36">
        <v>500</v>
      </c>
    </row>
    <row r="13" spans="3:24" ht="23.55" customHeight="1" x14ac:dyDescent="0.3">
      <c r="C13" s="14" t="s">
        <v>4</v>
      </c>
      <c r="D13" s="3"/>
      <c r="E13" s="3"/>
      <c r="F13" s="4">
        <v>8000</v>
      </c>
      <c r="G13" s="3"/>
      <c r="H13" s="5" t="s">
        <v>17</v>
      </c>
      <c r="I13" s="3"/>
      <c r="J13" s="3"/>
      <c r="K13" s="15">
        <v>8000</v>
      </c>
      <c r="R13" s="24" t="s">
        <v>24</v>
      </c>
      <c r="S13" s="34">
        <v>6950</v>
      </c>
      <c r="T13" s="34">
        <f>S12+S13</f>
        <v>15950</v>
      </c>
      <c r="U13" s="22"/>
      <c r="V13" s="26" t="s">
        <v>28</v>
      </c>
      <c r="W13" s="34"/>
      <c r="X13" s="36">
        <v>2900</v>
      </c>
    </row>
    <row r="14" spans="3:24" ht="19.5" customHeight="1" x14ac:dyDescent="0.3">
      <c r="C14" s="14" t="s">
        <v>12</v>
      </c>
      <c r="D14" s="4">
        <v>1000</v>
      </c>
      <c r="E14" s="3"/>
      <c r="F14" s="4"/>
      <c r="G14" s="3"/>
      <c r="H14" s="5"/>
      <c r="I14" s="3"/>
      <c r="J14" s="3"/>
      <c r="K14" s="15"/>
      <c r="R14" s="24" t="s">
        <v>25</v>
      </c>
      <c r="S14" s="34"/>
      <c r="T14" s="34">
        <v>4500</v>
      </c>
      <c r="U14" s="22"/>
      <c r="V14" s="25" t="s">
        <v>29</v>
      </c>
      <c r="W14" s="34"/>
      <c r="X14" s="36">
        <v>4400</v>
      </c>
    </row>
    <row r="15" spans="3:24" ht="19.5" customHeight="1" x14ac:dyDescent="0.3">
      <c r="C15" s="14" t="s">
        <v>13</v>
      </c>
      <c r="D15" s="4">
        <v>50</v>
      </c>
      <c r="E15" s="3"/>
      <c r="F15" s="4">
        <f>D14+D15</f>
        <v>1050</v>
      </c>
      <c r="G15" s="3"/>
      <c r="H15" s="5"/>
      <c r="I15" s="3"/>
      <c r="J15" s="3"/>
      <c r="K15" s="15"/>
      <c r="R15" s="24" t="s">
        <v>26</v>
      </c>
      <c r="S15" s="34"/>
      <c r="T15" s="34">
        <v>50</v>
      </c>
      <c r="U15" s="22"/>
      <c r="V15" s="25" t="s">
        <v>30</v>
      </c>
      <c r="W15" s="34">
        <v>4000</v>
      </c>
      <c r="X15" s="36">
        <v>1000</v>
      </c>
    </row>
    <row r="16" spans="3:24" ht="22.5" customHeight="1" x14ac:dyDescent="0.3">
      <c r="C16" s="14" t="s">
        <v>5</v>
      </c>
      <c r="D16" s="3"/>
      <c r="E16" s="3"/>
      <c r="F16" s="4"/>
      <c r="G16" s="3"/>
      <c r="H16" s="5"/>
      <c r="I16" s="3"/>
      <c r="J16" s="3"/>
      <c r="K16" s="15"/>
      <c r="R16" s="24"/>
      <c r="S16" s="34"/>
      <c r="T16" s="34"/>
      <c r="U16" s="22"/>
      <c r="V16" s="25" t="s">
        <v>31</v>
      </c>
      <c r="W16" s="34">
        <v>400</v>
      </c>
      <c r="X16" s="36">
        <v>3600</v>
      </c>
    </row>
    <row r="17" spans="3:24" ht="18.45" customHeight="1" x14ac:dyDescent="0.3">
      <c r="C17" s="14" t="s">
        <v>6</v>
      </c>
      <c r="D17" s="3"/>
      <c r="E17" s="3"/>
      <c r="F17" s="4">
        <v>8950</v>
      </c>
      <c r="G17" s="3"/>
      <c r="H17" s="5"/>
      <c r="I17" s="3"/>
      <c r="J17" s="3"/>
      <c r="K17" s="15"/>
      <c r="R17" s="24"/>
      <c r="S17" s="34"/>
      <c r="T17" s="34"/>
      <c r="U17" s="22"/>
      <c r="V17" s="25" t="s">
        <v>32</v>
      </c>
      <c r="W17" s="34"/>
      <c r="X17" s="36">
        <v>100</v>
      </c>
    </row>
    <row r="18" spans="3:24" ht="19.95" customHeight="1" x14ac:dyDescent="0.3">
      <c r="C18" s="14"/>
      <c r="D18" s="3"/>
      <c r="E18" s="3"/>
      <c r="F18" s="8">
        <f>F12+F13+F15+F17</f>
        <v>24000</v>
      </c>
      <c r="G18" s="3"/>
      <c r="H18" s="5"/>
      <c r="I18" s="3"/>
      <c r="J18" s="3"/>
      <c r="K18" s="16">
        <v>24000</v>
      </c>
      <c r="R18" s="24"/>
      <c r="S18" s="34"/>
      <c r="T18" s="34"/>
      <c r="U18" s="22"/>
      <c r="V18" s="25" t="s">
        <v>33</v>
      </c>
      <c r="W18" s="34"/>
      <c r="X18" s="36">
        <v>8000</v>
      </c>
    </row>
    <row r="19" spans="3:24" ht="28.95" customHeight="1" thickBot="1" x14ac:dyDescent="0.35">
      <c r="C19" s="14" t="s">
        <v>14</v>
      </c>
      <c r="D19" s="4">
        <v>450</v>
      </c>
      <c r="E19" s="3"/>
      <c r="F19" s="4"/>
      <c r="G19" s="3"/>
      <c r="H19" s="6" t="s">
        <v>18</v>
      </c>
      <c r="I19" s="3"/>
      <c r="J19" s="3"/>
      <c r="K19" s="15">
        <v>8950</v>
      </c>
      <c r="R19" s="27"/>
      <c r="S19" s="35"/>
      <c r="T19" s="35">
        <f>T13+T14+T15</f>
        <v>20500</v>
      </c>
      <c r="U19" s="28"/>
      <c r="V19" s="28"/>
      <c r="W19" s="35"/>
      <c r="X19" s="37">
        <f>SUM(X12:X18)</f>
        <v>20500</v>
      </c>
    </row>
    <row r="20" spans="3:24" ht="23.55" customHeight="1" x14ac:dyDescent="0.3">
      <c r="C20" s="14" t="s">
        <v>15</v>
      </c>
      <c r="D20" s="4">
        <v>100</v>
      </c>
      <c r="E20" s="3"/>
      <c r="F20" s="4">
        <v>350</v>
      </c>
      <c r="G20" s="3"/>
      <c r="H20" s="5"/>
      <c r="I20" s="3"/>
      <c r="J20" s="3"/>
      <c r="K20" s="15"/>
    </row>
    <row r="21" spans="3:24" ht="26.55" customHeight="1" x14ac:dyDescent="0.3">
      <c r="C21" s="14" t="s">
        <v>7</v>
      </c>
      <c r="D21" s="3"/>
      <c r="E21" s="3"/>
      <c r="F21" s="4">
        <v>250</v>
      </c>
      <c r="G21" s="3"/>
      <c r="H21" s="5" t="s">
        <v>19</v>
      </c>
      <c r="I21" s="3"/>
      <c r="J21" s="3"/>
      <c r="K21" s="15">
        <v>300</v>
      </c>
    </row>
    <row r="22" spans="3:24" ht="27.45" customHeight="1" x14ac:dyDescent="0.3">
      <c r="C22" s="14" t="s">
        <v>8</v>
      </c>
      <c r="D22" s="3"/>
      <c r="E22" s="3"/>
      <c r="F22" s="4">
        <v>800</v>
      </c>
      <c r="G22" s="3"/>
      <c r="H22" s="5"/>
      <c r="I22" s="3"/>
      <c r="J22" s="3"/>
      <c r="K22" s="15"/>
    </row>
    <row r="23" spans="3:24" ht="27.45" customHeight="1" x14ac:dyDescent="0.3">
      <c r="C23" s="14" t="s">
        <v>9</v>
      </c>
      <c r="D23" s="3"/>
      <c r="E23" s="3"/>
      <c r="F23" s="4">
        <v>500</v>
      </c>
      <c r="G23" s="3"/>
      <c r="H23" s="5"/>
      <c r="I23" s="3"/>
      <c r="J23" s="3"/>
      <c r="K23" s="15"/>
    </row>
    <row r="24" spans="3:24" ht="28.8" x14ac:dyDescent="0.3">
      <c r="C24" s="17" t="s">
        <v>10</v>
      </c>
      <c r="D24" s="3"/>
      <c r="E24" s="3"/>
      <c r="F24" s="4">
        <v>400</v>
      </c>
      <c r="G24" s="3"/>
      <c r="H24" s="5"/>
      <c r="I24" s="3"/>
      <c r="J24" s="3"/>
      <c r="K24" s="15"/>
    </row>
    <row r="25" spans="3:24" ht="32.549999999999997" customHeight="1" x14ac:dyDescent="0.3">
      <c r="C25" s="17" t="s">
        <v>11</v>
      </c>
      <c r="D25" s="3"/>
      <c r="E25" s="3"/>
      <c r="F25" s="4">
        <v>6950</v>
      </c>
      <c r="G25" s="3"/>
      <c r="H25" s="5"/>
      <c r="I25" s="3"/>
      <c r="J25" s="3"/>
      <c r="K25" s="15"/>
    </row>
    <row r="26" spans="3:24" ht="22.5" customHeight="1" thickBot="1" x14ac:dyDescent="0.35">
      <c r="C26" s="18"/>
      <c r="D26" s="19"/>
      <c r="E26" s="19"/>
      <c r="F26" s="20">
        <f>F20+F21+F22+F23+F24+F25</f>
        <v>9250</v>
      </c>
      <c r="G26" s="19"/>
      <c r="H26" s="19"/>
      <c r="I26" s="19"/>
      <c r="J26" s="19"/>
      <c r="K26" s="21">
        <f>K19+K21</f>
        <v>9250</v>
      </c>
    </row>
  </sheetData>
  <mergeCells count="3">
    <mergeCell ref="T8:V8"/>
    <mergeCell ref="C8:K8"/>
    <mergeCell ref="C10:D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F5FE-74EE-4C75-98EA-240290493312}">
  <sheetPr codeName="Sheet3"/>
  <dimension ref="B6:I35"/>
  <sheetViews>
    <sheetView topLeftCell="A6" workbookViewId="0">
      <selection activeCell="H14" sqref="H14"/>
    </sheetView>
  </sheetViews>
  <sheetFormatPr defaultRowHeight="14.4" x14ac:dyDescent="0.3"/>
  <cols>
    <col min="5" max="5" width="32" customWidth="1"/>
    <col min="6" max="6" width="16.109375" customWidth="1"/>
    <col min="7" max="7" width="10.5546875" customWidth="1"/>
    <col min="9" max="9" width="9.21875" customWidth="1"/>
  </cols>
  <sheetData>
    <row r="6" spans="2:7" ht="18" x14ac:dyDescent="0.35">
      <c r="B6" s="51" t="s">
        <v>61</v>
      </c>
      <c r="C6" s="50"/>
    </row>
    <row r="10" spans="2:7" ht="15" thickBot="1" x14ac:dyDescent="0.35"/>
    <row r="11" spans="2:7" x14ac:dyDescent="0.3">
      <c r="D11" s="58" t="s">
        <v>62</v>
      </c>
      <c r="E11" s="59" t="s">
        <v>63</v>
      </c>
      <c r="F11" s="59" t="s">
        <v>64</v>
      </c>
      <c r="G11" s="60" t="s">
        <v>65</v>
      </c>
    </row>
    <row r="12" spans="2:7" x14ac:dyDescent="0.3">
      <c r="D12" s="61">
        <v>1</v>
      </c>
      <c r="E12" s="53" t="s">
        <v>98</v>
      </c>
      <c r="F12" s="53" t="s">
        <v>75</v>
      </c>
      <c r="G12" s="62" t="str">
        <f>IF(F12="RAM","Correct",IF(F12="","","Wrong"))</f>
        <v>Correct</v>
      </c>
    </row>
    <row r="13" spans="2:7" x14ac:dyDescent="0.3">
      <c r="D13" s="63">
        <v>2</v>
      </c>
      <c r="E13" s="52" t="s">
        <v>99</v>
      </c>
      <c r="F13" s="52" t="s">
        <v>78</v>
      </c>
      <c r="G13" s="64" t="str">
        <f>IF(F13="MB","Correct",IF(F13="","","Wrong"))</f>
        <v>Correct</v>
      </c>
    </row>
    <row r="14" spans="2:7" x14ac:dyDescent="0.3">
      <c r="D14" s="61">
        <v>3</v>
      </c>
      <c r="E14" s="53" t="s">
        <v>100</v>
      </c>
      <c r="F14" s="53"/>
      <c r="G14" s="62" t="str">
        <f>IF(F14="RAM","Correct",IF(F14="","","Wrong"))</f>
        <v/>
      </c>
    </row>
    <row r="15" spans="2:7" x14ac:dyDescent="0.3">
      <c r="D15" s="63">
        <v>4</v>
      </c>
      <c r="E15" s="52" t="s">
        <v>101</v>
      </c>
      <c r="F15" s="52"/>
      <c r="G15" s="65" t="str">
        <f>IF(F15="Digital","Correct",IF(F15="","","Wrong"))</f>
        <v/>
      </c>
    </row>
    <row r="16" spans="2:7" x14ac:dyDescent="0.3">
      <c r="D16" s="61">
        <v>5</v>
      </c>
      <c r="E16" s="53" t="s">
        <v>66</v>
      </c>
      <c r="F16" s="53"/>
      <c r="G16" s="62" t="str">
        <f>IF(F16="Main Board","Correct",IF(F16="","","Wrong"))</f>
        <v/>
      </c>
    </row>
    <row r="17" spans="3:9" x14ac:dyDescent="0.3">
      <c r="D17" s="63">
        <v>6</v>
      </c>
      <c r="E17" s="52" t="s">
        <v>102</v>
      </c>
      <c r="F17" s="52"/>
      <c r="G17" s="65" t="str">
        <f>IF(F17="Secondary","Correct",IF(F17="","","Wrong"))</f>
        <v/>
      </c>
      <c r="I17">
        <f>IF(F18="Clear Option","",F18)</f>
        <v>0</v>
      </c>
    </row>
    <row r="18" spans="3:9" ht="15" thickBot="1" x14ac:dyDescent="0.35">
      <c r="D18" s="66">
        <v>7</v>
      </c>
      <c r="E18" s="67" t="s">
        <v>103</v>
      </c>
      <c r="F18" s="67"/>
      <c r="G18" s="68" t="str">
        <f>IF(F18=8,"Correct",IF(F18="","","Wrong"))</f>
        <v/>
      </c>
    </row>
    <row r="19" spans="3:9" x14ac:dyDescent="0.3">
      <c r="D19" s="57"/>
      <c r="E19" s="167" t="str">
        <f>IF(G20&gt;=3,G34,G35)</f>
        <v>Try Again</v>
      </c>
      <c r="F19" s="69"/>
      <c r="G19" s="69"/>
    </row>
    <row r="20" spans="3:9" x14ac:dyDescent="0.3">
      <c r="D20" s="55"/>
      <c r="E20" s="167"/>
      <c r="F20" s="70" t="s">
        <v>104</v>
      </c>
      <c r="G20" s="70">
        <f>COUNTIF(G12:G18,"Correct")</f>
        <v>2</v>
      </c>
    </row>
    <row r="21" spans="3:9" x14ac:dyDescent="0.3">
      <c r="D21" s="55"/>
      <c r="E21" s="168"/>
      <c r="F21" s="71" t="s">
        <v>105</v>
      </c>
      <c r="G21" s="71">
        <f>COUNTIF(G12:G18,"Wrong")</f>
        <v>0</v>
      </c>
    </row>
    <row r="27" spans="3:9" x14ac:dyDescent="0.3">
      <c r="C27" s="46" t="s">
        <v>67</v>
      </c>
      <c r="D27" s="46" t="s">
        <v>68</v>
      </c>
      <c r="E27" s="46" t="s">
        <v>69</v>
      </c>
      <c r="F27" s="46" t="s">
        <v>70</v>
      </c>
      <c r="G27" s="46" t="s">
        <v>71</v>
      </c>
      <c r="H27" s="46" t="s">
        <v>72</v>
      </c>
      <c r="I27" s="46" t="s">
        <v>73</v>
      </c>
    </row>
    <row r="28" spans="3:9" x14ac:dyDescent="0.3">
      <c r="C28" s="46" t="s">
        <v>74</v>
      </c>
      <c r="D28" s="46" t="s">
        <v>78</v>
      </c>
      <c r="E28" s="46" t="s">
        <v>76</v>
      </c>
      <c r="F28" s="46" t="s">
        <v>83</v>
      </c>
      <c r="G28" s="46" t="s">
        <v>87</v>
      </c>
      <c r="H28" s="46" t="s">
        <v>94</v>
      </c>
      <c r="I28" s="46">
        <v>2</v>
      </c>
    </row>
    <row r="29" spans="3:9" x14ac:dyDescent="0.3">
      <c r="C29" s="46" t="s">
        <v>75</v>
      </c>
      <c r="D29" s="46" t="s">
        <v>79</v>
      </c>
      <c r="E29" s="46" t="s">
        <v>75</v>
      </c>
      <c r="F29" s="46" t="s">
        <v>84</v>
      </c>
      <c r="G29" s="46" t="s">
        <v>88</v>
      </c>
      <c r="H29" s="46" t="s">
        <v>93</v>
      </c>
      <c r="I29" s="46">
        <v>4</v>
      </c>
    </row>
    <row r="30" spans="3:9" x14ac:dyDescent="0.3">
      <c r="C30" s="46" t="s">
        <v>76</v>
      </c>
      <c r="D30" s="46" t="s">
        <v>80</v>
      </c>
      <c r="E30" s="46" t="s">
        <v>77</v>
      </c>
      <c r="F30" s="46" t="s">
        <v>85</v>
      </c>
      <c r="G30" s="46" t="s">
        <v>89</v>
      </c>
      <c r="H30" s="46" t="s">
        <v>92</v>
      </c>
      <c r="I30" s="46">
        <v>6</v>
      </c>
    </row>
    <row r="31" spans="3:9" x14ac:dyDescent="0.3">
      <c r="C31" s="46" t="s">
        <v>77</v>
      </c>
      <c r="D31" s="46" t="s">
        <v>81</v>
      </c>
      <c r="E31" s="46" t="s">
        <v>82</v>
      </c>
      <c r="F31" s="46" t="s">
        <v>86</v>
      </c>
      <c r="G31" s="46" t="s">
        <v>90</v>
      </c>
      <c r="H31" s="46" t="s">
        <v>91</v>
      </c>
      <c r="I31" s="46">
        <v>8</v>
      </c>
    </row>
    <row r="32" spans="3:9" x14ac:dyDescent="0.3">
      <c r="C32" s="46"/>
      <c r="D32" s="46"/>
      <c r="E32" s="46"/>
      <c r="F32" s="46"/>
      <c r="G32" s="46"/>
      <c r="H32" s="46"/>
      <c r="I32" s="46"/>
    </row>
    <row r="34" spans="6:9" x14ac:dyDescent="0.3">
      <c r="F34" s="46" t="s">
        <v>95</v>
      </c>
      <c r="G34" s="56" t="s">
        <v>106</v>
      </c>
      <c r="H34" s="46"/>
      <c r="I34" s="46"/>
    </row>
    <row r="35" spans="6:9" x14ac:dyDescent="0.3">
      <c r="F35" s="46" t="s">
        <v>96</v>
      </c>
      <c r="G35" s="54" t="s">
        <v>97</v>
      </c>
      <c r="H35" s="46"/>
      <c r="I35" s="46"/>
    </row>
  </sheetData>
  <mergeCells count="1">
    <mergeCell ref="E19:E21"/>
  </mergeCells>
  <phoneticPr fontId="10" type="noConversion"/>
  <dataValidations count="7">
    <dataValidation type="list" allowBlank="1" showInputMessage="1" showErrorMessage="1" sqref="F12" xr:uid="{727B5A4B-A4C7-47B3-8F13-14575510742B}">
      <formula1>$C$28:$C$32</formula1>
    </dataValidation>
    <dataValidation type="list" allowBlank="1" showInputMessage="1" showErrorMessage="1" sqref="F13" xr:uid="{F3AF04B6-2BC9-4188-A41D-952A6EB59FB4}">
      <formula1>$D$28:$D$31</formula1>
    </dataValidation>
    <dataValidation type="list" allowBlank="1" showInputMessage="1" showErrorMessage="1" sqref="F14" xr:uid="{8D441E71-FB0C-440E-8E03-EF1E065B8AE4}">
      <formula1>$E$28:$E$31</formula1>
    </dataValidation>
    <dataValidation type="list" allowBlank="1" showInputMessage="1" showErrorMessage="1" sqref="F15" xr:uid="{68BDB594-4F74-4A46-855C-8CE00E763D7E}">
      <formula1>$F$28:$F$31</formula1>
    </dataValidation>
    <dataValidation type="list" allowBlank="1" showInputMessage="1" showErrorMessage="1" sqref="F16" xr:uid="{5E7CA0A4-4D16-44D8-B7BD-3ACDBB4D2A8D}">
      <formula1>$G$28:$G$31</formula1>
    </dataValidation>
    <dataValidation type="list" allowBlank="1" showInputMessage="1" showErrorMessage="1" sqref="F17" xr:uid="{95AFD4F0-D663-4306-8683-A05404986E36}">
      <formula1>$H$28:$H$31</formula1>
    </dataValidation>
    <dataValidation type="list" allowBlank="1" showInputMessage="1" showErrorMessage="1" sqref="F18" xr:uid="{8F4B06B2-7641-4BE7-98FA-3C131458F29B}">
      <formula1>$I$28:$I$32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8590-EA97-48AF-BE38-E1CCC8960116}">
  <sheetPr codeName="Sheet4"/>
  <dimension ref="A5:I17"/>
  <sheetViews>
    <sheetView topLeftCell="A7" zoomScale="96" workbookViewId="0">
      <selection activeCell="D9" sqref="D9"/>
    </sheetView>
  </sheetViews>
  <sheetFormatPr defaultRowHeight="14.4" x14ac:dyDescent="0.3"/>
  <cols>
    <col min="1" max="1" width="8.77734375" customWidth="1"/>
    <col min="2" max="2" width="16.44140625" customWidth="1"/>
    <col min="3" max="3" width="20.33203125" customWidth="1"/>
    <col min="4" max="4" width="15" customWidth="1"/>
    <col min="5" max="5" width="18.21875" customWidth="1"/>
    <col min="6" max="6" width="14.77734375" customWidth="1"/>
    <col min="7" max="7" width="13.109375" customWidth="1"/>
    <col min="8" max="8" width="17.33203125" customWidth="1"/>
    <col min="9" max="9" width="13.21875" customWidth="1"/>
  </cols>
  <sheetData>
    <row r="5" spans="1:9" ht="18" x14ac:dyDescent="0.35">
      <c r="B5" s="72" t="s">
        <v>107</v>
      </c>
      <c r="C5" s="72"/>
      <c r="D5" s="72"/>
    </row>
    <row r="8" spans="1:9" ht="15.6" x14ac:dyDescent="0.3">
      <c r="A8" s="169" t="s">
        <v>287</v>
      </c>
      <c r="B8" s="169"/>
      <c r="C8" s="169"/>
    </row>
    <row r="11" spans="1:9" x14ac:dyDescent="0.3">
      <c r="B11" s="74" t="s">
        <v>108</v>
      </c>
      <c r="C11" s="75" t="s">
        <v>109</v>
      </c>
      <c r="D11" s="75" t="s">
        <v>110</v>
      </c>
      <c r="E11" s="76" t="s">
        <v>116</v>
      </c>
      <c r="F11" s="75" t="s">
        <v>111</v>
      </c>
      <c r="G11" s="76" t="s">
        <v>117</v>
      </c>
      <c r="H11" s="76" t="s">
        <v>112</v>
      </c>
      <c r="I11" s="75" t="s">
        <v>113</v>
      </c>
    </row>
    <row r="12" spans="1:9" x14ac:dyDescent="0.3">
      <c r="B12" t="s">
        <v>114</v>
      </c>
      <c r="C12" t="s">
        <v>115</v>
      </c>
      <c r="D12" s="73">
        <v>5000</v>
      </c>
      <c r="E12">
        <v>12</v>
      </c>
      <c r="F12" s="73">
        <f>D12*E12</f>
        <v>60000</v>
      </c>
      <c r="G12" s="73">
        <f>(F12*2)/100</f>
        <v>1200</v>
      </c>
      <c r="H12">
        <v>500</v>
      </c>
      <c r="I12" s="73">
        <f>F12-G12-H12</f>
        <v>58300</v>
      </c>
    </row>
    <row r="13" spans="1:9" x14ac:dyDescent="0.3">
      <c r="B13" t="s">
        <v>118</v>
      </c>
      <c r="C13" t="s">
        <v>119</v>
      </c>
      <c r="D13" s="73">
        <v>8000</v>
      </c>
      <c r="E13">
        <v>20</v>
      </c>
      <c r="F13" s="73">
        <f>D13*E13</f>
        <v>160000</v>
      </c>
      <c r="G13" s="73">
        <f t="shared" ref="G13:G17" si="0">(F13*2)/100</f>
        <v>3200</v>
      </c>
      <c r="H13">
        <v>500</v>
      </c>
      <c r="I13" s="73">
        <f t="shared" ref="I13:I17" si="1">F13-G13-H13</f>
        <v>156300</v>
      </c>
    </row>
    <row r="14" spans="1:9" x14ac:dyDescent="0.3">
      <c r="B14" t="s">
        <v>120</v>
      </c>
      <c r="C14" t="s">
        <v>121</v>
      </c>
      <c r="D14" s="73">
        <v>7000</v>
      </c>
      <c r="E14">
        <v>14</v>
      </c>
      <c r="F14" s="73">
        <f t="shared" ref="F14:F17" si="2">D14*E14</f>
        <v>98000</v>
      </c>
      <c r="G14" s="73">
        <f t="shared" si="0"/>
        <v>1960</v>
      </c>
      <c r="H14">
        <v>200</v>
      </c>
      <c r="I14" s="73">
        <f t="shared" si="1"/>
        <v>95840</v>
      </c>
    </row>
    <row r="15" spans="1:9" x14ac:dyDescent="0.3">
      <c r="B15" t="s">
        <v>122</v>
      </c>
      <c r="C15" t="s">
        <v>123</v>
      </c>
      <c r="D15" s="73">
        <v>4000</v>
      </c>
      <c r="E15">
        <v>33</v>
      </c>
      <c r="F15" s="73">
        <f t="shared" si="2"/>
        <v>132000</v>
      </c>
      <c r="G15" s="73">
        <f t="shared" si="0"/>
        <v>2640</v>
      </c>
      <c r="H15">
        <v>0</v>
      </c>
      <c r="I15" s="73">
        <f t="shared" si="1"/>
        <v>129360</v>
      </c>
    </row>
    <row r="16" spans="1:9" x14ac:dyDescent="0.3">
      <c r="B16" t="s">
        <v>124</v>
      </c>
      <c r="C16" t="s">
        <v>125</v>
      </c>
      <c r="D16" s="73">
        <v>8500</v>
      </c>
      <c r="E16">
        <v>5</v>
      </c>
      <c r="F16" s="73">
        <f t="shared" si="2"/>
        <v>42500</v>
      </c>
      <c r="G16" s="73">
        <f t="shared" si="0"/>
        <v>850</v>
      </c>
      <c r="H16">
        <v>800</v>
      </c>
      <c r="I16" s="73">
        <f t="shared" si="1"/>
        <v>40850</v>
      </c>
    </row>
    <row r="17" spans="2:9" x14ac:dyDescent="0.3">
      <c r="B17" t="s">
        <v>126</v>
      </c>
      <c r="C17" t="s">
        <v>127</v>
      </c>
      <c r="D17" s="73">
        <v>3000</v>
      </c>
      <c r="E17">
        <v>17</v>
      </c>
      <c r="F17" s="73">
        <f t="shared" si="2"/>
        <v>51000</v>
      </c>
      <c r="G17" s="73">
        <f t="shared" si="0"/>
        <v>1020</v>
      </c>
      <c r="H17">
        <v>180</v>
      </c>
      <c r="I17" s="73">
        <f t="shared" si="1"/>
        <v>49800</v>
      </c>
    </row>
  </sheetData>
  <mergeCells count="1">
    <mergeCell ref="A8:C8"/>
  </mergeCells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8B59-F903-4BDC-8E42-512A54EF34D5}">
  <sheetPr codeName="Sheet5"/>
  <dimension ref="C5:P13"/>
  <sheetViews>
    <sheetView showGridLines="0" workbookViewId="0">
      <selection activeCell="D15" sqref="D15"/>
    </sheetView>
  </sheetViews>
  <sheetFormatPr defaultRowHeight="14.4" x14ac:dyDescent="0.3"/>
  <cols>
    <col min="4" max="4" width="20.77734375" customWidth="1"/>
    <col min="5" max="5" width="11.77734375" customWidth="1"/>
  </cols>
  <sheetData>
    <row r="5" spans="3:16" ht="14.55" customHeight="1" x14ac:dyDescent="0.3">
      <c r="C5" s="170" t="s">
        <v>34</v>
      </c>
      <c r="D5" s="170"/>
      <c r="E5" s="170"/>
    </row>
    <row r="6" spans="3:16" ht="14.55" customHeight="1" x14ac:dyDescent="0.3">
      <c r="C6" s="170"/>
      <c r="D6" s="170"/>
      <c r="E6" s="170"/>
    </row>
    <row r="7" spans="3:16" x14ac:dyDescent="0.3">
      <c r="C7" s="42"/>
      <c r="D7" s="42"/>
      <c r="E7" s="42"/>
      <c r="N7" s="49" t="s">
        <v>47</v>
      </c>
      <c r="O7" s="49" t="s">
        <v>46</v>
      </c>
      <c r="P7" s="49" t="s">
        <v>45</v>
      </c>
    </row>
    <row r="8" spans="3:16" ht="25.95" customHeight="1" x14ac:dyDescent="0.3">
      <c r="C8" s="43" t="s">
        <v>35</v>
      </c>
      <c r="D8" s="43" t="s">
        <v>36</v>
      </c>
      <c r="E8" s="43" t="s">
        <v>37</v>
      </c>
      <c r="F8" s="44"/>
      <c r="G8" s="45" t="s">
        <v>38</v>
      </c>
      <c r="H8" s="45" t="s">
        <v>39</v>
      </c>
      <c r="I8" s="45" t="s">
        <v>40</v>
      </c>
      <c r="J8" s="45" t="s">
        <v>41</v>
      </c>
      <c r="K8" s="45" t="s">
        <v>42</v>
      </c>
      <c r="L8" s="45" t="s">
        <v>43</v>
      </c>
      <c r="M8" s="45" t="s">
        <v>44</v>
      </c>
      <c r="N8" s="48" t="s">
        <v>50</v>
      </c>
      <c r="O8" s="48" t="s">
        <v>49</v>
      </c>
      <c r="P8" s="48" t="s">
        <v>48</v>
      </c>
    </row>
    <row r="9" spans="3:16" x14ac:dyDescent="0.3">
      <c r="C9" s="46">
        <v>1</v>
      </c>
      <c r="D9" s="46" t="s">
        <v>51</v>
      </c>
      <c r="E9" s="46" t="s">
        <v>52</v>
      </c>
      <c r="F9" s="46"/>
      <c r="G9" s="46" t="s">
        <v>49</v>
      </c>
      <c r="H9" s="46" t="s">
        <v>50</v>
      </c>
      <c r="I9" s="46" t="s">
        <v>60</v>
      </c>
      <c r="J9" s="46" t="s">
        <v>60</v>
      </c>
      <c r="K9" s="46" t="s">
        <v>59</v>
      </c>
      <c r="L9" s="46" t="s">
        <v>59</v>
      </c>
      <c r="M9" s="46" t="s">
        <v>60</v>
      </c>
      <c r="N9" s="46">
        <f>COUNTIF(G9:M9,"p")</f>
        <v>4</v>
      </c>
      <c r="O9" s="46">
        <f>COUNTIF(G9:M9,"h")</f>
        <v>1</v>
      </c>
      <c r="P9" s="46">
        <f>COUNTIF(G9:M9,"a")</f>
        <v>2</v>
      </c>
    </row>
    <row r="10" spans="3:16" x14ac:dyDescent="0.3">
      <c r="C10" s="47">
        <v>2</v>
      </c>
      <c r="D10" s="47" t="s">
        <v>56</v>
      </c>
      <c r="E10" s="47" t="s">
        <v>52</v>
      </c>
      <c r="F10" s="47"/>
      <c r="G10" s="47"/>
      <c r="H10" s="47"/>
      <c r="I10" s="47"/>
      <c r="J10" s="47"/>
      <c r="K10" s="47"/>
      <c r="L10" s="47"/>
      <c r="M10" s="47"/>
      <c r="N10" s="47">
        <f t="shared" ref="N10:N13" si="0">COUNTIF(G10:M10,"p")</f>
        <v>0</v>
      </c>
      <c r="O10" s="47">
        <f t="shared" ref="O10:O13" si="1">COUNTIF(G10:M10,"h")</f>
        <v>0</v>
      </c>
      <c r="P10" s="47">
        <f t="shared" ref="P10:P13" si="2">COUNTIF(G10:M10,"a")</f>
        <v>0</v>
      </c>
    </row>
    <row r="11" spans="3:16" x14ac:dyDescent="0.3">
      <c r="C11" s="46">
        <v>3</v>
      </c>
      <c r="D11" s="46" t="s">
        <v>57</v>
      </c>
      <c r="E11" s="46" t="s">
        <v>53</v>
      </c>
      <c r="F11" s="46"/>
      <c r="G11" s="46"/>
      <c r="H11" s="46"/>
      <c r="I11" s="46"/>
      <c r="J11" s="46"/>
      <c r="K11" s="46"/>
      <c r="L11" s="46"/>
      <c r="M11" s="46"/>
      <c r="N11" s="46">
        <f t="shared" si="0"/>
        <v>0</v>
      </c>
      <c r="O11" s="46">
        <f t="shared" si="1"/>
        <v>0</v>
      </c>
      <c r="P11" s="46">
        <f t="shared" si="2"/>
        <v>0</v>
      </c>
    </row>
    <row r="12" spans="3:16" x14ac:dyDescent="0.3">
      <c r="C12" s="47">
        <v>4</v>
      </c>
      <c r="D12" s="47" t="s">
        <v>58</v>
      </c>
      <c r="E12" s="47" t="s">
        <v>54</v>
      </c>
      <c r="F12" s="47"/>
      <c r="G12" s="47"/>
      <c r="H12" s="47"/>
      <c r="I12" s="47"/>
      <c r="J12" s="47"/>
      <c r="K12" s="47"/>
      <c r="L12" s="47"/>
      <c r="M12" s="47"/>
      <c r="N12" s="47">
        <f t="shared" si="0"/>
        <v>0</v>
      </c>
      <c r="O12" s="47">
        <f t="shared" si="1"/>
        <v>0</v>
      </c>
      <c r="P12" s="47">
        <f t="shared" si="2"/>
        <v>0</v>
      </c>
    </row>
    <row r="13" spans="3:16" x14ac:dyDescent="0.3">
      <c r="C13" s="46">
        <v>5</v>
      </c>
      <c r="D13" s="46" t="s">
        <v>288</v>
      </c>
      <c r="E13" s="46" t="s">
        <v>55</v>
      </c>
      <c r="F13" s="46"/>
      <c r="G13" s="46"/>
      <c r="H13" s="46"/>
      <c r="I13" s="46"/>
      <c r="J13" s="46"/>
      <c r="K13" s="46"/>
      <c r="L13" s="46"/>
      <c r="M13" s="46"/>
      <c r="N13" s="46">
        <f t="shared" si="0"/>
        <v>0</v>
      </c>
      <c r="O13" s="46">
        <f t="shared" si="1"/>
        <v>0</v>
      </c>
      <c r="P13" s="46">
        <f t="shared" si="2"/>
        <v>0</v>
      </c>
    </row>
  </sheetData>
  <mergeCells count="1">
    <mergeCell ref="C5:E6"/>
  </mergeCells>
  <dataValidations count="2">
    <dataValidation type="list" allowBlank="1" showInputMessage="1" showErrorMessage="1" sqref="G14:M14" xr:uid="{E5229409-1CAD-419D-8267-F61224D9C379}">
      <formula1>$G$6</formula1>
    </dataValidation>
    <dataValidation type="list" allowBlank="1" showInputMessage="1" showErrorMessage="1" sqref="G9:M13" xr:uid="{84056E54-9B01-446D-AB1F-AD3E6063B62F}">
      <formula1>$N$8:$P$8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E045-E5E6-49DA-A005-79F752095B68}">
  <sheetPr codeName="Sheet6"/>
  <dimension ref="C5:S53"/>
  <sheetViews>
    <sheetView tabSelected="1" zoomScale="67" zoomScaleNormal="95" workbookViewId="0">
      <selection activeCell="E6" sqref="E6"/>
    </sheetView>
  </sheetViews>
  <sheetFormatPr defaultRowHeight="14.4" x14ac:dyDescent="0.3"/>
  <cols>
    <col min="3" max="3" width="19.109375" customWidth="1"/>
    <col min="4" max="4" width="16.21875" customWidth="1"/>
    <col min="5" max="5" width="19" customWidth="1"/>
    <col min="9" max="9" width="13.21875" customWidth="1"/>
    <col min="13" max="13" width="15.21875" bestFit="1" customWidth="1"/>
  </cols>
  <sheetData>
    <row r="5" spans="3:16" ht="14.55" customHeight="1" x14ac:dyDescent="0.3">
      <c r="C5" s="77"/>
      <c r="D5" s="77"/>
      <c r="E5" s="77"/>
      <c r="F5" s="77"/>
      <c r="G5" s="77"/>
      <c r="H5" s="77"/>
      <c r="I5" s="77"/>
    </row>
    <row r="6" spans="3:16" ht="14.55" customHeight="1" x14ac:dyDescent="0.3">
      <c r="C6" s="77"/>
      <c r="D6" s="77"/>
      <c r="E6" s="86" t="s">
        <v>289</v>
      </c>
      <c r="F6" s="77"/>
      <c r="G6" s="77"/>
      <c r="H6" s="77"/>
      <c r="I6" s="77"/>
    </row>
    <row r="7" spans="3:16" ht="14.55" customHeight="1" x14ac:dyDescent="0.3">
      <c r="C7" s="77"/>
      <c r="D7" s="77"/>
      <c r="E7" s="77"/>
      <c r="F7" s="77"/>
      <c r="G7" s="77"/>
      <c r="H7" s="77"/>
      <c r="I7" s="77"/>
    </row>
    <row r="8" spans="3:16" ht="14.55" customHeight="1" x14ac:dyDescent="0.3">
      <c r="C8" s="77"/>
      <c r="D8" s="77"/>
      <c r="E8" s="77"/>
      <c r="F8" s="77"/>
      <c r="G8" s="77"/>
      <c r="H8" s="77"/>
      <c r="I8" s="77"/>
    </row>
    <row r="9" spans="3:16" ht="22.8" x14ac:dyDescent="0.3">
      <c r="C9" s="77"/>
      <c r="D9" s="77"/>
      <c r="E9" s="78" t="s">
        <v>142</v>
      </c>
      <c r="F9" s="77"/>
      <c r="G9" s="77"/>
      <c r="H9" s="77"/>
      <c r="I9" s="77"/>
    </row>
    <row r="10" spans="3:16" ht="22.8" x14ac:dyDescent="0.3">
      <c r="C10" s="77"/>
      <c r="D10" s="77"/>
      <c r="E10" s="77"/>
      <c r="F10" s="77"/>
      <c r="G10" s="77"/>
      <c r="H10" s="77"/>
      <c r="I10" s="77"/>
      <c r="M10" t="s">
        <v>37</v>
      </c>
      <c r="N10" t="s">
        <v>129</v>
      </c>
      <c r="O10" t="s">
        <v>154</v>
      </c>
    </row>
    <row r="11" spans="3:16" x14ac:dyDescent="0.3">
      <c r="C11" s="46"/>
      <c r="D11" s="46"/>
      <c r="E11" s="46"/>
      <c r="F11" s="46"/>
      <c r="G11" s="46"/>
      <c r="H11" s="46"/>
      <c r="I11" s="46"/>
      <c r="M11" t="s">
        <v>55</v>
      </c>
      <c r="N11" t="s">
        <v>150</v>
      </c>
      <c r="O11" t="s">
        <v>155</v>
      </c>
      <c r="P11">
        <v>7500</v>
      </c>
    </row>
    <row r="12" spans="3:16" x14ac:dyDescent="0.3">
      <c r="C12" s="46"/>
      <c r="D12" s="52" t="s">
        <v>141</v>
      </c>
      <c r="E12" s="80" t="s">
        <v>162</v>
      </c>
      <c r="F12" s="46"/>
      <c r="G12" s="46"/>
      <c r="H12" s="46" t="s">
        <v>128</v>
      </c>
      <c r="I12" s="81">
        <f ca="1">NOW()</f>
        <v>45344.676595138888</v>
      </c>
      <c r="M12" t="s">
        <v>143</v>
      </c>
      <c r="N12" t="s">
        <v>151</v>
      </c>
      <c r="O12" t="s">
        <v>156</v>
      </c>
      <c r="P12">
        <v>4999</v>
      </c>
    </row>
    <row r="13" spans="3:16" x14ac:dyDescent="0.3">
      <c r="C13" s="46"/>
      <c r="D13" s="46"/>
      <c r="E13" s="46"/>
      <c r="F13" s="46"/>
      <c r="G13" s="46"/>
      <c r="H13" s="46"/>
      <c r="I13" s="46"/>
      <c r="M13" t="s">
        <v>144</v>
      </c>
      <c r="N13" t="s">
        <v>152</v>
      </c>
      <c r="O13" t="s">
        <v>157</v>
      </c>
      <c r="P13">
        <v>9999</v>
      </c>
    </row>
    <row r="14" spans="3:16" x14ac:dyDescent="0.3">
      <c r="C14" s="46"/>
      <c r="D14" s="46" t="s">
        <v>37</v>
      </c>
      <c r="E14" s="80" t="s">
        <v>143</v>
      </c>
      <c r="F14" s="46"/>
      <c r="G14" s="46"/>
      <c r="H14" s="46" t="s">
        <v>129</v>
      </c>
      <c r="I14" s="80" t="s">
        <v>151</v>
      </c>
      <c r="M14" t="s">
        <v>145</v>
      </c>
      <c r="N14" t="s">
        <v>153</v>
      </c>
      <c r="P14">
        <v>11100</v>
      </c>
    </row>
    <row r="15" spans="3:16" x14ac:dyDescent="0.3">
      <c r="C15" s="46"/>
      <c r="D15" s="46"/>
      <c r="E15" s="46"/>
      <c r="F15" s="46"/>
      <c r="G15" s="46"/>
      <c r="H15" s="46"/>
      <c r="I15" s="46"/>
      <c r="M15" t="s">
        <v>54</v>
      </c>
      <c r="P15">
        <v>7000</v>
      </c>
    </row>
    <row r="16" spans="3:16" x14ac:dyDescent="0.3">
      <c r="C16" s="46"/>
      <c r="D16" s="46" t="s">
        <v>130</v>
      </c>
      <c r="E16" s="82"/>
      <c r="F16" s="46"/>
      <c r="G16" s="46"/>
      <c r="H16" s="46"/>
      <c r="I16" s="46"/>
    </row>
    <row r="17" spans="3:19" x14ac:dyDescent="0.3">
      <c r="C17" s="46"/>
      <c r="D17" s="46"/>
      <c r="E17" s="171" t="s">
        <v>163</v>
      </c>
      <c r="F17" s="171"/>
      <c r="G17" s="171"/>
      <c r="H17" s="46"/>
      <c r="I17" s="46"/>
    </row>
    <row r="18" spans="3:19" x14ac:dyDescent="0.3">
      <c r="C18" s="46"/>
      <c r="D18" s="46" t="s">
        <v>131</v>
      </c>
      <c r="E18" s="171"/>
      <c r="F18" s="171"/>
      <c r="G18" s="171"/>
      <c r="H18" s="46"/>
      <c r="I18" s="46"/>
    </row>
    <row r="19" spans="3:19" x14ac:dyDescent="0.3">
      <c r="C19" s="46"/>
      <c r="D19" s="46"/>
      <c r="E19" s="171"/>
      <c r="F19" s="171"/>
      <c r="G19" s="171"/>
      <c r="H19" s="46"/>
      <c r="I19" s="46"/>
      <c r="N19" t="s">
        <v>158</v>
      </c>
    </row>
    <row r="20" spans="3:19" x14ac:dyDescent="0.3">
      <c r="C20" s="46"/>
      <c r="D20" s="46"/>
      <c r="E20" s="46"/>
      <c r="F20" s="46"/>
      <c r="G20" s="46"/>
      <c r="H20" s="46"/>
      <c r="I20" s="46"/>
    </row>
    <row r="21" spans="3:19" x14ac:dyDescent="0.3">
      <c r="C21" s="46"/>
      <c r="D21" s="46" t="s">
        <v>132</v>
      </c>
      <c r="E21" s="80" t="s">
        <v>164</v>
      </c>
      <c r="F21" s="46"/>
      <c r="G21" s="46"/>
      <c r="H21" s="46"/>
      <c r="I21" s="46"/>
      <c r="N21" t="s">
        <v>159</v>
      </c>
      <c r="Q21">
        <v>1</v>
      </c>
    </row>
    <row r="22" spans="3:19" x14ac:dyDescent="0.3">
      <c r="C22" s="46"/>
      <c r="D22" s="46" t="s">
        <v>133</v>
      </c>
      <c r="E22" s="80">
        <v>846001</v>
      </c>
      <c r="F22" s="46"/>
      <c r="G22" s="46"/>
      <c r="H22" s="46"/>
      <c r="I22" s="46"/>
      <c r="N22" t="s">
        <v>160</v>
      </c>
      <c r="Q22">
        <v>2</v>
      </c>
      <c r="S22">
        <v>1990</v>
      </c>
    </row>
    <row r="23" spans="3:19" x14ac:dyDescent="0.3">
      <c r="C23" s="46"/>
      <c r="D23" s="46"/>
      <c r="E23" s="46"/>
      <c r="F23" s="46"/>
      <c r="G23" s="46"/>
      <c r="H23" s="46"/>
      <c r="I23" s="46"/>
      <c r="N23" t="s">
        <v>161</v>
      </c>
      <c r="Q23">
        <v>3</v>
      </c>
      <c r="S23">
        <v>1991</v>
      </c>
    </row>
    <row r="24" spans="3:19" x14ac:dyDescent="0.3">
      <c r="C24" s="46"/>
      <c r="D24" s="46" t="s">
        <v>134</v>
      </c>
      <c r="E24" s="80">
        <v>89897876650</v>
      </c>
      <c r="F24" s="46"/>
      <c r="G24" s="46"/>
      <c r="H24" s="46"/>
      <c r="I24" s="46"/>
      <c r="Q24">
        <v>4</v>
      </c>
      <c r="S24">
        <v>1992</v>
      </c>
    </row>
    <row r="25" spans="3:19" x14ac:dyDescent="0.3">
      <c r="C25" s="46"/>
      <c r="D25" s="46"/>
      <c r="E25" s="46"/>
      <c r="F25" s="46"/>
      <c r="G25" s="46"/>
      <c r="H25" s="46"/>
      <c r="I25" s="46"/>
      <c r="M25" s="85">
        <f ca="1">NOW()+1</f>
        <v>45345.676595138888</v>
      </c>
      <c r="Q25">
        <v>5</v>
      </c>
      <c r="S25">
        <v>1993</v>
      </c>
    </row>
    <row r="26" spans="3:19" x14ac:dyDescent="0.3">
      <c r="C26" s="46"/>
      <c r="D26" s="46" t="s">
        <v>135</v>
      </c>
      <c r="E26" s="80" t="s">
        <v>155</v>
      </c>
      <c r="F26" s="46"/>
      <c r="G26" s="46"/>
      <c r="H26" s="46"/>
      <c r="I26" s="46"/>
      <c r="Q26">
        <v>6</v>
      </c>
      <c r="S26">
        <v>1994</v>
      </c>
    </row>
    <row r="27" spans="3:19" x14ac:dyDescent="0.3">
      <c r="C27" s="46"/>
      <c r="D27" s="46"/>
      <c r="E27" s="46"/>
      <c r="F27" s="46"/>
      <c r="G27" s="46"/>
      <c r="H27" s="46"/>
      <c r="I27" s="46"/>
      <c r="Q27">
        <v>7</v>
      </c>
      <c r="S27">
        <v>1995</v>
      </c>
    </row>
    <row r="28" spans="3:19" x14ac:dyDescent="0.3">
      <c r="C28" s="46"/>
      <c r="D28" s="46" t="s">
        <v>136</v>
      </c>
      <c r="E28" s="80">
        <v>30</v>
      </c>
      <c r="F28" s="80">
        <v>6</v>
      </c>
      <c r="G28" s="80">
        <v>2000</v>
      </c>
      <c r="H28" s="46"/>
      <c r="I28" s="46"/>
      <c r="Q28">
        <v>8</v>
      </c>
      <c r="S28">
        <v>1996</v>
      </c>
    </row>
    <row r="29" spans="3:19" x14ac:dyDescent="0.3">
      <c r="C29" s="46"/>
      <c r="D29" s="46"/>
      <c r="E29" s="46"/>
      <c r="F29" s="46"/>
      <c r="G29" s="46"/>
      <c r="H29" s="46"/>
      <c r="I29" s="46"/>
      <c r="Q29">
        <v>9</v>
      </c>
      <c r="S29">
        <v>1997</v>
      </c>
    </row>
    <row r="30" spans="3:19" x14ac:dyDescent="0.3">
      <c r="C30" s="46"/>
      <c r="D30" s="46" t="s">
        <v>137</v>
      </c>
      <c r="E30" s="80" t="s">
        <v>165</v>
      </c>
      <c r="F30" s="46"/>
      <c r="G30" s="46"/>
      <c r="H30" s="46"/>
      <c r="I30" s="46"/>
      <c r="M30" s="85"/>
      <c r="Q30">
        <v>10</v>
      </c>
      <c r="S30">
        <v>1998</v>
      </c>
    </row>
    <row r="31" spans="3:19" x14ac:dyDescent="0.3">
      <c r="C31" s="46"/>
      <c r="D31" s="46"/>
      <c r="E31" s="46"/>
      <c r="F31" s="46"/>
      <c r="G31" s="46"/>
      <c r="H31" s="46"/>
      <c r="I31" s="46"/>
      <c r="Q31">
        <v>11</v>
      </c>
      <c r="S31">
        <v>1999</v>
      </c>
    </row>
    <row r="32" spans="3:19" x14ac:dyDescent="0.3">
      <c r="C32" s="46"/>
      <c r="D32" s="46" t="s">
        <v>138</v>
      </c>
      <c r="E32" s="83" t="s">
        <v>166</v>
      </c>
      <c r="F32" s="84"/>
      <c r="G32" s="84"/>
      <c r="H32" s="46"/>
      <c r="I32" s="46"/>
      <c r="Q32">
        <v>12</v>
      </c>
      <c r="S32">
        <v>2000</v>
      </c>
    </row>
    <row r="33" spans="3:19" x14ac:dyDescent="0.3">
      <c r="C33" s="46"/>
      <c r="D33" s="46"/>
      <c r="E33" s="83"/>
      <c r="F33" s="84"/>
      <c r="G33" s="84"/>
      <c r="H33" s="46"/>
      <c r="I33" s="46"/>
      <c r="Q33">
        <v>13</v>
      </c>
      <c r="S33">
        <v>2001</v>
      </c>
    </row>
    <row r="34" spans="3:19" x14ac:dyDescent="0.3">
      <c r="C34" s="46"/>
      <c r="D34" s="46" t="s">
        <v>139</v>
      </c>
      <c r="E34" s="80" t="s">
        <v>167</v>
      </c>
      <c r="F34" s="46"/>
      <c r="G34" s="46"/>
      <c r="H34" s="46"/>
      <c r="I34" s="46"/>
      <c r="M34">
        <f>DATEVALUE(("7-8-21"))</f>
        <v>44415</v>
      </c>
      <c r="Q34">
        <v>14</v>
      </c>
      <c r="S34">
        <v>2002</v>
      </c>
    </row>
    <row r="35" spans="3:19" x14ac:dyDescent="0.3">
      <c r="C35" s="46"/>
      <c r="D35" s="46"/>
      <c r="E35" s="46"/>
      <c r="F35" s="46"/>
      <c r="G35" s="46"/>
      <c r="H35" s="46"/>
      <c r="I35" s="46"/>
      <c r="Q35">
        <v>15</v>
      </c>
      <c r="S35">
        <v>2003</v>
      </c>
    </row>
    <row r="36" spans="3:19" x14ac:dyDescent="0.3">
      <c r="C36" s="46"/>
      <c r="D36" s="46" t="s">
        <v>140</v>
      </c>
      <c r="E36" s="80" t="s">
        <v>161</v>
      </c>
      <c r="F36" s="46"/>
      <c r="G36" s="46"/>
      <c r="H36" s="46"/>
      <c r="I36" s="46"/>
      <c r="Q36">
        <v>16</v>
      </c>
      <c r="S36">
        <v>2004</v>
      </c>
    </row>
    <row r="37" spans="3:19" x14ac:dyDescent="0.3">
      <c r="C37" s="46"/>
      <c r="D37" s="46"/>
      <c r="E37" s="46"/>
      <c r="F37" s="46"/>
      <c r="G37" s="46"/>
      <c r="H37" s="46"/>
      <c r="I37" s="46"/>
      <c r="Q37">
        <v>17</v>
      </c>
      <c r="S37">
        <v>2005</v>
      </c>
    </row>
    <row r="38" spans="3:19" x14ac:dyDescent="0.3">
      <c r="C38" s="46"/>
      <c r="D38" s="46"/>
      <c r="E38" s="46"/>
      <c r="F38" s="46"/>
      <c r="G38" s="46"/>
      <c r="H38" s="46"/>
      <c r="I38" s="46"/>
      <c r="M38" s="79">
        <f>DATE(2021,2,5)</f>
        <v>44232</v>
      </c>
      <c r="Q38">
        <v>18</v>
      </c>
      <c r="S38">
        <v>2006</v>
      </c>
    </row>
    <row r="39" spans="3:19" x14ac:dyDescent="0.3">
      <c r="C39" s="46" t="s">
        <v>146</v>
      </c>
      <c r="D39" s="46"/>
      <c r="E39" s="46">
        <f>IF(E14=M11,P11,IF(E14=M12,P12,IF(E14=M13,P13,IF(E14=M14,P14,IF(E14=M15,P15,"")))))</f>
        <v>4999</v>
      </c>
      <c r="F39" s="46"/>
      <c r="G39" s="46"/>
      <c r="H39" s="46"/>
      <c r="I39" s="46"/>
      <c r="Q39">
        <v>19</v>
      </c>
      <c r="S39">
        <v>2007</v>
      </c>
    </row>
    <row r="40" spans="3:19" x14ac:dyDescent="0.3">
      <c r="C40" s="46" t="s">
        <v>148</v>
      </c>
      <c r="D40" s="46"/>
      <c r="E40" s="46">
        <v>100</v>
      </c>
      <c r="F40" s="46"/>
      <c r="G40" s="46"/>
      <c r="H40" s="46"/>
      <c r="I40" s="46"/>
      <c r="Q40">
        <v>20</v>
      </c>
      <c r="S40">
        <v>2008</v>
      </c>
    </row>
    <row r="41" spans="3:19" x14ac:dyDescent="0.3">
      <c r="C41" s="46" t="s">
        <v>149</v>
      </c>
      <c r="D41" s="46"/>
      <c r="E41" s="46">
        <f>IF(E39&lt;&gt;"",E39-E40,"")</f>
        <v>4899</v>
      </c>
      <c r="F41" s="46"/>
      <c r="G41" s="46"/>
      <c r="H41" s="46"/>
      <c r="I41" s="46"/>
      <c r="Q41">
        <v>21</v>
      </c>
      <c r="S41">
        <v>2009</v>
      </c>
    </row>
    <row r="42" spans="3:19" ht="15" thickBot="1" x14ac:dyDescent="0.35">
      <c r="C42" s="87" t="s">
        <v>147</v>
      </c>
      <c r="D42" s="87"/>
      <c r="E42" s="88">
        <f ca="1">IF(E39-E40&lt;&gt;0,NOW()+20,"")</f>
        <v>45364.676595138888</v>
      </c>
      <c r="F42" s="87"/>
      <c r="G42" s="87"/>
      <c r="H42" s="87"/>
      <c r="I42" s="87"/>
      <c r="Q42">
        <v>22</v>
      </c>
      <c r="S42">
        <v>2010</v>
      </c>
    </row>
    <row r="43" spans="3:19" ht="15" thickTop="1" x14ac:dyDescent="0.3">
      <c r="Q43">
        <v>23</v>
      </c>
      <c r="S43">
        <v>2011</v>
      </c>
    </row>
    <row r="44" spans="3:19" x14ac:dyDescent="0.3">
      <c r="Q44">
        <v>24</v>
      </c>
      <c r="S44">
        <v>2012</v>
      </c>
    </row>
    <row r="45" spans="3:19" x14ac:dyDescent="0.3">
      <c r="Q45">
        <v>25</v>
      </c>
      <c r="S45">
        <v>2013</v>
      </c>
    </row>
    <row r="46" spans="3:19" x14ac:dyDescent="0.3">
      <c r="Q46">
        <v>26</v>
      </c>
      <c r="S46">
        <v>2014</v>
      </c>
    </row>
    <row r="47" spans="3:19" x14ac:dyDescent="0.3">
      <c r="Q47">
        <v>27</v>
      </c>
      <c r="S47">
        <v>2015</v>
      </c>
    </row>
    <row r="48" spans="3:19" x14ac:dyDescent="0.3">
      <c r="Q48">
        <v>28</v>
      </c>
      <c r="S48">
        <v>2016</v>
      </c>
    </row>
    <row r="49" spans="17:19" x14ac:dyDescent="0.3">
      <c r="Q49">
        <v>29</v>
      </c>
      <c r="S49">
        <v>2017</v>
      </c>
    </row>
    <row r="50" spans="17:19" x14ac:dyDescent="0.3">
      <c r="Q50">
        <v>30</v>
      </c>
      <c r="S50">
        <v>2018</v>
      </c>
    </row>
    <row r="51" spans="17:19" x14ac:dyDescent="0.3">
      <c r="Q51">
        <v>31</v>
      </c>
      <c r="S51">
        <v>2019</v>
      </c>
    </row>
    <row r="52" spans="17:19" x14ac:dyDescent="0.3">
      <c r="S52">
        <v>2020</v>
      </c>
    </row>
    <row r="53" spans="17:19" x14ac:dyDescent="0.3">
      <c r="S53">
        <v>2021</v>
      </c>
    </row>
  </sheetData>
  <mergeCells count="1">
    <mergeCell ref="E17:G19"/>
  </mergeCells>
  <phoneticPr fontId="10" type="noConversion"/>
  <dataValidations count="8">
    <dataValidation type="list" allowBlank="1" showInputMessage="1" showErrorMessage="1" sqref="E14" xr:uid="{1645A208-4A1C-4EE0-9C7D-BB85E7B1BDED}">
      <formula1>$M$11:$M$15</formula1>
    </dataValidation>
    <dataValidation type="list" allowBlank="1" showInputMessage="1" showErrorMessage="1" sqref="I14" xr:uid="{0F9FFC1A-1F14-4DCC-A96D-86D29DDD89AD}">
      <formula1>$N$11:$N$14</formula1>
    </dataValidation>
    <dataValidation type="list" allowBlank="1" showInputMessage="1" showErrorMessage="1" sqref="E26" xr:uid="{004AB6B9-9340-44C0-AF81-69D063855E26}">
      <formula1>$O$11:$O$13</formula1>
    </dataValidation>
    <dataValidation type="list" allowBlank="1" showInputMessage="1" showErrorMessage="1" sqref="E36" xr:uid="{B7A8028B-D498-435B-8E0F-C3E37686BAA2}">
      <formula1>$N$19:$N$23</formula1>
    </dataValidation>
    <dataValidation type="list" allowBlank="1" showInputMessage="1" showErrorMessage="1" sqref="E28" xr:uid="{565A8BD2-B80C-47B1-8F0E-4B6195ACE6A8}">
      <formula1>$Q$21:$Q$51</formula1>
    </dataValidation>
    <dataValidation type="list" allowBlank="1" showInputMessage="1" showErrorMessage="1" sqref="F28" xr:uid="{DFD80F8F-56D8-43C8-B2EC-E66DB86BC8F4}">
      <formula1>$Q$21:$Q$32</formula1>
    </dataValidation>
    <dataValidation type="list" allowBlank="1" showInputMessage="1" showErrorMessage="1" sqref="G28" xr:uid="{A8191D3E-C99D-400D-A75D-488B8909CEF3}">
      <formula1>$S$22:$S$53</formula1>
    </dataValidation>
    <dataValidation type="whole" operator="lessThan" allowBlank="1" showInputMessage="1" showErrorMessage="1" sqref="E40" xr:uid="{F77F67C6-73A2-4E55-8218-87B1986B32BA}">
      <formula1>E39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19C4-A745-4FDB-91BB-13F57E1A7E07}">
  <sheetPr codeName="Sheet7"/>
  <dimension ref="B2:P18"/>
  <sheetViews>
    <sheetView workbookViewId="0">
      <selection activeCell="K17" sqref="K17"/>
    </sheetView>
  </sheetViews>
  <sheetFormatPr defaultRowHeight="14.4" x14ac:dyDescent="0.3"/>
  <cols>
    <col min="2" max="2" width="14.77734375" customWidth="1"/>
    <col min="4" max="4" width="12.21875" customWidth="1"/>
    <col min="5" max="5" width="10.5546875" customWidth="1"/>
    <col min="6" max="6" width="10.33203125" customWidth="1"/>
    <col min="7" max="7" width="11.88671875" customWidth="1"/>
    <col min="8" max="8" width="13.88671875" customWidth="1"/>
  </cols>
  <sheetData>
    <row r="2" spans="2:16" ht="15" thickBot="1" x14ac:dyDescent="0.35"/>
    <row r="3" spans="2:16" x14ac:dyDescent="0.3">
      <c r="B3" s="101"/>
      <c r="C3" s="102"/>
      <c r="D3" s="102"/>
      <c r="E3" s="102"/>
      <c r="F3" s="102"/>
      <c r="G3" s="102"/>
      <c r="H3" s="103"/>
    </row>
    <row r="4" spans="2:16" ht="18" x14ac:dyDescent="0.35">
      <c r="B4" s="94" t="s">
        <v>168</v>
      </c>
      <c r="C4" s="95"/>
      <c r="D4" s="95"/>
      <c r="E4" s="95"/>
      <c r="F4" s="95"/>
      <c r="G4" s="105"/>
      <c r="H4" s="106"/>
      <c r="P4" t="s">
        <v>173</v>
      </c>
    </row>
    <row r="5" spans="2:16" ht="15" thickBot="1" x14ac:dyDescent="0.35">
      <c r="B5" s="104"/>
      <c r="C5" s="105"/>
      <c r="D5" s="105"/>
      <c r="E5" s="105"/>
      <c r="F5" s="105"/>
      <c r="G5" s="105"/>
      <c r="H5" s="106"/>
      <c r="P5">
        <v>12</v>
      </c>
    </row>
    <row r="6" spans="2:16" x14ac:dyDescent="0.3">
      <c r="B6" s="96" t="s">
        <v>169</v>
      </c>
      <c r="C6" s="89"/>
      <c r="D6" s="89">
        <v>2000000</v>
      </c>
      <c r="E6" s="105"/>
      <c r="F6" s="105"/>
      <c r="G6" s="111" t="s">
        <v>174</v>
      </c>
      <c r="H6" s="106"/>
      <c r="P6">
        <v>24</v>
      </c>
    </row>
    <row r="7" spans="2:16" ht="15" thickBot="1" x14ac:dyDescent="0.35">
      <c r="B7" s="96" t="s">
        <v>170</v>
      </c>
      <c r="C7" s="89"/>
      <c r="D7" s="90">
        <v>0.1</v>
      </c>
      <c r="E7" s="105"/>
      <c r="F7" s="105"/>
      <c r="G7" s="110">
        <f>(($D$6*($D$8/12)*($D$7))+$D$6)/$D$8</f>
        <v>33333.333333333336</v>
      </c>
      <c r="H7" s="106"/>
      <c r="P7">
        <v>36</v>
      </c>
    </row>
    <row r="8" spans="2:16" x14ac:dyDescent="0.3">
      <c r="B8" s="96" t="s">
        <v>171</v>
      </c>
      <c r="C8" s="89"/>
      <c r="D8" s="89">
        <v>120</v>
      </c>
      <c r="E8" s="105"/>
      <c r="F8" s="105"/>
      <c r="G8" s="105"/>
      <c r="H8" s="106"/>
      <c r="P8">
        <v>48</v>
      </c>
    </row>
    <row r="9" spans="2:16" x14ac:dyDescent="0.3">
      <c r="B9" s="104"/>
      <c r="C9" s="105"/>
      <c r="D9" s="105"/>
      <c r="E9" s="105"/>
      <c r="F9" s="105"/>
      <c r="G9" s="105"/>
      <c r="H9" s="106"/>
      <c r="P9">
        <v>60</v>
      </c>
    </row>
    <row r="10" spans="2:16" x14ac:dyDescent="0.3">
      <c r="B10" s="104"/>
      <c r="C10" s="105"/>
      <c r="D10" s="105"/>
      <c r="E10" s="105"/>
      <c r="F10" s="105"/>
      <c r="G10" s="105"/>
      <c r="H10" s="106"/>
      <c r="P10">
        <v>96</v>
      </c>
    </row>
    <row r="11" spans="2:16" x14ac:dyDescent="0.3">
      <c r="B11" s="97" t="s">
        <v>172</v>
      </c>
      <c r="C11" s="92"/>
      <c r="D11" s="93">
        <v>0.09</v>
      </c>
      <c r="E11" s="93">
        <v>0.1</v>
      </c>
      <c r="F11" s="93">
        <v>0.12</v>
      </c>
      <c r="G11" s="93">
        <v>0.15</v>
      </c>
      <c r="H11" s="98">
        <v>0.18</v>
      </c>
      <c r="P11">
        <v>120</v>
      </c>
    </row>
    <row r="12" spans="2:16" x14ac:dyDescent="0.3">
      <c r="B12" s="99">
        <v>25000</v>
      </c>
      <c r="C12" s="92"/>
      <c r="D12" s="91">
        <f>(($B12*($D$8/12)*(D$11))+$B12)/$D$8</f>
        <v>395.83333333333331</v>
      </c>
      <c r="E12" s="91">
        <f t="shared" ref="E12:H16" si="0">(($B12*($D$8/12)*(E$11))+$B12)/$D$8</f>
        <v>416.66666666666669</v>
      </c>
      <c r="F12" s="91">
        <f t="shared" si="0"/>
        <v>458.33333333333331</v>
      </c>
      <c r="G12" s="91">
        <f t="shared" si="0"/>
        <v>520.83333333333337</v>
      </c>
      <c r="H12" s="100">
        <f t="shared" si="0"/>
        <v>583.33333333333337</v>
      </c>
    </row>
    <row r="13" spans="2:16" x14ac:dyDescent="0.3">
      <c r="B13" s="99">
        <v>40000</v>
      </c>
      <c r="C13" s="92"/>
      <c r="D13" s="91">
        <f t="shared" ref="D13:D16" si="1">(($B13*($D$8/12)*(D$11))+$B13)/$D$8</f>
        <v>633.33333333333337</v>
      </c>
      <c r="E13" s="91">
        <f t="shared" si="0"/>
        <v>666.66666666666663</v>
      </c>
      <c r="F13" s="91">
        <f t="shared" si="0"/>
        <v>733.33333333333337</v>
      </c>
      <c r="G13" s="91">
        <f t="shared" si="0"/>
        <v>833.33333333333337</v>
      </c>
      <c r="H13" s="100">
        <f t="shared" si="0"/>
        <v>933.33333333333337</v>
      </c>
    </row>
    <row r="14" spans="2:16" x14ac:dyDescent="0.3">
      <c r="B14" s="99">
        <v>50000</v>
      </c>
      <c r="C14" s="92"/>
      <c r="D14" s="91">
        <f t="shared" si="1"/>
        <v>791.66666666666663</v>
      </c>
      <c r="E14" s="91">
        <f t="shared" si="0"/>
        <v>833.33333333333337</v>
      </c>
      <c r="F14" s="91">
        <f t="shared" si="0"/>
        <v>916.66666666666663</v>
      </c>
      <c r="G14" s="91">
        <f t="shared" si="0"/>
        <v>1041.6666666666667</v>
      </c>
      <c r="H14" s="100">
        <f t="shared" si="0"/>
        <v>1166.6666666666667</v>
      </c>
    </row>
    <row r="15" spans="2:16" x14ac:dyDescent="0.3">
      <c r="B15" s="99">
        <v>80000</v>
      </c>
      <c r="C15" s="92"/>
      <c r="D15" s="91">
        <f t="shared" si="1"/>
        <v>1266.6666666666667</v>
      </c>
      <c r="E15" s="91">
        <f t="shared" si="0"/>
        <v>1333.3333333333333</v>
      </c>
      <c r="F15" s="91">
        <f t="shared" si="0"/>
        <v>1466.6666666666667</v>
      </c>
      <c r="G15" s="91">
        <f t="shared" si="0"/>
        <v>1666.6666666666667</v>
      </c>
      <c r="H15" s="100">
        <f t="shared" si="0"/>
        <v>1866.6666666666667</v>
      </c>
    </row>
    <row r="16" spans="2:16" x14ac:dyDescent="0.3">
      <c r="B16" s="99">
        <v>100000</v>
      </c>
      <c r="C16" s="92"/>
      <c r="D16" s="91">
        <f t="shared" si="1"/>
        <v>1583.3333333333333</v>
      </c>
      <c r="E16" s="91">
        <f t="shared" si="0"/>
        <v>1666.6666666666667</v>
      </c>
      <c r="F16" s="91">
        <f t="shared" si="0"/>
        <v>1833.3333333333333</v>
      </c>
      <c r="G16" s="91">
        <f t="shared" si="0"/>
        <v>2083.3333333333335</v>
      </c>
      <c r="H16" s="100">
        <f t="shared" si="0"/>
        <v>2333.3333333333335</v>
      </c>
    </row>
    <row r="17" spans="2:8" x14ac:dyDescent="0.3">
      <c r="B17" s="104"/>
      <c r="C17" s="105"/>
      <c r="D17" s="105"/>
      <c r="E17" s="105"/>
      <c r="F17" s="105"/>
      <c r="G17" s="105"/>
      <c r="H17" s="106"/>
    </row>
    <row r="18" spans="2:8" ht="15" thickBot="1" x14ac:dyDescent="0.35">
      <c r="B18" s="107"/>
      <c r="C18" s="108"/>
      <c r="D18" s="108"/>
      <c r="E18" s="108"/>
      <c r="F18" s="108"/>
      <c r="G18" s="108"/>
      <c r="H18" s="109"/>
    </row>
  </sheetData>
  <dataValidations count="2">
    <dataValidation type="list" allowBlank="1" showInputMessage="1" showErrorMessage="1" sqref="D8" xr:uid="{2CAF8349-F965-468E-8147-279AAC8DDBA4}">
      <formula1>$P$5:$P$11</formula1>
    </dataValidation>
    <dataValidation type="list" allowBlank="1" showInputMessage="1" showErrorMessage="1" sqref="D7" xr:uid="{70A66F77-F7AC-4D47-AB76-BEBDD6568BDA}">
      <formula1>$D$11:$H$11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EB88-6408-4CFD-9E21-9BF59F60EBE8}">
  <sheetPr codeName="Sheet8"/>
  <dimension ref="B6:U27"/>
  <sheetViews>
    <sheetView topLeftCell="A11" zoomScale="87" workbookViewId="0">
      <selection activeCell="J21" sqref="J21"/>
    </sheetView>
  </sheetViews>
  <sheetFormatPr defaultColWidth="8.77734375" defaultRowHeight="14.4" x14ac:dyDescent="0.3"/>
  <cols>
    <col min="1" max="1" width="8.77734375" style="112"/>
    <col min="2" max="2" width="13.77734375" style="112" customWidth="1"/>
    <col min="3" max="6" width="10.6640625" style="112" customWidth="1"/>
    <col min="7" max="11" width="8.77734375" style="112"/>
    <col min="12" max="12" width="18" style="112" customWidth="1"/>
    <col min="13" max="13" width="14" style="112" customWidth="1"/>
    <col min="14" max="16384" width="8.77734375" style="112"/>
  </cols>
  <sheetData>
    <row r="6" spans="2:15" x14ac:dyDescent="0.3">
      <c r="C6" s="172" t="s">
        <v>175</v>
      </c>
      <c r="D6" s="172"/>
      <c r="E6" s="172"/>
    </row>
    <row r="8" spans="2:15" x14ac:dyDescent="0.3">
      <c r="C8" s="173" t="s">
        <v>176</v>
      </c>
      <c r="D8" s="173"/>
      <c r="E8" s="173"/>
    </row>
    <row r="9" spans="2:15" x14ac:dyDescent="0.3">
      <c r="B9" s="113" t="s">
        <v>109</v>
      </c>
      <c r="C9" s="114" t="s">
        <v>177</v>
      </c>
      <c r="D9" s="114" t="s">
        <v>178</v>
      </c>
      <c r="E9" s="114" t="s">
        <v>179</v>
      </c>
      <c r="F9" s="114" t="s">
        <v>180</v>
      </c>
    </row>
    <row r="10" spans="2:15" x14ac:dyDescent="0.3">
      <c r="B10" s="115" t="s">
        <v>181</v>
      </c>
      <c r="C10" s="116">
        <v>95</v>
      </c>
      <c r="D10" s="116">
        <v>19</v>
      </c>
      <c r="E10" s="116">
        <v>71</v>
      </c>
      <c r="F10" s="116">
        <v>87</v>
      </c>
      <c r="K10" s="112" t="s">
        <v>109</v>
      </c>
      <c r="M10" s="112" t="s">
        <v>132</v>
      </c>
      <c r="O10" s="112" t="s">
        <v>186</v>
      </c>
    </row>
    <row r="11" spans="2:15" x14ac:dyDescent="0.3">
      <c r="B11" s="115" t="s">
        <v>182</v>
      </c>
      <c r="C11" s="116">
        <v>75</v>
      </c>
      <c r="D11" s="116">
        <v>23</v>
      </c>
      <c r="E11" s="116">
        <v>18</v>
      </c>
      <c r="F11" s="116">
        <v>30</v>
      </c>
      <c r="K11" s="112" t="s">
        <v>181</v>
      </c>
      <c r="M11" s="112" t="s">
        <v>175</v>
      </c>
      <c r="O11" s="112" t="s">
        <v>177</v>
      </c>
    </row>
    <row r="12" spans="2:15" x14ac:dyDescent="0.3">
      <c r="B12" s="115" t="s">
        <v>183</v>
      </c>
      <c r="C12" s="116">
        <v>27</v>
      </c>
      <c r="D12" s="116">
        <v>25</v>
      </c>
      <c r="E12" s="116">
        <v>51</v>
      </c>
      <c r="F12" s="116">
        <v>27</v>
      </c>
      <c r="K12" s="112" t="s">
        <v>182</v>
      </c>
      <c r="M12" s="112" t="s">
        <v>185</v>
      </c>
      <c r="O12" s="112" t="s">
        <v>178</v>
      </c>
    </row>
    <row r="13" spans="2:15" x14ac:dyDescent="0.3">
      <c r="B13" s="115" t="s">
        <v>184</v>
      </c>
      <c r="C13" s="116">
        <v>27</v>
      </c>
      <c r="D13" s="116">
        <v>79</v>
      </c>
      <c r="E13" s="116">
        <v>22</v>
      </c>
      <c r="F13" s="116">
        <v>96</v>
      </c>
      <c r="K13" s="112" t="s">
        <v>183</v>
      </c>
      <c r="O13" s="112" t="s">
        <v>179</v>
      </c>
    </row>
    <row r="14" spans="2:15" x14ac:dyDescent="0.3">
      <c r="K14" s="112" t="s">
        <v>184</v>
      </c>
      <c r="O14" s="112" t="s">
        <v>180</v>
      </c>
    </row>
    <row r="16" spans="2:15" x14ac:dyDescent="0.3">
      <c r="C16" s="172" t="s">
        <v>185</v>
      </c>
      <c r="D16" s="172"/>
      <c r="E16" s="172"/>
    </row>
    <row r="18" spans="2:21" x14ac:dyDescent="0.3">
      <c r="C18" s="117"/>
      <c r="D18" s="117" t="s">
        <v>176</v>
      </c>
      <c r="E18" s="117"/>
    </row>
    <row r="19" spans="2:21" x14ac:dyDescent="0.3">
      <c r="B19" s="113" t="s">
        <v>109</v>
      </c>
      <c r="C19" s="114" t="s">
        <v>177</v>
      </c>
      <c r="D19" s="114" t="s">
        <v>178</v>
      </c>
      <c r="E19" s="114" t="s">
        <v>179</v>
      </c>
      <c r="F19" s="114" t="s">
        <v>180</v>
      </c>
      <c r="K19" s="118" t="s">
        <v>187</v>
      </c>
      <c r="L19" s="118"/>
      <c r="M19" s="118"/>
      <c r="N19" s="118"/>
      <c r="O19" s="118"/>
      <c r="P19" s="118"/>
      <c r="Q19" s="118"/>
      <c r="R19" s="118"/>
      <c r="S19" s="118"/>
      <c r="T19" s="118"/>
      <c r="U19" s="118"/>
    </row>
    <row r="20" spans="2:21" x14ac:dyDescent="0.3">
      <c r="B20" s="115" t="s">
        <v>181</v>
      </c>
      <c r="C20" s="116">
        <v>45</v>
      </c>
      <c r="D20" s="116">
        <v>64</v>
      </c>
      <c r="E20" s="116">
        <v>70</v>
      </c>
      <c r="F20" s="116">
        <v>42</v>
      </c>
    </row>
    <row r="21" spans="2:21" x14ac:dyDescent="0.3">
      <c r="B21" s="115" t="s">
        <v>182</v>
      </c>
      <c r="C21" s="116">
        <v>53</v>
      </c>
      <c r="D21" s="116">
        <v>21</v>
      </c>
      <c r="E21" s="116">
        <v>48</v>
      </c>
      <c r="F21" s="116">
        <v>32</v>
      </c>
      <c r="L21" s="112" t="s">
        <v>109</v>
      </c>
      <c r="M21" s="117" t="s">
        <v>183</v>
      </c>
    </row>
    <row r="22" spans="2:21" x14ac:dyDescent="0.3">
      <c r="B22" s="115" t="s">
        <v>183</v>
      </c>
      <c r="C22" s="116">
        <v>61</v>
      </c>
      <c r="D22" s="116">
        <v>47</v>
      </c>
      <c r="E22" s="116">
        <v>58</v>
      </c>
      <c r="F22" s="116">
        <v>62</v>
      </c>
    </row>
    <row r="23" spans="2:21" x14ac:dyDescent="0.3">
      <c r="B23" s="115" t="s">
        <v>184</v>
      </c>
      <c r="C23" s="116">
        <v>58</v>
      </c>
      <c r="D23" s="116">
        <v>21</v>
      </c>
      <c r="E23" s="116">
        <v>65</v>
      </c>
      <c r="F23" s="116">
        <v>36</v>
      </c>
      <c r="L23" s="112" t="s">
        <v>132</v>
      </c>
      <c r="M23" s="117" t="s">
        <v>175</v>
      </c>
    </row>
    <row r="25" spans="2:21" x14ac:dyDescent="0.3">
      <c r="L25" s="112" t="s">
        <v>188</v>
      </c>
      <c r="M25" s="117" t="s">
        <v>179</v>
      </c>
    </row>
    <row r="27" spans="2:21" x14ac:dyDescent="0.3">
      <c r="L27" s="112" t="s">
        <v>189</v>
      </c>
      <c r="M27" s="119">
        <f>INDEX(IF(M23="Mumbai",C10:F13,IF(M23="Pune",C20:F23,"")),MATCH(M21,B10:B13,0),MATCH(M25,C19:F19,0))</f>
        <v>51</v>
      </c>
    </row>
  </sheetData>
  <mergeCells count="3">
    <mergeCell ref="C16:E16"/>
    <mergeCell ref="C6:E6"/>
    <mergeCell ref="C8:E8"/>
  </mergeCells>
  <phoneticPr fontId="10" type="noConversion"/>
  <dataValidations count="3">
    <dataValidation type="list" allowBlank="1" showInputMessage="1" showErrorMessage="1" sqref="M21" xr:uid="{7FCC3739-B8AD-4814-8507-2968B97864B5}">
      <formula1>$K$11:$K$14</formula1>
    </dataValidation>
    <dataValidation type="list" allowBlank="1" showInputMessage="1" showErrorMessage="1" sqref="M23" xr:uid="{054EBE48-9E58-4C4F-8460-D400B463BC85}">
      <formula1>$M$11:$M$12</formula1>
    </dataValidation>
    <dataValidation type="list" allowBlank="1" showInputMessage="1" showErrorMessage="1" sqref="M25" xr:uid="{9B708CE0-A9A4-44AD-8386-41386E36218E}">
      <formula1>$O$11:$O$14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930F-0A53-4165-8C99-4F13A43E558A}">
  <sheetPr codeName="Sheet9"/>
  <dimension ref="C4:G20"/>
  <sheetViews>
    <sheetView showGridLines="0" zoomScaleNormal="100" workbookViewId="0">
      <selection activeCell="H6" sqref="H6"/>
    </sheetView>
  </sheetViews>
  <sheetFormatPr defaultRowHeight="14.4" x14ac:dyDescent="0.3"/>
  <cols>
    <col min="5" max="5" width="14.5546875" customWidth="1"/>
    <col min="6" max="6" width="13.21875" customWidth="1"/>
  </cols>
  <sheetData>
    <row r="4" spans="3:7" ht="15" thickBot="1" x14ac:dyDescent="0.35"/>
    <row r="5" spans="3:7" ht="15" thickBot="1" x14ac:dyDescent="0.35">
      <c r="C5" s="124" t="s">
        <v>190</v>
      </c>
      <c r="D5" s="125"/>
      <c r="E5" s="126"/>
      <c r="F5" s="128">
        <v>0.68</v>
      </c>
      <c r="G5" s="137"/>
    </row>
    <row r="6" spans="3:7" x14ac:dyDescent="0.3">
      <c r="C6" s="131"/>
      <c r="D6" s="130"/>
      <c r="E6" s="130"/>
      <c r="F6" s="130"/>
      <c r="G6" s="132"/>
    </row>
    <row r="7" spans="3:7" x14ac:dyDescent="0.3">
      <c r="C7" s="131"/>
      <c r="D7" s="130"/>
      <c r="E7" s="130"/>
      <c r="F7" s="130"/>
      <c r="G7" s="132"/>
    </row>
    <row r="8" spans="3:7" x14ac:dyDescent="0.3">
      <c r="C8" s="131"/>
      <c r="D8" s="130"/>
      <c r="E8" s="130"/>
      <c r="F8" s="130"/>
      <c r="G8" s="132"/>
    </row>
    <row r="9" spans="3:7" x14ac:dyDescent="0.3">
      <c r="C9" s="131"/>
      <c r="D9" s="130"/>
      <c r="E9" s="130"/>
      <c r="F9" s="130"/>
      <c r="G9" s="132"/>
    </row>
    <row r="10" spans="3:7" x14ac:dyDescent="0.3">
      <c r="C10" s="131"/>
      <c r="D10" s="130"/>
      <c r="E10" s="122" t="s">
        <v>191</v>
      </c>
      <c r="F10" s="122" t="s">
        <v>192</v>
      </c>
      <c r="G10" s="132"/>
    </row>
    <row r="11" spans="3:7" x14ac:dyDescent="0.3">
      <c r="C11" s="131"/>
      <c r="D11" s="130"/>
      <c r="E11" s="46"/>
      <c r="F11" s="46"/>
      <c r="G11" s="132"/>
    </row>
    <row r="12" spans="3:7" x14ac:dyDescent="0.3">
      <c r="C12" s="129" t="s">
        <v>194</v>
      </c>
      <c r="D12" s="130"/>
      <c r="E12" s="120">
        <v>0.6</v>
      </c>
      <c r="F12" s="121" t="str">
        <f>IF(F5&lt;=60%,F5,"")</f>
        <v/>
      </c>
      <c r="G12" s="132"/>
    </row>
    <row r="13" spans="3:7" x14ac:dyDescent="0.3">
      <c r="C13" s="127"/>
      <c r="D13" s="130"/>
      <c r="E13" s="46"/>
      <c r="F13" s="46"/>
      <c r="G13" s="132"/>
    </row>
    <row r="14" spans="3:7" x14ac:dyDescent="0.3">
      <c r="C14" s="129" t="s">
        <v>195</v>
      </c>
      <c r="D14" s="130"/>
      <c r="E14" s="120">
        <v>0.85</v>
      </c>
      <c r="F14" s="121">
        <f>IF(AND(F5&gt;60%,F5&lt;=85%),F5,"")</f>
        <v>0.68</v>
      </c>
      <c r="G14" s="132"/>
    </row>
    <row r="15" spans="3:7" x14ac:dyDescent="0.3">
      <c r="C15" s="127"/>
      <c r="D15" s="130"/>
      <c r="E15" s="46"/>
      <c r="F15" s="46"/>
      <c r="G15" s="132"/>
    </row>
    <row r="16" spans="3:7" x14ac:dyDescent="0.3">
      <c r="C16" s="129" t="s">
        <v>196</v>
      </c>
      <c r="D16" s="130"/>
      <c r="E16" s="120">
        <v>1</v>
      </c>
      <c r="F16" s="121" t="str">
        <f>IF(AND(F5&gt;85%,F5&lt;=100%),F5,"")</f>
        <v/>
      </c>
      <c r="G16" s="132"/>
    </row>
    <row r="17" spans="3:7" x14ac:dyDescent="0.3">
      <c r="C17" s="131"/>
      <c r="D17" s="130"/>
      <c r="E17" s="46"/>
      <c r="F17" s="46"/>
      <c r="G17" s="132"/>
    </row>
    <row r="18" spans="3:7" x14ac:dyDescent="0.3">
      <c r="C18" s="131"/>
      <c r="D18" s="130"/>
      <c r="E18" s="89" t="s">
        <v>193</v>
      </c>
      <c r="F18" s="123">
        <f>IF(F12&lt;&gt;"",(100%-F12),IF(F14&lt;&gt;"",100%-F14,IF(F16&lt;&gt;"",100%-F16,"")))</f>
        <v>0.31999999999999995</v>
      </c>
      <c r="G18" s="132"/>
    </row>
    <row r="19" spans="3:7" x14ac:dyDescent="0.3">
      <c r="C19" s="131"/>
      <c r="D19" s="130"/>
      <c r="E19" s="130"/>
      <c r="F19" s="136"/>
      <c r="G19" s="132"/>
    </row>
    <row r="20" spans="3:7" ht="15" thickBot="1" x14ac:dyDescent="0.35">
      <c r="C20" s="134"/>
      <c r="D20" s="135"/>
      <c r="E20" s="135"/>
      <c r="F20" s="135"/>
      <c r="G20" s="133"/>
    </row>
  </sheetData>
  <phoneticPr fontId="10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365B-62B1-4658-ACFE-AB54BB479201}">
  <sheetPr codeName="Sheet1"/>
  <dimension ref="B5:J18"/>
  <sheetViews>
    <sheetView workbookViewId="0">
      <selection activeCell="J10" sqref="J10"/>
    </sheetView>
  </sheetViews>
  <sheetFormatPr defaultRowHeight="14.4" x14ac:dyDescent="0.3"/>
  <cols>
    <col min="2" max="2" width="12.33203125" customWidth="1"/>
    <col min="3" max="3" width="16.77734375" customWidth="1"/>
    <col min="4" max="4" width="23" customWidth="1"/>
    <col min="5" max="6" width="15.21875" customWidth="1"/>
    <col min="7" max="7" width="18.21875" customWidth="1"/>
  </cols>
  <sheetData>
    <row r="5" spans="2:10" ht="21" x14ac:dyDescent="0.4">
      <c r="C5" s="139" t="s">
        <v>229</v>
      </c>
      <c r="D5" t="s">
        <v>230</v>
      </c>
    </row>
    <row r="8" spans="2:10" x14ac:dyDescent="0.3">
      <c r="B8" s="140" t="s">
        <v>231</v>
      </c>
      <c r="C8" s="140" t="s">
        <v>197</v>
      </c>
      <c r="D8" s="140" t="s">
        <v>198</v>
      </c>
      <c r="E8" s="140" t="s">
        <v>199</v>
      </c>
      <c r="F8" s="140" t="s">
        <v>37</v>
      </c>
      <c r="G8" s="140" t="s">
        <v>131</v>
      </c>
    </row>
    <row r="9" spans="2:10" x14ac:dyDescent="0.3">
      <c r="B9" s="46" t="s">
        <v>200</v>
      </c>
      <c r="C9" s="138">
        <v>43965</v>
      </c>
      <c r="D9" s="46" t="s">
        <v>203</v>
      </c>
      <c r="E9" s="46">
        <v>9820161751</v>
      </c>
      <c r="F9" s="46" t="s">
        <v>204</v>
      </c>
      <c r="G9" s="46" t="s">
        <v>205</v>
      </c>
      <c r="H9" t="b">
        <f>AND($D$5&lt;&gt;"",OR(ISNUMBER(SEARCH($D$5,$D9)),ISNUMBER(SEARCH($D$5,$C9)),ISNUMBER(SEARCH($D$5,$E9)),ISNUMBER(SEARCH($D$5,$F9)),ISNUMBER(SEARCH($D$5,$G9))))</f>
        <v>0</v>
      </c>
      <c r="I9" t="b">
        <f t="shared" ref="I9:J18" si="0">AND($D$5&lt;&gt;"",OR(ISNUMBER(SEARCH($D$5,$D9)),ISNUMBER(SEARCH($D$5,$C9)),ISNUMBER(SEARCH($D$5,$E9)),ISNUMBER(SEARCH($D$5,$F9)),ISNUMBER(SEARCH($D$5,$G9))))</f>
        <v>0</v>
      </c>
      <c r="J9" t="b">
        <f t="shared" si="0"/>
        <v>0</v>
      </c>
    </row>
    <row r="10" spans="2:10" x14ac:dyDescent="0.3">
      <c r="B10" s="46" t="s">
        <v>201</v>
      </c>
      <c r="C10" s="138">
        <v>43965</v>
      </c>
      <c r="D10" s="46" t="s">
        <v>206</v>
      </c>
      <c r="E10" s="46">
        <v>9820161851</v>
      </c>
      <c r="F10" s="46" t="s">
        <v>204</v>
      </c>
      <c r="G10" s="46" t="s">
        <v>205</v>
      </c>
      <c r="H10" t="b">
        <f t="shared" ref="H10:H18" si="1">AND($D$5&lt;&gt;"",OR(ISNUMBER(SEARCH($D$5,$D10)),ISNUMBER(SEARCH($D$5,$C10)),ISNUMBER(SEARCH($D$5,$E10)),ISNUMBER(SEARCH($D$5,$F10)),ISNUMBER(SEARCH($D$5,$G10))))</f>
        <v>0</v>
      </c>
      <c r="I10" t="b">
        <f t="shared" si="0"/>
        <v>0</v>
      </c>
      <c r="J10" t="b">
        <f t="shared" si="0"/>
        <v>0</v>
      </c>
    </row>
    <row r="11" spans="2:10" x14ac:dyDescent="0.3">
      <c r="B11" s="46" t="s">
        <v>202</v>
      </c>
      <c r="C11" s="138">
        <v>43966</v>
      </c>
      <c r="D11" s="46" t="s">
        <v>207</v>
      </c>
      <c r="E11" s="46">
        <v>7309123389</v>
      </c>
      <c r="F11" s="46" t="s">
        <v>208</v>
      </c>
      <c r="G11" s="46" t="s">
        <v>209</v>
      </c>
      <c r="H11" t="b">
        <f t="shared" si="1"/>
        <v>0</v>
      </c>
      <c r="I11" t="b">
        <f t="shared" si="0"/>
        <v>0</v>
      </c>
      <c r="J11" t="b">
        <f t="shared" si="0"/>
        <v>0</v>
      </c>
    </row>
    <row r="12" spans="2:10" x14ac:dyDescent="0.3">
      <c r="B12" s="46" t="s">
        <v>210</v>
      </c>
      <c r="C12" s="138">
        <v>43966</v>
      </c>
      <c r="D12" s="46" t="s">
        <v>211</v>
      </c>
      <c r="E12" s="46">
        <v>8108219092</v>
      </c>
      <c r="F12" s="46" t="s">
        <v>204</v>
      </c>
      <c r="G12" s="46" t="s">
        <v>212</v>
      </c>
      <c r="H12" t="b">
        <f t="shared" si="1"/>
        <v>0</v>
      </c>
      <c r="I12" t="b">
        <f t="shared" si="0"/>
        <v>0</v>
      </c>
      <c r="J12" t="b">
        <f t="shared" si="0"/>
        <v>0</v>
      </c>
    </row>
    <row r="13" spans="2:10" x14ac:dyDescent="0.3">
      <c r="B13" s="46" t="s">
        <v>213</v>
      </c>
      <c r="C13" s="138">
        <v>43966</v>
      </c>
      <c r="D13" s="46" t="s">
        <v>51</v>
      </c>
      <c r="E13" s="46">
        <v>8108219092</v>
      </c>
      <c r="F13" s="46" t="s">
        <v>224</v>
      </c>
      <c r="G13" s="46" t="s">
        <v>225</v>
      </c>
      <c r="H13" t="b">
        <f t="shared" si="1"/>
        <v>0</v>
      </c>
      <c r="I13" t="b">
        <f t="shared" si="0"/>
        <v>0</v>
      </c>
      <c r="J13" t="b">
        <f t="shared" si="0"/>
        <v>0</v>
      </c>
    </row>
    <row r="14" spans="2:10" x14ac:dyDescent="0.3">
      <c r="B14" s="46" t="s">
        <v>214</v>
      </c>
      <c r="C14" s="138">
        <v>43968</v>
      </c>
      <c r="D14" s="46" t="s">
        <v>219</v>
      </c>
      <c r="E14" s="46">
        <v>8108219092</v>
      </c>
      <c r="F14" s="46" t="s">
        <v>224</v>
      </c>
      <c r="G14" s="46" t="s">
        <v>226</v>
      </c>
      <c r="H14" t="b">
        <f t="shared" si="1"/>
        <v>0</v>
      </c>
      <c r="I14" t="b">
        <f t="shared" si="0"/>
        <v>0</v>
      </c>
      <c r="J14" t="b">
        <f t="shared" si="0"/>
        <v>0</v>
      </c>
    </row>
    <row r="15" spans="2:10" x14ac:dyDescent="0.3">
      <c r="B15" s="46" t="s">
        <v>215</v>
      </c>
      <c r="C15" s="138">
        <v>43969</v>
      </c>
      <c r="D15" s="46" t="s">
        <v>220</v>
      </c>
      <c r="E15" s="46">
        <v>8108219092</v>
      </c>
      <c r="F15" s="46" t="s">
        <v>208</v>
      </c>
      <c r="G15" s="46" t="s">
        <v>227</v>
      </c>
      <c r="H15" t="b">
        <f t="shared" si="1"/>
        <v>0</v>
      </c>
      <c r="I15" t="b">
        <f t="shared" si="0"/>
        <v>0</v>
      </c>
      <c r="J15" t="b">
        <f t="shared" si="0"/>
        <v>0</v>
      </c>
    </row>
    <row r="16" spans="2:10" x14ac:dyDescent="0.3">
      <c r="B16" s="46" t="s">
        <v>216</v>
      </c>
      <c r="C16" s="138">
        <v>43971</v>
      </c>
      <c r="D16" s="46" t="s">
        <v>221</v>
      </c>
      <c r="E16" s="46">
        <v>8108219092</v>
      </c>
      <c r="F16" s="46" t="s">
        <v>204</v>
      </c>
      <c r="G16" s="46" t="s">
        <v>228</v>
      </c>
      <c r="H16" t="b">
        <f t="shared" si="1"/>
        <v>0</v>
      </c>
      <c r="I16" t="b">
        <f t="shared" si="0"/>
        <v>0</v>
      </c>
      <c r="J16" t="b">
        <f t="shared" si="0"/>
        <v>0</v>
      </c>
    </row>
    <row r="17" spans="2:10" x14ac:dyDescent="0.3">
      <c r="B17" s="46" t="s">
        <v>217</v>
      </c>
      <c r="C17" s="138">
        <v>43971</v>
      </c>
      <c r="D17" s="46" t="s">
        <v>222</v>
      </c>
      <c r="E17" s="46">
        <v>8108219092</v>
      </c>
      <c r="F17" s="46" t="s">
        <v>224</v>
      </c>
      <c r="G17" s="46" t="s">
        <v>209</v>
      </c>
      <c r="H17" t="b">
        <f t="shared" si="1"/>
        <v>0</v>
      </c>
      <c r="I17" t="b">
        <f t="shared" si="0"/>
        <v>0</v>
      </c>
      <c r="J17" t="b">
        <f t="shared" si="0"/>
        <v>0</v>
      </c>
    </row>
    <row r="18" spans="2:10" x14ac:dyDescent="0.3">
      <c r="B18" s="46" t="s">
        <v>218</v>
      </c>
      <c r="C18" s="138">
        <v>43971</v>
      </c>
      <c r="D18" s="46" t="s">
        <v>223</v>
      </c>
      <c r="E18" s="46">
        <v>8108219092</v>
      </c>
      <c r="F18" s="46" t="s">
        <v>208</v>
      </c>
      <c r="G18" s="46" t="s">
        <v>226</v>
      </c>
      <c r="H18" t="b">
        <f t="shared" si="1"/>
        <v>0</v>
      </c>
      <c r="I18" t="b">
        <f t="shared" si="0"/>
        <v>0</v>
      </c>
      <c r="J18" t="b">
        <f t="shared" si="0"/>
        <v>0</v>
      </c>
    </row>
  </sheetData>
  <phoneticPr fontId="10" type="noConversion"/>
  <conditionalFormatting sqref="B9:G18">
    <cfRule type="expression" dxfId="3" priority="2">
      <formula>AND($D$5&lt;&gt;"",OR(ISNUMBER(SEARCH($D$5,$D9)),ISNUMBER(SEARCH($D$5,$C9)),ISNUMBER(SEARCH($D$5,$E9)),ISNUMBER(SEARCH($D$5,$F9)),ISNUMBER(SEARCH($D$5,$G9))))</formula>
    </cfRule>
  </conditionalFormatting>
  <conditionalFormatting sqref="H6">
    <cfRule type="expression" dxfId="2" priority="1">
      <formula>AND($D$5&lt;&gt;"",OR(ISNUMBER(SEARCH($D$5,$D9)),ISNUMBER(SEARCH($D$5,$C9)),ISNUMBER(SEARCH($D$5,$E9)),ISNUMBER(SEARCH($D$5,$F9)),ISNUMBER(SEARCH($D$5,$G9))))</formula>
    </cfRule>
  </conditionalFormatting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9217" r:id="rId4" name="TextBox1">
          <controlPr defaultSize="0" autoLine="0" autoPict="0" linkedCell="D5" r:id="rId5">
            <anchor moveWithCells="1">
              <from>
                <xdr:col>3</xdr:col>
                <xdr:colOff>7620</xdr:colOff>
                <xdr:row>3</xdr:row>
                <xdr:rowOff>175260</xdr:rowOff>
              </from>
              <to>
                <xdr:col>4</xdr:col>
                <xdr:colOff>0</xdr:colOff>
                <xdr:row>5</xdr:row>
                <xdr:rowOff>7620</xdr:rowOff>
              </to>
            </anchor>
          </controlPr>
        </control>
      </mc:Choice>
      <mc:Fallback>
        <control shapeId="9217" r:id="rId4" name="TextBox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5EE5B-A77C-4C18-BAB8-982FD618AF2B}">
  <sheetPr codeName="Sheet10"/>
  <dimension ref="E4:H9"/>
  <sheetViews>
    <sheetView workbookViewId="0">
      <selection activeCell="F9" sqref="F9"/>
    </sheetView>
  </sheetViews>
  <sheetFormatPr defaultRowHeight="14.4" x14ac:dyDescent="0.3"/>
  <cols>
    <col min="6" max="6" width="9.88671875" customWidth="1"/>
  </cols>
  <sheetData>
    <row r="4" spans="5:8" x14ac:dyDescent="0.3">
      <c r="F4" t="s">
        <v>232</v>
      </c>
      <c r="G4" s="141">
        <v>49</v>
      </c>
    </row>
    <row r="7" spans="5:8" x14ac:dyDescent="0.3">
      <c r="E7" s="46">
        <v>1</v>
      </c>
      <c r="F7" s="46">
        <v>2</v>
      </c>
      <c r="G7" s="46">
        <v>3</v>
      </c>
      <c r="H7" s="46">
        <v>4</v>
      </c>
    </row>
    <row r="8" spans="5:8" x14ac:dyDescent="0.3">
      <c r="E8" s="46">
        <v>8</v>
      </c>
      <c r="F8" s="46">
        <v>197</v>
      </c>
      <c r="G8" s="46">
        <v>6</v>
      </c>
      <c r="H8" s="46">
        <v>5</v>
      </c>
    </row>
    <row r="9" spans="5:8" x14ac:dyDescent="0.3">
      <c r="E9" s="46">
        <v>9</v>
      </c>
      <c r="F9" s="46">
        <v>10</v>
      </c>
      <c r="G9" s="46">
        <v>11</v>
      </c>
      <c r="H9" s="46">
        <v>12</v>
      </c>
    </row>
  </sheetData>
  <conditionalFormatting sqref="E7:H9">
    <cfRule type="cellIs" dxfId="1" priority="1" operator="between">
      <formula>0</formula>
      <formula>$G$4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C306-0C05-4886-B9C7-ECAFE1760BCD}">
  <dimension ref="B6:R19"/>
  <sheetViews>
    <sheetView zoomScale="71" workbookViewId="0">
      <selection activeCell="N18" sqref="N18"/>
    </sheetView>
  </sheetViews>
  <sheetFormatPr defaultRowHeight="14.4" x14ac:dyDescent="0.3"/>
  <cols>
    <col min="3" max="3" width="18.44140625" customWidth="1"/>
    <col min="4" max="4" width="17.44140625" customWidth="1"/>
    <col min="5" max="5" width="12.33203125" customWidth="1"/>
    <col min="6" max="6" width="13.77734375" customWidth="1"/>
    <col min="7" max="7" width="15.77734375" customWidth="1"/>
    <col min="8" max="8" width="17" customWidth="1"/>
    <col min="9" max="9" width="12.21875" customWidth="1"/>
    <col min="10" max="10" width="11.88671875" customWidth="1"/>
    <col min="11" max="11" width="10.33203125" customWidth="1"/>
    <col min="12" max="12" width="10.21875" customWidth="1"/>
    <col min="13" max="13" width="8.77734375" bestFit="1" customWidth="1"/>
    <col min="14" max="14" width="10.5546875" customWidth="1"/>
    <col min="15" max="15" width="10.44140625" customWidth="1"/>
    <col min="16" max="16" width="12.33203125" customWidth="1"/>
    <col min="17" max="17" width="9.88671875" customWidth="1"/>
    <col min="18" max="18" width="9.77734375" bestFit="1" customWidth="1"/>
  </cols>
  <sheetData>
    <row r="6" spans="2:18" ht="18" x14ac:dyDescent="0.35">
      <c r="B6" s="174" t="s">
        <v>233</v>
      </c>
      <c r="C6" s="174"/>
      <c r="D6" s="174"/>
      <c r="F6">
        <f>COLUMN(E9)</f>
        <v>5</v>
      </c>
    </row>
    <row r="7" spans="2:18" ht="18" x14ac:dyDescent="0.35">
      <c r="C7" s="145">
        <v>44470</v>
      </c>
      <c r="D7" s="146"/>
    </row>
    <row r="9" spans="2:18" ht="28.8" x14ac:dyDescent="0.3">
      <c r="B9" s="142" t="s">
        <v>234</v>
      </c>
      <c r="C9" s="142" t="s">
        <v>235</v>
      </c>
      <c r="D9" s="142" t="s">
        <v>236</v>
      </c>
      <c r="E9" s="142" t="s">
        <v>237</v>
      </c>
      <c r="F9" s="142" t="s">
        <v>238</v>
      </c>
      <c r="G9" s="142" t="s">
        <v>239</v>
      </c>
      <c r="H9" s="142" t="s">
        <v>240</v>
      </c>
      <c r="I9" s="142" t="s">
        <v>241</v>
      </c>
      <c r="J9" s="142" t="s">
        <v>242</v>
      </c>
      <c r="K9" s="142" t="s">
        <v>243</v>
      </c>
      <c r="L9" s="142" t="s">
        <v>244</v>
      </c>
      <c r="M9" s="142" t="s">
        <v>245</v>
      </c>
      <c r="N9" s="142" t="s">
        <v>246</v>
      </c>
      <c r="O9" s="142" t="s">
        <v>267</v>
      </c>
      <c r="P9" s="142" t="s">
        <v>269</v>
      </c>
      <c r="Q9" s="142" t="s">
        <v>268</v>
      </c>
      <c r="R9" s="143" t="s">
        <v>270</v>
      </c>
    </row>
    <row r="10" spans="2:18" x14ac:dyDescent="0.3">
      <c r="B10" s="46">
        <v>101</v>
      </c>
      <c r="C10" s="46" t="s">
        <v>247</v>
      </c>
      <c r="D10" s="46" t="s">
        <v>257</v>
      </c>
      <c r="E10" s="144">
        <v>45000</v>
      </c>
      <c r="F10" s="144">
        <f>(25/100)*E10</f>
        <v>11250</v>
      </c>
      <c r="G10" s="144">
        <v>1000</v>
      </c>
      <c r="H10" s="144">
        <f>(5/100)*E10</f>
        <v>2250</v>
      </c>
      <c r="I10" s="144">
        <f>(2/100)*E10</f>
        <v>900</v>
      </c>
      <c r="J10" s="144">
        <f>E10+F10+G10+H10+I10</f>
        <v>60400</v>
      </c>
      <c r="K10" s="144">
        <v>30</v>
      </c>
      <c r="L10" s="144">
        <v>30</v>
      </c>
      <c r="M10" s="144">
        <v>2</v>
      </c>
      <c r="N10" s="144">
        <f>((J10/K10)*L10)+((J10/K10)/8)*(M10*2)</f>
        <v>61406.666666666664</v>
      </c>
      <c r="O10" s="144">
        <v>2000</v>
      </c>
      <c r="P10" s="144">
        <f>(2/100)*E10</f>
        <v>900</v>
      </c>
      <c r="Q10" s="144">
        <v>0</v>
      </c>
      <c r="R10" s="144">
        <f>N10-(P10+O10+Q10)</f>
        <v>58506.666666666664</v>
      </c>
    </row>
    <row r="11" spans="2:18" x14ac:dyDescent="0.3">
      <c r="B11" s="46">
        <f>B10+1</f>
        <v>102</v>
      </c>
      <c r="C11" s="46" t="s">
        <v>248</v>
      </c>
      <c r="D11" s="46" t="s">
        <v>258</v>
      </c>
      <c r="E11" s="144">
        <v>35000</v>
      </c>
      <c r="F11" s="144">
        <f t="shared" ref="F11:F19" si="0">(25/100)*E11</f>
        <v>8750</v>
      </c>
      <c r="G11" s="144">
        <v>1000</v>
      </c>
      <c r="H11" s="144">
        <f t="shared" ref="H11:H19" si="1">(5/100)*E11</f>
        <v>1750</v>
      </c>
      <c r="I11" s="144">
        <f t="shared" ref="I11:I19" si="2">(2/100)*E11</f>
        <v>700</v>
      </c>
      <c r="J11" s="144">
        <f t="shared" ref="J11:J19" si="3">E11+F11+G11+H11+I11</f>
        <v>47200</v>
      </c>
      <c r="K11" s="144">
        <v>30</v>
      </c>
      <c r="L11" s="144">
        <v>28</v>
      </c>
      <c r="M11" s="144"/>
      <c r="N11" s="144">
        <f t="shared" ref="N11:N19" si="4">((J11/K11)*L11)+((J11/K11)/8)*(M11*2)</f>
        <v>44053.333333333328</v>
      </c>
      <c r="O11" s="144">
        <v>1000</v>
      </c>
      <c r="P11" s="144">
        <f t="shared" ref="P11:P19" si="5">(2/100)*E11</f>
        <v>700</v>
      </c>
      <c r="Q11" s="144">
        <v>0</v>
      </c>
      <c r="R11" s="144">
        <f t="shared" ref="R11:R19" si="6">N11-(P11+O11+Q11)</f>
        <v>42353.333333333328</v>
      </c>
    </row>
    <row r="12" spans="2:18" x14ac:dyDescent="0.3">
      <c r="B12" s="46">
        <f t="shared" ref="B12:B19" si="7">B11+1</f>
        <v>103</v>
      </c>
      <c r="C12" s="46" t="s">
        <v>249</v>
      </c>
      <c r="D12" s="46" t="s">
        <v>259</v>
      </c>
      <c r="E12" s="144">
        <v>25000</v>
      </c>
      <c r="F12" s="144">
        <f t="shared" si="0"/>
        <v>6250</v>
      </c>
      <c r="G12" s="144">
        <v>1000</v>
      </c>
      <c r="H12" s="144">
        <f t="shared" si="1"/>
        <v>1250</v>
      </c>
      <c r="I12" s="144">
        <f t="shared" si="2"/>
        <v>500</v>
      </c>
      <c r="J12" s="144">
        <f t="shared" si="3"/>
        <v>34000</v>
      </c>
      <c r="K12" s="144">
        <v>30</v>
      </c>
      <c r="L12" s="144">
        <v>28</v>
      </c>
      <c r="M12" s="144"/>
      <c r="N12" s="144">
        <f t="shared" si="4"/>
        <v>31733.333333333332</v>
      </c>
      <c r="O12" s="144">
        <v>400</v>
      </c>
      <c r="P12" s="144">
        <f t="shared" si="5"/>
        <v>500</v>
      </c>
      <c r="Q12" s="144">
        <v>0</v>
      </c>
      <c r="R12" s="144">
        <f t="shared" si="6"/>
        <v>30833.333333333332</v>
      </c>
    </row>
    <row r="13" spans="2:18" x14ac:dyDescent="0.3">
      <c r="B13" s="46">
        <f t="shared" si="7"/>
        <v>104</v>
      </c>
      <c r="C13" s="46" t="s">
        <v>250</v>
      </c>
      <c r="D13" s="46" t="s">
        <v>260</v>
      </c>
      <c r="E13" s="144">
        <v>15000</v>
      </c>
      <c r="F13" s="144">
        <f t="shared" si="0"/>
        <v>3750</v>
      </c>
      <c r="G13" s="144">
        <v>1000</v>
      </c>
      <c r="H13" s="144">
        <f t="shared" si="1"/>
        <v>750</v>
      </c>
      <c r="I13" s="144">
        <f t="shared" si="2"/>
        <v>300</v>
      </c>
      <c r="J13" s="144">
        <f t="shared" si="3"/>
        <v>20800</v>
      </c>
      <c r="K13" s="144">
        <v>30</v>
      </c>
      <c r="L13" s="144">
        <v>30</v>
      </c>
      <c r="M13" s="144"/>
      <c r="N13" s="144">
        <f t="shared" si="4"/>
        <v>20800</v>
      </c>
      <c r="O13" s="144">
        <v>0</v>
      </c>
      <c r="P13" s="144">
        <f t="shared" si="5"/>
        <v>300</v>
      </c>
      <c r="Q13" s="144">
        <v>0</v>
      </c>
      <c r="R13" s="144">
        <f t="shared" si="6"/>
        <v>20500</v>
      </c>
    </row>
    <row r="14" spans="2:18" x14ac:dyDescent="0.3">
      <c r="B14" s="46">
        <f t="shared" si="7"/>
        <v>105</v>
      </c>
      <c r="C14" s="46" t="s">
        <v>251</v>
      </c>
      <c r="D14" s="46" t="s">
        <v>261</v>
      </c>
      <c r="E14" s="144">
        <v>22000</v>
      </c>
      <c r="F14" s="144">
        <f t="shared" si="0"/>
        <v>5500</v>
      </c>
      <c r="G14" s="144">
        <v>1000</v>
      </c>
      <c r="H14" s="144">
        <f t="shared" si="1"/>
        <v>1100</v>
      </c>
      <c r="I14" s="144">
        <f t="shared" si="2"/>
        <v>440</v>
      </c>
      <c r="J14" s="144">
        <f t="shared" si="3"/>
        <v>30040</v>
      </c>
      <c r="K14" s="144">
        <v>30</v>
      </c>
      <c r="L14" s="144">
        <v>30</v>
      </c>
      <c r="M14" s="144"/>
      <c r="N14" s="144">
        <f t="shared" si="4"/>
        <v>30040</v>
      </c>
      <c r="O14" s="144">
        <v>0</v>
      </c>
      <c r="P14" s="144">
        <f t="shared" si="5"/>
        <v>440</v>
      </c>
      <c r="Q14" s="144">
        <v>0</v>
      </c>
      <c r="R14" s="144">
        <f t="shared" si="6"/>
        <v>29600</v>
      </c>
    </row>
    <row r="15" spans="2:18" x14ac:dyDescent="0.3">
      <c r="B15" s="46">
        <f t="shared" si="7"/>
        <v>106</v>
      </c>
      <c r="C15" s="46" t="s">
        <v>252</v>
      </c>
      <c r="D15" s="46" t="s">
        <v>262</v>
      </c>
      <c r="E15" s="144">
        <v>18000</v>
      </c>
      <c r="F15" s="144">
        <f t="shared" si="0"/>
        <v>4500</v>
      </c>
      <c r="G15" s="144">
        <v>1000</v>
      </c>
      <c r="H15" s="144">
        <f t="shared" si="1"/>
        <v>900</v>
      </c>
      <c r="I15" s="144">
        <f t="shared" si="2"/>
        <v>360</v>
      </c>
      <c r="J15" s="144">
        <f t="shared" si="3"/>
        <v>24760</v>
      </c>
      <c r="K15" s="144">
        <v>30</v>
      </c>
      <c r="L15" s="144">
        <v>29</v>
      </c>
      <c r="M15" s="144"/>
      <c r="N15" s="144">
        <f t="shared" si="4"/>
        <v>23934.666666666668</v>
      </c>
      <c r="O15" s="144">
        <v>0</v>
      </c>
      <c r="P15" s="144">
        <f t="shared" si="5"/>
        <v>360</v>
      </c>
      <c r="Q15" s="144">
        <v>0</v>
      </c>
      <c r="R15" s="144">
        <f t="shared" si="6"/>
        <v>23574.666666666668</v>
      </c>
    </row>
    <row r="16" spans="2:18" x14ac:dyDescent="0.3">
      <c r="B16" s="46">
        <f t="shared" si="7"/>
        <v>107</v>
      </c>
      <c r="C16" s="46" t="s">
        <v>253</v>
      </c>
      <c r="D16" s="46" t="s">
        <v>263</v>
      </c>
      <c r="E16" s="144">
        <v>16000</v>
      </c>
      <c r="F16" s="144">
        <f t="shared" si="0"/>
        <v>4000</v>
      </c>
      <c r="G16" s="144">
        <v>1000</v>
      </c>
      <c r="H16" s="144">
        <f t="shared" si="1"/>
        <v>800</v>
      </c>
      <c r="I16" s="144">
        <f t="shared" si="2"/>
        <v>320</v>
      </c>
      <c r="J16" s="144">
        <f t="shared" si="3"/>
        <v>22120</v>
      </c>
      <c r="K16" s="144">
        <v>30</v>
      </c>
      <c r="L16" s="144">
        <v>28</v>
      </c>
      <c r="M16" s="144">
        <v>10</v>
      </c>
      <c r="N16" s="144">
        <f t="shared" si="4"/>
        <v>22488.666666666668</v>
      </c>
      <c r="O16" s="144">
        <v>0</v>
      </c>
      <c r="P16" s="144">
        <f t="shared" si="5"/>
        <v>320</v>
      </c>
      <c r="Q16" s="144">
        <v>0</v>
      </c>
      <c r="R16" s="144">
        <f t="shared" si="6"/>
        <v>22168.666666666668</v>
      </c>
    </row>
    <row r="17" spans="2:18" x14ac:dyDescent="0.3">
      <c r="B17" s="46">
        <f t="shared" si="7"/>
        <v>108</v>
      </c>
      <c r="C17" s="46" t="s">
        <v>254</v>
      </c>
      <c r="D17" s="46" t="s">
        <v>264</v>
      </c>
      <c r="E17" s="144">
        <v>8000</v>
      </c>
      <c r="F17" s="144">
        <f t="shared" si="0"/>
        <v>2000</v>
      </c>
      <c r="G17" s="144">
        <v>1000</v>
      </c>
      <c r="H17" s="144">
        <f t="shared" si="1"/>
        <v>400</v>
      </c>
      <c r="I17" s="144">
        <f t="shared" si="2"/>
        <v>160</v>
      </c>
      <c r="J17" s="144">
        <f t="shared" si="3"/>
        <v>11560</v>
      </c>
      <c r="K17" s="144">
        <v>30</v>
      </c>
      <c r="L17" s="144">
        <v>30</v>
      </c>
      <c r="M17" s="144"/>
      <c r="N17" s="144">
        <f t="shared" si="4"/>
        <v>11560</v>
      </c>
      <c r="O17" s="144">
        <v>0</v>
      </c>
      <c r="P17" s="144">
        <f t="shared" si="5"/>
        <v>160</v>
      </c>
      <c r="Q17" s="144">
        <v>0</v>
      </c>
      <c r="R17" s="144">
        <f t="shared" si="6"/>
        <v>11400</v>
      </c>
    </row>
    <row r="18" spans="2:18" x14ac:dyDescent="0.3">
      <c r="B18" s="46">
        <f t="shared" si="7"/>
        <v>109</v>
      </c>
      <c r="C18" s="46" t="s">
        <v>255</v>
      </c>
      <c r="D18" s="46" t="s">
        <v>265</v>
      </c>
      <c r="E18" s="144">
        <v>5000</v>
      </c>
      <c r="F18" s="144">
        <f t="shared" si="0"/>
        <v>1250</v>
      </c>
      <c r="G18" s="144">
        <v>1000</v>
      </c>
      <c r="H18" s="144">
        <f t="shared" si="1"/>
        <v>250</v>
      </c>
      <c r="I18" s="144">
        <f t="shared" si="2"/>
        <v>100</v>
      </c>
      <c r="J18" s="144">
        <f t="shared" si="3"/>
        <v>7600</v>
      </c>
      <c r="K18" s="144">
        <v>30</v>
      </c>
      <c r="L18" s="144">
        <v>30</v>
      </c>
      <c r="M18" s="144"/>
      <c r="N18" s="144">
        <f t="shared" si="4"/>
        <v>7600</v>
      </c>
      <c r="O18" s="144">
        <v>0</v>
      </c>
      <c r="P18" s="144">
        <f t="shared" si="5"/>
        <v>100</v>
      </c>
      <c r="Q18" s="144">
        <v>0</v>
      </c>
      <c r="R18" s="144">
        <f t="shared" si="6"/>
        <v>7500</v>
      </c>
    </row>
    <row r="19" spans="2:18" x14ac:dyDescent="0.3">
      <c r="B19" s="46">
        <f t="shared" si="7"/>
        <v>110</v>
      </c>
      <c r="C19" s="46" t="s">
        <v>256</v>
      </c>
      <c r="D19" s="46" t="s">
        <v>266</v>
      </c>
      <c r="E19" s="144">
        <v>4500</v>
      </c>
      <c r="F19" s="144">
        <f t="shared" si="0"/>
        <v>1125</v>
      </c>
      <c r="G19" s="144">
        <v>1000</v>
      </c>
      <c r="H19" s="144">
        <f t="shared" si="1"/>
        <v>225</v>
      </c>
      <c r="I19" s="144">
        <f t="shared" si="2"/>
        <v>90</v>
      </c>
      <c r="J19" s="144">
        <f t="shared" si="3"/>
        <v>6940</v>
      </c>
      <c r="K19" s="144">
        <v>30</v>
      </c>
      <c r="L19" s="144">
        <v>30</v>
      </c>
      <c r="M19" s="144">
        <v>6</v>
      </c>
      <c r="N19" s="144">
        <f t="shared" si="4"/>
        <v>7287</v>
      </c>
      <c r="O19" s="144">
        <v>0</v>
      </c>
      <c r="P19" s="144">
        <f t="shared" si="5"/>
        <v>90</v>
      </c>
      <c r="Q19" s="144">
        <v>0</v>
      </c>
      <c r="R19" s="144">
        <f t="shared" si="6"/>
        <v>7197</v>
      </c>
    </row>
  </sheetData>
  <mergeCells count="1">
    <mergeCell ref="B6:D6"/>
  </mergeCells>
  <conditionalFormatting sqref="B10:R19">
    <cfRule type="expression" dxfId="0" priority="1">
      <formula>MOD(ROW(),2)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A3250-C1C4-4F6A-8FCF-9C512EA480CD}">
  <dimension ref="A2:N38"/>
  <sheetViews>
    <sheetView zoomScaleNormal="100" workbookViewId="0">
      <selection activeCell="J32" sqref="J32"/>
    </sheetView>
  </sheetViews>
  <sheetFormatPr defaultRowHeight="14.4" x14ac:dyDescent="0.3"/>
  <cols>
    <col min="1" max="1" width="4.21875" customWidth="1"/>
    <col min="2" max="2" width="18.21875" customWidth="1"/>
    <col min="3" max="3" width="24.77734375" customWidth="1"/>
    <col min="4" max="4" width="20.21875" customWidth="1"/>
    <col min="5" max="5" width="8.77734375" customWidth="1"/>
    <col min="6" max="6" width="14.33203125" customWidth="1"/>
  </cols>
  <sheetData>
    <row r="2" spans="1:14" x14ac:dyDescent="0.3">
      <c r="N2" t="e" cm="1">
        <f t="array" ref="N2">INDEX(Payroll!E10:E19,MATCH(Reciept!$D$6,Payroll!$B10:$B19,0),0)</f>
        <v>#N/A</v>
      </c>
    </row>
    <row r="5" spans="1:14" ht="18" x14ac:dyDescent="0.35">
      <c r="A5" s="152"/>
      <c r="B5" s="152" t="s">
        <v>271</v>
      </c>
      <c r="C5" s="152"/>
      <c r="D5" s="152"/>
    </row>
    <row r="6" spans="1:14" ht="15" thickBot="1" x14ac:dyDescent="0.35"/>
    <row r="7" spans="1:14" ht="18" x14ac:dyDescent="0.35">
      <c r="B7" s="195" t="s">
        <v>272</v>
      </c>
      <c r="C7" s="196"/>
      <c r="D7" s="196"/>
      <c r="E7" s="196"/>
      <c r="F7" s="196"/>
      <c r="G7" s="197"/>
    </row>
    <row r="8" spans="1:14" x14ac:dyDescent="0.3">
      <c r="B8" s="178"/>
      <c r="C8" s="179"/>
      <c r="D8" s="179"/>
      <c r="E8" s="179"/>
      <c r="F8" s="179"/>
      <c r="G8" s="180"/>
    </row>
    <row r="9" spans="1:14" ht="21.45" customHeight="1" x14ac:dyDescent="0.3">
      <c r="B9" s="153" t="s">
        <v>273</v>
      </c>
      <c r="C9" s="158">
        <v>106</v>
      </c>
      <c r="D9" s="199"/>
      <c r="E9" s="200"/>
      <c r="F9" s="200"/>
      <c r="G9" s="201"/>
    </row>
    <row r="10" spans="1:14" ht="24" customHeight="1" x14ac:dyDescent="0.3">
      <c r="B10" s="153" t="s">
        <v>235</v>
      </c>
      <c r="C10" s="151" t="str" cm="1">
        <f t="array" ref="C10">INDEX(Payroll!C10:C19,MATCH(Reciept!$C$9,Payroll!$B10:$B19,0),0)</f>
        <v>Meera Nale</v>
      </c>
      <c r="D10" s="202"/>
      <c r="E10" s="203"/>
      <c r="F10" s="203"/>
      <c r="G10" s="204"/>
    </row>
    <row r="11" spans="1:14" ht="26.55" customHeight="1" x14ac:dyDescent="0.3">
      <c r="B11" s="153" t="s">
        <v>274</v>
      </c>
      <c r="C11" s="151" t="str" cm="1">
        <f t="array" ref="C11">INDEX(Payroll!D10:D19,MATCH(Reciept!$C$9,Payroll!$B10:$B19,0),0)</f>
        <v>Quality Manager</v>
      </c>
      <c r="D11" s="202"/>
      <c r="E11" s="203"/>
      <c r="F11" s="203"/>
      <c r="G11" s="204"/>
    </row>
    <row r="12" spans="1:14" x14ac:dyDescent="0.3">
      <c r="B12" s="176"/>
      <c r="C12" s="175"/>
      <c r="D12" s="202"/>
      <c r="E12" s="203"/>
      <c r="F12" s="203"/>
      <c r="G12" s="204"/>
    </row>
    <row r="13" spans="1:14" x14ac:dyDescent="0.3">
      <c r="B13" s="176"/>
      <c r="C13" s="175"/>
      <c r="D13" s="205"/>
      <c r="E13" s="206"/>
      <c r="F13" s="206"/>
      <c r="G13" s="207"/>
    </row>
    <row r="14" spans="1:14" ht="25.5" customHeight="1" x14ac:dyDescent="0.3">
      <c r="B14" s="154" t="s">
        <v>243</v>
      </c>
      <c r="C14" s="198" t="s">
        <v>244</v>
      </c>
      <c r="D14" s="198"/>
      <c r="E14" s="147"/>
      <c r="F14" s="147" t="s">
        <v>245</v>
      </c>
      <c r="G14" s="155"/>
    </row>
    <row r="15" spans="1:14" ht="28.95" customHeight="1" x14ac:dyDescent="0.3">
      <c r="B15" s="159" cm="1">
        <f t="array" ref="B15">INDEX(Payroll!K10:K19,MATCH(Reciept!$C$9,Payroll!$B10:$B19,0),0)</f>
        <v>30</v>
      </c>
      <c r="C15" s="184" cm="1">
        <f t="array" ref="C15">INDEX(Payroll!L10:L19,MATCH(Reciept!$C$9,Payroll!$B10:$B19,0),0)</f>
        <v>29</v>
      </c>
      <c r="D15" s="184"/>
      <c r="E15" s="184"/>
      <c r="F15" s="184" cm="1">
        <f t="array" ref="F15">INDEX(Payroll!M10:M19,MATCH(Reciept!$C$9,Payroll!$B10:$B19,0),0)</f>
        <v>0</v>
      </c>
      <c r="G15" s="185"/>
    </row>
    <row r="16" spans="1:14" x14ac:dyDescent="0.3">
      <c r="B16" s="178"/>
      <c r="C16" s="179"/>
      <c r="D16" s="179"/>
      <c r="E16" s="179"/>
      <c r="F16" s="179"/>
      <c r="G16" s="180"/>
    </row>
    <row r="17" spans="2:8" x14ac:dyDescent="0.3">
      <c r="B17" s="178"/>
      <c r="C17" s="179"/>
      <c r="D17" s="179"/>
      <c r="E17" s="179"/>
      <c r="F17" s="179"/>
      <c r="G17" s="180"/>
    </row>
    <row r="18" spans="2:8" ht="31.05" customHeight="1" x14ac:dyDescent="0.3">
      <c r="B18" s="156" t="s">
        <v>275</v>
      </c>
      <c r="C18" s="148" t="s">
        <v>2</v>
      </c>
      <c r="D18" s="186" t="s">
        <v>276</v>
      </c>
      <c r="E18" s="186"/>
      <c r="F18" s="187" t="s">
        <v>2</v>
      </c>
      <c r="G18" s="188"/>
    </row>
    <row r="19" spans="2:8" ht="21.45" customHeight="1" x14ac:dyDescent="0.3">
      <c r="B19" s="153" t="s">
        <v>277</v>
      </c>
      <c r="C19" s="160" cm="1">
        <f t="array" ref="C19">INDEX(Payroll!E10:E19,MATCH(Reciept!$C$9,Payroll!$B10:$B19,0),0)</f>
        <v>18000</v>
      </c>
      <c r="D19" s="175" t="s">
        <v>282</v>
      </c>
      <c r="E19" s="175"/>
      <c r="F19" s="189" cm="1">
        <f t="array" ref="F19">INDEX(Payroll!P10:P19,MATCH(Reciept!$C$9,Payroll!$B10:$B19,0),0)</f>
        <v>360</v>
      </c>
      <c r="G19" s="190"/>
      <c r="H19" s="112"/>
    </row>
    <row r="20" spans="2:8" ht="22.5" customHeight="1" x14ac:dyDescent="0.3">
      <c r="B20" s="153" t="s">
        <v>278</v>
      </c>
      <c r="C20" s="160" cm="1">
        <f t="array" ref="C20">INDEX(Payroll!F10:F19,MATCH(Reciept!$C$9,Payroll!$B10:$B19,0),0)</f>
        <v>4500</v>
      </c>
      <c r="D20" s="175" t="s">
        <v>267</v>
      </c>
      <c r="E20" s="175"/>
      <c r="F20" s="189" cm="1">
        <f t="array" ref="F20">INDEX(Payroll!O10:O19,MATCH(Reciept!$C$9,Payroll!$B10:$B19,0),0)</f>
        <v>0</v>
      </c>
      <c r="G20" s="190"/>
      <c r="H20" s="112"/>
    </row>
    <row r="21" spans="2:8" ht="19.05" customHeight="1" x14ac:dyDescent="0.3">
      <c r="B21" s="153" t="s">
        <v>279</v>
      </c>
      <c r="C21" s="160" cm="1">
        <f t="array" ref="C21">INDEX(Payroll!G10:G19,MATCH(Reciept!$C$9,Payroll!$B10:$B19,0),0)</f>
        <v>1000</v>
      </c>
      <c r="D21" s="175" t="s">
        <v>268</v>
      </c>
      <c r="E21" s="175"/>
      <c r="F21" s="189" cm="1">
        <f t="array" ref="F21">INDEX(Payroll!Q10:Q19,MATCH(Reciept!$C$9,Payroll!$B10:$B19,0),0)</f>
        <v>0</v>
      </c>
      <c r="G21" s="190"/>
      <c r="H21" s="112"/>
    </row>
    <row r="22" spans="2:8" ht="21.45" customHeight="1" x14ac:dyDescent="0.3">
      <c r="B22" s="153" t="s">
        <v>280</v>
      </c>
      <c r="C22" s="160" cm="1">
        <f t="array" ref="C22">INDEX(Payroll!H10:H19,MATCH(Reciept!$C$9,Payroll!$B10:$B19,0),0)</f>
        <v>900</v>
      </c>
      <c r="D22" s="175"/>
      <c r="E22" s="175"/>
      <c r="F22" s="175"/>
      <c r="G22" s="177"/>
      <c r="H22" s="112"/>
    </row>
    <row r="23" spans="2:8" ht="19.05" customHeight="1" x14ac:dyDescent="0.3">
      <c r="B23" s="153" t="s">
        <v>281</v>
      </c>
      <c r="C23" s="160" cm="1">
        <f t="array" ref="C23">INDEX(Payroll!I10:I19,MATCH(Reciept!$C$9,Payroll!$B10:$B19,0),0)</f>
        <v>360</v>
      </c>
      <c r="D23" s="175"/>
      <c r="E23" s="175"/>
      <c r="F23" s="175"/>
      <c r="G23" s="177"/>
      <c r="H23" s="112"/>
    </row>
    <row r="24" spans="2:8" x14ac:dyDescent="0.3">
      <c r="B24" s="176"/>
      <c r="C24" s="175"/>
      <c r="D24" s="175"/>
      <c r="E24" s="175"/>
      <c r="F24" s="175"/>
      <c r="G24" s="177"/>
      <c r="H24" s="112"/>
    </row>
    <row r="25" spans="2:8" x14ac:dyDescent="0.3">
      <c r="B25" s="176"/>
      <c r="C25" s="175"/>
      <c r="D25" s="175"/>
      <c r="E25" s="175"/>
      <c r="F25" s="175"/>
      <c r="G25" s="177"/>
      <c r="H25" s="112"/>
    </row>
    <row r="26" spans="2:8" x14ac:dyDescent="0.3">
      <c r="B26" s="153" t="s">
        <v>283</v>
      </c>
      <c r="C26" s="161">
        <f>SUM(B19:C25)</f>
        <v>24760</v>
      </c>
      <c r="D26" s="175" t="s">
        <v>283</v>
      </c>
      <c r="E26" s="175"/>
      <c r="F26" s="193">
        <f>SUM(F19:G25)</f>
        <v>360</v>
      </c>
      <c r="G26" s="194"/>
      <c r="H26" s="112"/>
    </row>
    <row r="27" spans="2:8" x14ac:dyDescent="0.3">
      <c r="B27" s="176"/>
      <c r="C27" s="175"/>
      <c r="D27" s="175"/>
      <c r="E27" s="175"/>
      <c r="F27" s="175"/>
      <c r="G27" s="177"/>
      <c r="H27" s="112"/>
    </row>
    <row r="28" spans="2:8" x14ac:dyDescent="0.3">
      <c r="B28" s="176"/>
      <c r="C28" s="175"/>
      <c r="D28" s="175"/>
      <c r="E28" s="175"/>
      <c r="F28" s="175"/>
      <c r="G28" s="177"/>
      <c r="H28" s="112"/>
    </row>
    <row r="29" spans="2:8" x14ac:dyDescent="0.3">
      <c r="B29" s="176"/>
      <c r="C29" s="175"/>
      <c r="D29" s="175"/>
      <c r="E29" s="175"/>
      <c r="F29" s="175"/>
      <c r="G29" s="177"/>
      <c r="H29" s="112"/>
    </row>
    <row r="30" spans="2:8" ht="19.5" customHeight="1" x14ac:dyDescent="0.3">
      <c r="B30" s="153" t="s">
        <v>242</v>
      </c>
      <c r="C30" s="162" cm="1">
        <f t="array" ref="C30">INDEX(Payroll!J10:J19,MATCH(Reciept!$C$9,Payroll!$B10:$B19,0),0)</f>
        <v>24760</v>
      </c>
      <c r="D30" s="175"/>
      <c r="E30" s="175"/>
      <c r="F30" s="175"/>
      <c r="G30" s="177"/>
      <c r="H30" s="112"/>
    </row>
    <row r="31" spans="2:8" ht="22.5" customHeight="1" x14ac:dyDescent="0.3">
      <c r="B31" s="153" t="s">
        <v>246</v>
      </c>
      <c r="C31" s="162" cm="1">
        <f t="array" ref="C31">INDEX(Payroll!N10:N19,MATCH(Reciept!$C$9,Payroll!$B10:$B19,0),0)</f>
        <v>23934.666666666668</v>
      </c>
      <c r="D31" s="175"/>
      <c r="E31" s="175"/>
      <c r="F31" s="175"/>
      <c r="G31" s="177"/>
      <c r="H31" s="112"/>
    </row>
    <row r="32" spans="2:8" ht="22.05" customHeight="1" x14ac:dyDescent="0.3">
      <c r="B32" s="153" t="s">
        <v>284</v>
      </c>
      <c r="C32" s="162" cm="1">
        <f t="array" ref="C32">INDEX(Payroll!R10:R19,MATCH(Reciept!$C$9,Payroll!$B10:$B19,0),0)</f>
        <v>23574.666666666668</v>
      </c>
      <c r="D32" s="175"/>
      <c r="E32" s="175"/>
      <c r="F32" s="175"/>
      <c r="G32" s="177"/>
    </row>
    <row r="33" spans="2:7" ht="22.05" customHeight="1" x14ac:dyDescent="0.3">
      <c r="B33" s="178"/>
      <c r="C33" s="179"/>
      <c r="D33" s="175"/>
      <c r="E33" s="175"/>
      <c r="F33" s="175"/>
      <c r="G33" s="177"/>
    </row>
    <row r="34" spans="2:7" x14ac:dyDescent="0.3">
      <c r="B34" s="178"/>
      <c r="C34" s="179"/>
      <c r="D34" s="175"/>
      <c r="E34" s="175"/>
      <c r="F34" s="175"/>
      <c r="G34" s="177"/>
    </row>
    <row r="35" spans="2:7" x14ac:dyDescent="0.3">
      <c r="B35" s="157" t="s">
        <v>285</v>
      </c>
      <c r="C35" s="149"/>
      <c r="D35" s="149"/>
      <c r="E35" s="150"/>
      <c r="F35" s="191" t="s">
        <v>286</v>
      </c>
      <c r="G35" s="192"/>
    </row>
    <row r="36" spans="2:7" x14ac:dyDescent="0.3">
      <c r="B36" s="178"/>
      <c r="C36" s="179"/>
      <c r="D36" s="179"/>
      <c r="E36" s="179"/>
      <c r="F36" s="179"/>
      <c r="G36" s="180"/>
    </row>
    <row r="37" spans="2:7" x14ac:dyDescent="0.3">
      <c r="B37" s="178"/>
      <c r="C37" s="179"/>
      <c r="D37" s="179"/>
      <c r="E37" s="179"/>
      <c r="F37" s="179"/>
      <c r="G37" s="180"/>
    </row>
    <row r="38" spans="2:7" ht="15" thickBot="1" x14ac:dyDescent="0.35">
      <c r="B38" s="181"/>
      <c r="C38" s="182"/>
      <c r="D38" s="182"/>
      <c r="E38" s="182"/>
      <c r="F38" s="182"/>
      <c r="G38" s="183"/>
    </row>
  </sheetData>
  <mergeCells count="27">
    <mergeCell ref="B7:G7"/>
    <mergeCell ref="C14:D14"/>
    <mergeCell ref="B8:G8"/>
    <mergeCell ref="D9:G13"/>
    <mergeCell ref="B16:G17"/>
    <mergeCell ref="B12:C13"/>
    <mergeCell ref="B36:G38"/>
    <mergeCell ref="F15:G15"/>
    <mergeCell ref="C15:E15"/>
    <mergeCell ref="B33:C34"/>
    <mergeCell ref="D22:E25"/>
    <mergeCell ref="F22:G25"/>
    <mergeCell ref="D18:E18"/>
    <mergeCell ref="F18:G18"/>
    <mergeCell ref="D19:E19"/>
    <mergeCell ref="B24:C25"/>
    <mergeCell ref="F21:G21"/>
    <mergeCell ref="F20:G20"/>
    <mergeCell ref="F19:G19"/>
    <mergeCell ref="F35:G35"/>
    <mergeCell ref="B27:G27"/>
    <mergeCell ref="F26:G26"/>
    <mergeCell ref="D26:E26"/>
    <mergeCell ref="D20:E20"/>
    <mergeCell ref="D21:E21"/>
    <mergeCell ref="B28:G29"/>
    <mergeCell ref="D30:G34"/>
  </mergeCells>
  <pageMargins left="0.35" right="0.03" top="0.26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19F82D-A7CE-446D-B7B2-52AA16B30762}">
          <x14:formula1>
            <xm:f>Payroll!$B$10:$B$19</xm:f>
          </x14:formula1>
          <xm:sqref>C9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Balance-Sheet</vt:lpstr>
      <vt:lpstr>Quiz</vt:lpstr>
      <vt:lpstr> Price List</vt:lpstr>
      <vt:lpstr>Attendance</vt:lpstr>
      <vt:lpstr>Admission Form</vt:lpstr>
      <vt:lpstr>Month Loan</vt:lpstr>
      <vt:lpstr>Transport</vt:lpstr>
      <vt:lpstr>Actual Work Progress</vt:lpstr>
      <vt:lpstr>Dynamic Search Box</vt:lpstr>
      <vt:lpstr>Select Cell</vt:lpstr>
      <vt:lpstr>Payroll</vt:lpstr>
      <vt:lpstr>Reciept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</dc:creator>
  <cp:lastModifiedBy>Ankit</cp:lastModifiedBy>
  <cp:lastPrinted>2021-10-25T11:35:35Z</cp:lastPrinted>
  <dcterms:created xsi:type="dcterms:W3CDTF">2021-10-12T15:26:51Z</dcterms:created>
  <dcterms:modified xsi:type="dcterms:W3CDTF">2024-02-22T10:44:17Z</dcterms:modified>
</cp:coreProperties>
</file>