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020_exp4_controls/"/>
    </mc:Choice>
  </mc:AlternateContent>
  <xr:revisionPtr revIDLastSave="0" documentId="13_ncr:1_{16D982F8-EB8B-924B-B8EB-FC20161FBF48}" xr6:coauthVersionLast="45" xr6:coauthVersionMax="45" xr10:uidLastSave="{00000000-0000-0000-0000-000000000000}"/>
  <bookViews>
    <workbookView xWindow="13120" yWindow="134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Outline!$A$1:$R$47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2" l="1"/>
  <c r="C45" i="2"/>
  <c r="B43" i="2"/>
  <c r="C40" i="2"/>
  <c r="C41" i="2" s="1"/>
  <c r="C43" i="2" s="1"/>
  <c r="I32" i="2"/>
  <c r="I31" i="2"/>
  <c r="G42" i="2" s="1"/>
  <c r="I37" i="2"/>
  <c r="C35" i="2"/>
  <c r="C30" i="2"/>
  <c r="N25" i="2"/>
  <c r="N22" i="2"/>
  <c r="L22" i="2"/>
  <c r="K25" i="2"/>
  <c r="J25" i="2"/>
  <c r="L23" i="2"/>
  <c r="J22" i="2"/>
  <c r="K23" i="2"/>
  <c r="K24" i="2" s="1"/>
  <c r="J23" i="2"/>
  <c r="M22" i="2"/>
  <c r="K22" i="2"/>
  <c r="F22" i="2"/>
  <c r="M21" i="2"/>
  <c r="F21" i="2"/>
  <c r="F25" i="2"/>
  <c r="C42" i="2" l="1"/>
  <c r="C44" i="2" s="1"/>
  <c r="N23" i="2"/>
  <c r="C13" i="2"/>
  <c r="C12" i="2" s="1"/>
  <c r="F23" i="2" l="1"/>
  <c r="M23" i="2" l="1"/>
  <c r="F24" i="2"/>
  <c r="F26" i="2"/>
  <c r="M26" i="2"/>
  <c r="M25" i="2"/>
  <c r="L25" i="2" s="1"/>
  <c r="M24" i="2"/>
  <c r="L24" i="2" s="1"/>
  <c r="N24" i="2" l="1"/>
  <c r="C36" i="2"/>
  <c r="I15" i="2"/>
  <c r="I16" i="2"/>
  <c r="I17" i="2"/>
  <c r="D13" i="2" l="1"/>
  <c r="D12" i="2"/>
  <c r="D14" i="2"/>
  <c r="D17" i="2"/>
  <c r="D16" i="2"/>
  <c r="D15" i="2"/>
  <c r="P22" i="2" l="1"/>
  <c r="O22" i="2" s="1"/>
  <c r="P21" i="2"/>
  <c r="O21" i="2" s="1"/>
  <c r="P26" i="2"/>
  <c r="O26" i="2" s="1"/>
  <c r="P23" i="2"/>
  <c r="O23" i="2" s="1"/>
  <c r="P25" i="2"/>
  <c r="O25" i="2" s="1"/>
  <c r="P24" i="2"/>
  <c r="O24" i="2" s="1"/>
</calcChain>
</file>

<file path=xl/sharedStrings.xml><?xml version="1.0" encoding="utf-8"?>
<sst xmlns="http://schemas.openxmlformats.org/spreadsheetml/2006/main" count="125" uniqueCount="97">
  <si>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</si>
  <si>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</si>
  <si>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</si>
  <si>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</si>
  <si>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</si>
  <si>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</si>
  <si>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</si>
  <si>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</si>
  <si>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</si>
  <si>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</si>
  <si>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</si>
  <si>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</si>
  <si>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</si>
  <si>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</si>
  <si>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</si>
  <si>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</si>
  <si>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</si>
  <si>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</si>
  <si>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</si>
  <si>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</si>
  <si>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</si>
  <si>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</si>
  <si>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</si>
  <si>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</si>
  <si>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</si>
  <si>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</si>
  <si>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</si>
  <si>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</si>
  <si>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</si>
  <si>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</si>
  <si>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</si>
  <si>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</si>
  <si>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</si>
  <si>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</si>
  <si>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</si>
  <si>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want room, more room for master mix, less for DNA</t>
  </si>
  <si>
    <t>try not to work with GamS - work with plasmid, better efficiency, more roo</t>
  </si>
  <si>
    <t>m to p. 2.5 uL for DNA</t>
  </si>
  <si>
    <t>add things here (atp, plasmid1/2)</t>
  </si>
  <si>
    <t xml:space="preserve"> making activation</t>
  </si>
  <si>
    <t>aliquote for 7 rxns</t>
  </si>
  <si>
    <t>Controls with DNA Reporter Plasmid</t>
  </si>
  <si>
    <t>ATP assay</t>
  </si>
  <si>
    <t>Buffer</t>
  </si>
  <si>
    <t>Extract</t>
  </si>
  <si>
    <t>Pos Control (1)</t>
  </si>
  <si>
    <t>Neg Control bkgd (2)</t>
  </si>
  <si>
    <t>water</t>
  </si>
  <si>
    <t>ATP Depletion (3)</t>
  </si>
  <si>
    <t>Total volume</t>
  </si>
  <si>
    <t>No Energy (4)</t>
  </si>
  <si>
    <t>No txtl (5)</t>
  </si>
  <si>
    <t>Salt (uL)</t>
  </si>
  <si>
    <t>Calc Salt Concentration</t>
  </si>
  <si>
    <t>total vol salt</t>
  </si>
  <si>
    <t>uL</t>
  </si>
  <si>
    <t>extra salt vol</t>
  </si>
  <si>
    <t>buffer pH</t>
  </si>
  <si>
    <t>ph</t>
  </si>
  <si>
    <t>water pH</t>
  </si>
  <si>
    <t>desired ph</t>
  </si>
  <si>
    <t>vol from water</t>
  </si>
  <si>
    <t>vol from buffer</t>
  </si>
  <si>
    <t>total vol salt rd</t>
  </si>
  <si>
    <t>Procedure</t>
  </si>
  <si>
    <t>1) thaw and prepare atp assay RM</t>
  </si>
  <si>
    <t>2) prepare salt buffer</t>
  </si>
  <si>
    <t>3) add proper items to well</t>
  </si>
  <si>
    <t>Calc ATP ASSAY RM</t>
  </si>
  <si>
    <t>1x ATP Det Assay</t>
  </si>
  <si>
    <t>mL</t>
  </si>
  <si>
    <t>D-Luciferin</t>
  </si>
  <si>
    <t>Luciferase</t>
  </si>
  <si>
    <t>vol/well</t>
  </si>
  <si>
    <t>wells</t>
  </si>
  <si>
    <t>trials</t>
  </si>
  <si>
    <t>trial</t>
  </si>
  <si>
    <t>total assay vol</t>
  </si>
  <si>
    <t>MAKE RM COMP</t>
  </si>
  <si>
    <t>1x det assay vol</t>
  </si>
  <si>
    <t>5x det assay vol</t>
  </si>
  <si>
    <t>water vol</t>
  </si>
  <si>
    <t>DTT</t>
  </si>
  <si>
    <t>add 500 uL of this to RM</t>
  </si>
  <si>
    <t>luciferin</t>
  </si>
  <si>
    <t>mg</t>
  </si>
  <si>
    <t>need</t>
  </si>
  <si>
    <t>luc low</t>
  </si>
  <si>
    <t>*Use yday's luciferin if possible</t>
  </si>
  <si>
    <t>from tube</t>
  </si>
  <si>
    <t>from yday</t>
  </si>
  <si>
    <t>make</t>
  </si>
  <si>
    <t>4) wait, aliquot out, measure</t>
  </si>
  <si>
    <t>Ankita R</t>
  </si>
  <si>
    <t>10/20/20 1-7 PM</t>
  </si>
  <si>
    <t>s</t>
  </si>
  <si>
    <t>GFP +ve control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</si>
</sst>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E3EC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9" borderId="0" xfId="0" applyNumberFormat="1" applyFont="1" applyFill="1" applyBorder="1" applyAlignment="1" applyProtection="1">
      <alignment horizontal="right"/>
    </xf>
    <xf numFmtId="2" fontId="0" fillId="9" borderId="2" xfId="0" applyNumberFormat="1" applyFill="1" applyBorder="1" applyAlignment="1" applyProtection="1">
      <alignment horizontal="right"/>
    </xf>
    <xf numFmtId="2" fontId="0" fillId="9" borderId="9" xfId="0" applyNumberFormat="1" applyFill="1" applyBorder="1" applyAlignment="1" applyProtection="1">
      <alignment horizontal="right"/>
    </xf>
    <xf numFmtId="2" fontId="0" fillId="9" borderId="3" xfId="0" applyNumberFormat="1" applyFill="1" applyBorder="1" applyAlignment="1" applyProtection="1">
      <alignment horizontal="right"/>
    </xf>
    <xf numFmtId="2" fontId="0" fillId="9" borderId="0" xfId="0" applyNumberFormat="1" applyFill="1" applyBorder="1" applyAlignment="1" applyProtection="1">
      <alignment horizontal="right"/>
    </xf>
    <xf numFmtId="2" fontId="0" fillId="9" borderId="6" xfId="0" applyNumberFormat="1" applyFill="1" applyBorder="1" applyAlignment="1" applyProtection="1">
      <alignment horizontal="right"/>
    </xf>
    <xf numFmtId="2" fontId="0" fillId="0" borderId="0" xfId="0" applyNumberFormat="1" applyFill="1" applyBorder="1" applyAlignment="1" applyProtection="1">
      <alignment horizontal="right"/>
    </xf>
    <xf numFmtId="0" fontId="0" fillId="10" borderId="0" xfId="0" applyNumberFormat="1" applyFill="1" applyProtection="1"/>
    <xf numFmtId="0" fontId="0" fillId="10" borderId="0" xfId="0" applyFill="1" applyProtection="1"/>
    <xf numFmtId="2" fontId="0" fillId="10" borderId="0" xfId="0" applyNumberFormat="1" applyFill="1" applyProtection="1"/>
    <xf numFmtId="2" fontId="0" fillId="11" borderId="0" xfId="0" applyNumberFormat="1" applyFill="1" applyBorder="1" applyAlignment="1" applyProtection="1">
      <alignment horizontal="right"/>
    </xf>
    <xf numFmtId="0" fontId="0" fillId="11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</cellXfs>
  <cellStyles count="1">
    <cellStyle name="Normal" xfId="0" builtinId="0"/>
  </cellStyles>
  <dxfs count="13"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2E3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1"/>
  <sheetViews>
    <sheetView tabSelected="1" topLeftCell="A10" zoomScale="93" zoomScaleNormal="100" workbookViewId="0">
      <selection activeCell="G17" sqref="G17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3.33203125" style="3" customWidth="1"/>
    <col min="9" max="17" width="7.6640625" style="3" customWidth="1"/>
    <col min="18" max="16384" width="8.83203125" style="3"/>
  </cols>
  <sheetData>
    <row r="1" spans="1:17" x14ac:dyDescent="0.2">
      <c r="A1" s="1" t="s">
        <v>6</v>
      </c>
      <c r="B1" s="1"/>
      <c r="C1" s="58"/>
    </row>
    <row r="2" spans="1:17" s="21" customFormat="1" outlineLevel="1" x14ac:dyDescent="0.2">
      <c r="A2" s="21" t="s">
        <v>1</v>
      </c>
      <c r="C2" s="55" t="s">
        <v>93</v>
      </c>
    </row>
    <row r="3" spans="1:17" outlineLevel="1" x14ac:dyDescent="0.2">
      <c r="A3" s="21" t="s">
        <v>16</v>
      </c>
      <c r="B3" s="21"/>
      <c r="C3" s="56" t="s">
        <v>94</v>
      </c>
    </row>
    <row r="4" spans="1:17" outlineLevel="1" x14ac:dyDescent="0.2">
      <c r="A4" s="21" t="s">
        <v>11</v>
      </c>
      <c r="B4" s="21"/>
      <c r="C4" s="54" t="s">
        <v>41</v>
      </c>
    </row>
    <row r="5" spans="1:17" outlineLevel="1" x14ac:dyDescent="0.2">
      <c r="A5" s="21" t="s">
        <v>12</v>
      </c>
      <c r="B5" s="21"/>
      <c r="C5" s="54" t="s">
        <v>96</v>
      </c>
    </row>
    <row r="6" spans="1:17" x14ac:dyDescent="0.2">
      <c r="E6" s="3" t="s">
        <v>95</v>
      </c>
    </row>
    <row r="7" spans="1:17" x14ac:dyDescent="0.2">
      <c r="A7" s="1" t="s">
        <v>7</v>
      </c>
      <c r="B7" s="21"/>
    </row>
    <row r="8" spans="1:17" outlineLevel="1" x14ac:dyDescent="0.2">
      <c r="A8" s="22" t="s">
        <v>32</v>
      </c>
      <c r="B8" s="21"/>
    </row>
    <row r="10" spans="1:17" s="23" customFormat="1" ht="15" customHeight="1" x14ac:dyDescent="0.2">
      <c r="A10" s="1" t="s">
        <v>17</v>
      </c>
      <c r="B10" s="1"/>
      <c r="C10" s="2"/>
      <c r="D10" s="3"/>
      <c r="H10" s="24" t="s">
        <v>49</v>
      </c>
      <c r="I10" s="23">
        <v>10.5</v>
      </c>
      <c r="J10" s="24"/>
      <c r="K10" s="24"/>
      <c r="L10" s="24"/>
      <c r="M10" s="24"/>
      <c r="N10" s="24"/>
      <c r="O10" s="24"/>
      <c r="P10" s="24"/>
      <c r="Q10" s="24"/>
    </row>
    <row r="11" spans="1:17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23"/>
      <c r="F11" s="23"/>
      <c r="G11" s="23"/>
      <c r="H11" s="23"/>
      <c r="I11" s="9" t="s">
        <v>19</v>
      </c>
    </row>
    <row r="12" spans="1:17" outlineLevel="1" x14ac:dyDescent="0.2">
      <c r="A12" s="60" t="s">
        <v>28</v>
      </c>
      <c r="B12" s="20">
        <v>1</v>
      </c>
      <c r="C12" s="20">
        <f>0.75-C13</f>
        <v>0.41666666666666669</v>
      </c>
      <c r="D12" s="5">
        <f>C12/B12*90*0.95*_xlnm.extract</f>
        <v>35.625</v>
      </c>
      <c r="E12" s="25" t="s">
        <v>33</v>
      </c>
      <c r="F12" s="25"/>
      <c r="I12" s="6">
        <v>7</v>
      </c>
      <c r="L12" s="3" t="s">
        <v>35</v>
      </c>
    </row>
    <row r="13" spans="1:17" outlineLevel="1" x14ac:dyDescent="0.2">
      <c r="A13" s="61" t="s">
        <v>29</v>
      </c>
      <c r="B13" s="20">
        <v>1</v>
      </c>
      <c r="C13" s="63">
        <f>1/3</f>
        <v>0.33333333333333331</v>
      </c>
      <c r="D13" s="5">
        <f>C13/B13*90*0.95*_xlnm.extract</f>
        <v>28.5</v>
      </c>
      <c r="L13" s="3" t="s">
        <v>36</v>
      </c>
    </row>
    <row r="14" spans="1:17" outlineLevel="1" x14ac:dyDescent="0.2">
      <c r="A14" s="26"/>
      <c r="B14" s="26"/>
      <c r="C14" s="27"/>
      <c r="D14" s="5" t="str">
        <f>IFERROR(C14/B14*90*0.95*_xlnm.extract,"")</f>
        <v/>
      </c>
      <c r="I14" s="8" t="s">
        <v>20</v>
      </c>
      <c r="L14" s="3" t="s">
        <v>37</v>
      </c>
    </row>
    <row r="15" spans="1:17" outlineLevel="1" x14ac:dyDescent="0.2">
      <c r="A15" s="26" t="s">
        <v>10</v>
      </c>
      <c r="B15" s="26"/>
      <c r="C15" s="27"/>
      <c r="D15" s="5" t="str">
        <f>IFERROR(C15/B15*90*0.95*_xlnm.extract,"")</f>
        <v/>
      </c>
      <c r="E15" s="28"/>
      <c r="F15" s="28"/>
      <c r="H15" s="4" t="s">
        <v>30</v>
      </c>
      <c r="I15" s="59">
        <f>CEILING(I12/(90/10*(0.95)^3),1)</f>
        <v>1</v>
      </c>
    </row>
    <row r="16" spans="1:17" outlineLevel="1" x14ac:dyDescent="0.2">
      <c r="A16" s="26" t="s">
        <v>10</v>
      </c>
      <c r="B16" s="26"/>
      <c r="C16" s="27"/>
      <c r="D16" s="5" t="str">
        <f>IFERROR(C16/B16*90*0.95*_xlnm.extract,"")</f>
        <v/>
      </c>
      <c r="E16" s="28"/>
      <c r="F16" s="28"/>
      <c r="H16" s="4" t="s">
        <v>31</v>
      </c>
      <c r="I16" s="62">
        <f>CEILING(I12/(90/10*(0.95)^3),1)</f>
        <v>1</v>
      </c>
      <c r="J16" s="3" t="s">
        <v>40</v>
      </c>
    </row>
    <row r="17" spans="1:18" outlineLevel="1" x14ac:dyDescent="0.2">
      <c r="A17" s="26" t="s">
        <v>10</v>
      </c>
      <c r="B17" s="26"/>
      <c r="C17" s="27"/>
      <c r="D17" s="5" t="str">
        <f>IFERROR(C17/B17*90*0.95*_xlnm.extract,"")</f>
        <v/>
      </c>
      <c r="E17" s="28"/>
      <c r="F17" s="28"/>
      <c r="H17" s="4" t="s">
        <v>18</v>
      </c>
      <c r="I17" s="7">
        <f>CEILING(M21/3,1)</f>
        <v>1</v>
      </c>
    </row>
    <row r="18" spans="1:18" x14ac:dyDescent="0.2">
      <c r="A18" s="29"/>
      <c r="B18" s="57" t="s">
        <v>27</v>
      </c>
      <c r="C18" s="28"/>
      <c r="D18" s="29"/>
      <c r="G18" s="21"/>
    </row>
    <row r="19" spans="1:18" x14ac:dyDescent="0.2">
      <c r="A19" s="1" t="s">
        <v>8</v>
      </c>
      <c r="B19" s="1" t="s">
        <v>39</v>
      </c>
      <c r="I19" s="3" t="s">
        <v>38</v>
      </c>
      <c r="P19" s="3" t="s">
        <v>34</v>
      </c>
    </row>
    <row r="20" spans="1:18" s="24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30" t="s">
        <v>42</v>
      </c>
      <c r="J20" s="30" t="s">
        <v>43</v>
      </c>
      <c r="K20" s="30" t="s">
        <v>44</v>
      </c>
      <c r="L20" s="30" t="s">
        <v>52</v>
      </c>
      <c r="M20" s="31" t="s">
        <v>5</v>
      </c>
      <c r="N20" s="31" t="s">
        <v>4</v>
      </c>
      <c r="O20" s="31" t="s">
        <v>4</v>
      </c>
      <c r="P20" s="10" t="s">
        <v>9</v>
      </c>
      <c r="Q20" s="10"/>
      <c r="R20" s="10" t="s">
        <v>15</v>
      </c>
    </row>
    <row r="21" spans="1:18" outlineLevel="1" x14ac:dyDescent="0.2">
      <c r="A21" s="32">
        <v>1</v>
      </c>
      <c r="B21" s="33"/>
      <c r="C21" s="50" t="s">
        <v>45</v>
      </c>
      <c r="D21" s="51">
        <v>19</v>
      </c>
      <c r="E21" s="52">
        <v>3202</v>
      </c>
      <c r="F21" s="17">
        <f t="shared" ref="F21:F22" si="0">IFERROR(1/(E21*660/1000000/D21),"")</f>
        <v>8.9905930005867543</v>
      </c>
      <c r="G21" s="52">
        <v>1</v>
      </c>
      <c r="H21" s="52">
        <v>1</v>
      </c>
      <c r="I21" s="41">
        <v>0</v>
      </c>
      <c r="J21" s="42">
        <v>0</v>
      </c>
      <c r="K21" s="42">
        <v>0</v>
      </c>
      <c r="L21" s="42">
        <v>0</v>
      </c>
      <c r="M21" s="66">
        <f t="shared" ref="M21:M26" si="1">IFERROR((H21/((E21*660/1000000/D21)^-1)*10.5)*G21,"")</f>
        <v>1.1678873684210527</v>
      </c>
      <c r="N21" s="17"/>
      <c r="O21" s="67">
        <f t="shared" ref="O21:O26" si="2">IFERROR(10.5*G21-P21-M21-I21-J21-L21-K21,"")</f>
        <v>1.4571126315789473</v>
      </c>
      <c r="P21" s="68">
        <f t="shared" ref="P21:P26" si="3">10.5*G21-((90*0.95 - MM_sum/_xlnm.extract)/(90*0.95))*10.5*G21</f>
        <v>7.875</v>
      </c>
      <c r="Q21" s="72"/>
    </row>
    <row r="22" spans="1:18" outlineLevel="1" x14ac:dyDescent="0.2">
      <c r="A22" s="34">
        <v>2</v>
      </c>
      <c r="B22" s="35"/>
      <c r="C22" s="44" t="s">
        <v>46</v>
      </c>
      <c r="D22" s="45">
        <v>19</v>
      </c>
      <c r="E22" s="46">
        <v>3203</v>
      </c>
      <c r="F22" s="14">
        <f t="shared" si="0"/>
        <v>8.9877860717698361</v>
      </c>
      <c r="G22" s="46">
        <v>1</v>
      </c>
      <c r="H22" s="46">
        <v>0</v>
      </c>
      <c r="I22" s="47">
        <v>0</v>
      </c>
      <c r="J22" s="48">
        <f>0</f>
        <v>0</v>
      </c>
      <c r="K22" s="69">
        <f>7.88*0.333</f>
        <v>2.6240399999999999</v>
      </c>
      <c r="L22" s="69">
        <f>10.5-K22</f>
        <v>7.8759600000000001</v>
      </c>
      <c r="M22" s="14">
        <f t="shared" si="1"/>
        <v>0</v>
      </c>
      <c r="N22" s="14">
        <f>0</f>
        <v>0</v>
      </c>
      <c r="O22" s="15">
        <f t="shared" si="2"/>
        <v>-7.875</v>
      </c>
      <c r="P22" s="16">
        <f t="shared" si="3"/>
        <v>7.875</v>
      </c>
      <c r="Q22" s="72"/>
    </row>
    <row r="23" spans="1:18" outlineLevel="1" x14ac:dyDescent="0.2">
      <c r="A23" s="36">
        <v>3</v>
      </c>
      <c r="B23" s="37"/>
      <c r="C23" s="38" t="s">
        <v>48</v>
      </c>
      <c r="D23" s="39">
        <v>19</v>
      </c>
      <c r="E23" s="40">
        <v>3202</v>
      </c>
      <c r="F23" s="12">
        <f t="shared" ref="F23" si="4">IFERROR(1/(E23*660/1000000/D23),"")</f>
        <v>8.9905930005867543</v>
      </c>
      <c r="G23" s="40">
        <v>1</v>
      </c>
      <c r="H23" s="40">
        <v>0</v>
      </c>
      <c r="I23" s="41">
        <v>0</v>
      </c>
      <c r="J23" s="70">
        <f>7.88*0.416</f>
        <v>3.2780799999999997</v>
      </c>
      <c r="K23" s="70">
        <f>K22</f>
        <v>2.6240399999999999</v>
      </c>
      <c r="L23" s="42">
        <f>0</f>
        <v>0</v>
      </c>
      <c r="M23" s="12">
        <f t="shared" si="1"/>
        <v>0</v>
      </c>
      <c r="N23" s="71">
        <f>I10-(J23+K23)</f>
        <v>4.59788</v>
      </c>
      <c r="O23" s="13">
        <f t="shared" si="2"/>
        <v>-3.2771199999999996</v>
      </c>
      <c r="P23" s="19">
        <f t="shared" si="3"/>
        <v>7.875</v>
      </c>
      <c r="Q23" s="72"/>
      <c r="R23" s="64"/>
    </row>
    <row r="24" spans="1:18" outlineLevel="1" x14ac:dyDescent="0.2">
      <c r="A24" s="34">
        <v>4</v>
      </c>
      <c r="B24" s="43"/>
      <c r="C24" s="44" t="s">
        <v>50</v>
      </c>
      <c r="D24" s="45">
        <v>19</v>
      </c>
      <c r="E24" s="46">
        <v>3202</v>
      </c>
      <c r="F24" s="14">
        <f>IFERROR(1/(E24*660/1000000/D24),"")</f>
        <v>8.9905930005867543</v>
      </c>
      <c r="G24" s="46">
        <v>1</v>
      </c>
      <c r="H24" s="46">
        <v>1</v>
      </c>
      <c r="I24" s="47">
        <v>0</v>
      </c>
      <c r="J24" s="48">
        <v>0</v>
      </c>
      <c r="K24" s="69">
        <f>K23</f>
        <v>2.6240399999999999</v>
      </c>
      <c r="L24" s="69">
        <f>10.5-(K24+M24)</f>
        <v>6.708072631578947</v>
      </c>
      <c r="M24" s="69">
        <f t="shared" si="1"/>
        <v>1.1678873684210527</v>
      </c>
      <c r="N24" s="14">
        <f>I10-(K24+L24+M24)</f>
        <v>0</v>
      </c>
      <c r="O24" s="15">
        <f t="shared" si="2"/>
        <v>-7.8749999999999991</v>
      </c>
      <c r="P24" s="16">
        <f t="shared" si="3"/>
        <v>7.875</v>
      </c>
      <c r="Q24" s="72"/>
      <c r="R24" s="64"/>
    </row>
    <row r="25" spans="1:18" s="53" customFormat="1" outlineLevel="1" x14ac:dyDescent="0.2">
      <c r="A25" s="36">
        <v>5</v>
      </c>
      <c r="B25" s="49"/>
      <c r="C25" s="50" t="s">
        <v>51</v>
      </c>
      <c r="D25" s="51">
        <v>19</v>
      </c>
      <c r="E25" s="52">
        <v>3202</v>
      </c>
      <c r="F25" s="17">
        <f t="shared" ref="F25:F26" si="5">IFERROR(1/(E25*660/1000000/D25),"")</f>
        <v>8.9905930005867543</v>
      </c>
      <c r="G25" s="52">
        <v>1</v>
      </c>
      <c r="H25" s="52">
        <v>1</v>
      </c>
      <c r="I25" s="41">
        <v>0</v>
      </c>
      <c r="J25" s="70">
        <f>J23</f>
        <v>3.2780799999999997</v>
      </c>
      <c r="K25" s="42">
        <f>0</f>
        <v>0</v>
      </c>
      <c r="L25" s="70">
        <f>10.5-(J25+M25)</f>
        <v>6.0540326315789477</v>
      </c>
      <c r="M25" s="70">
        <f t="shared" si="1"/>
        <v>1.1678873684210527</v>
      </c>
      <c r="N25" s="17">
        <f>0</f>
        <v>0</v>
      </c>
      <c r="O25" s="18">
        <f t="shared" si="2"/>
        <v>-7.875</v>
      </c>
      <c r="P25" s="19">
        <f t="shared" si="3"/>
        <v>7.875</v>
      </c>
      <c r="Q25" s="72"/>
    </row>
    <row r="26" spans="1:18" outlineLevel="1" x14ac:dyDescent="0.2">
      <c r="A26" s="36">
        <v>6</v>
      </c>
      <c r="B26" s="49"/>
      <c r="C26" s="50"/>
      <c r="D26" s="51"/>
      <c r="E26" s="52"/>
      <c r="F26" s="17" t="str">
        <f t="shared" si="5"/>
        <v/>
      </c>
      <c r="G26" s="52"/>
      <c r="H26" s="52"/>
      <c r="I26" s="41">
        <v>0</v>
      </c>
      <c r="J26" s="42">
        <v>0</v>
      </c>
      <c r="K26" s="42">
        <v>0</v>
      </c>
      <c r="L26" s="42">
        <v>0</v>
      </c>
      <c r="M26" s="17" t="str">
        <f t="shared" si="1"/>
        <v/>
      </c>
      <c r="N26" s="17"/>
      <c r="O26" s="18" t="str">
        <f t="shared" si="2"/>
        <v/>
      </c>
      <c r="P26" s="19">
        <f t="shared" si="3"/>
        <v>0</v>
      </c>
      <c r="Q26" s="72"/>
      <c r="R26" s="65"/>
    </row>
    <row r="27" spans="1:18" outlineLevel="1" x14ac:dyDescent="0.2">
      <c r="A27" s="78"/>
      <c r="B27" s="79"/>
      <c r="C27" s="80"/>
      <c r="D27" s="81"/>
      <c r="E27" s="82"/>
      <c r="F27" s="72"/>
      <c r="G27" s="82"/>
      <c r="H27" s="82"/>
      <c r="I27" s="72"/>
      <c r="J27" s="72"/>
      <c r="K27" s="72"/>
      <c r="L27" s="72"/>
      <c r="M27" s="72"/>
      <c r="N27" s="72"/>
      <c r="O27" s="72"/>
      <c r="P27" s="72"/>
      <c r="Q27" s="72"/>
    </row>
    <row r="28" spans="1:18" outlineLevel="1" x14ac:dyDescent="0.2">
      <c r="A28" s="78"/>
      <c r="B28" s="79"/>
      <c r="C28" s="80"/>
      <c r="D28" s="82"/>
      <c r="E28" s="82"/>
      <c r="F28" s="72"/>
      <c r="G28" s="82"/>
      <c r="H28" s="82"/>
      <c r="I28" s="72"/>
      <c r="J28" s="72"/>
      <c r="K28" s="72"/>
      <c r="L28" s="72"/>
      <c r="M28" s="72"/>
      <c r="N28" s="72"/>
      <c r="O28" s="72"/>
      <c r="P28" s="72"/>
      <c r="Q28" s="72"/>
    </row>
    <row r="29" spans="1:18" outlineLevel="1" x14ac:dyDescent="0.2">
      <c r="A29" s="78"/>
      <c r="B29" s="21" t="s">
        <v>53</v>
      </c>
      <c r="E29" s="3" t="s">
        <v>56</v>
      </c>
      <c r="F29" s="3">
        <v>10</v>
      </c>
      <c r="G29" s="3" t="s">
        <v>55</v>
      </c>
      <c r="H29" s="21" t="s">
        <v>68</v>
      </c>
      <c r="L29" s="72"/>
      <c r="M29" s="72"/>
      <c r="N29" s="72"/>
      <c r="O29" s="72"/>
      <c r="P29" s="72"/>
      <c r="Q29" s="72"/>
    </row>
    <row r="30" spans="1:18" outlineLevel="1" x14ac:dyDescent="0.2">
      <c r="A30" s="78"/>
      <c r="B30" s="3" t="s">
        <v>54</v>
      </c>
      <c r="C30" s="65">
        <f>L22+L24+L25</f>
        <v>20.638065263157895</v>
      </c>
      <c r="D30" s="3" t="s">
        <v>55</v>
      </c>
      <c r="H30" s="3" t="s">
        <v>69</v>
      </c>
      <c r="I30" s="76">
        <v>0.5</v>
      </c>
      <c r="J30" s="77" t="s">
        <v>70</v>
      </c>
      <c r="K30" s="3" t="s">
        <v>91</v>
      </c>
      <c r="L30" s="72"/>
      <c r="M30" s="72"/>
      <c r="N30" s="72"/>
      <c r="O30" s="72"/>
      <c r="P30" s="72"/>
      <c r="Q30" s="72"/>
    </row>
    <row r="31" spans="1:18" outlineLevel="1" x14ac:dyDescent="0.2">
      <c r="A31" s="78"/>
      <c r="B31" s="3" t="s">
        <v>63</v>
      </c>
      <c r="C31" s="65">
        <v>40</v>
      </c>
      <c r="D31" s="3" t="s">
        <v>55</v>
      </c>
      <c r="E31" s="3" t="s">
        <v>64</v>
      </c>
      <c r="H31" s="3" t="s">
        <v>71</v>
      </c>
      <c r="I31" s="76">
        <f>I30*5</f>
        <v>2.5</v>
      </c>
      <c r="J31" s="77" t="s">
        <v>55</v>
      </c>
      <c r="K31" s="3" t="s">
        <v>90</v>
      </c>
      <c r="L31" s="72"/>
      <c r="M31" s="72"/>
      <c r="N31" s="72"/>
      <c r="O31" s="72"/>
      <c r="P31" s="72"/>
      <c r="Q31" s="72"/>
    </row>
    <row r="32" spans="1:18" outlineLevel="1" x14ac:dyDescent="0.2">
      <c r="A32" s="78"/>
      <c r="B32" s="3" t="s">
        <v>57</v>
      </c>
      <c r="C32" s="2">
        <v>8</v>
      </c>
      <c r="D32" s="3" t="s">
        <v>58</v>
      </c>
      <c r="E32" s="3" t="s">
        <v>65</v>
      </c>
      <c r="H32" s="64" t="s">
        <v>72</v>
      </c>
      <c r="I32" s="76">
        <f>I30</f>
        <v>0.5</v>
      </c>
      <c r="J32" s="77" t="s">
        <v>55</v>
      </c>
      <c r="K32" s="3" t="s">
        <v>89</v>
      </c>
      <c r="L32" s="72"/>
      <c r="M32" s="72"/>
      <c r="N32" s="72"/>
      <c r="O32" s="72"/>
      <c r="P32" s="72"/>
      <c r="Q32" s="72"/>
    </row>
    <row r="33" spans="1:17" outlineLevel="1" x14ac:dyDescent="0.2">
      <c r="A33" s="78"/>
      <c r="B33" s="3" t="s">
        <v>59</v>
      </c>
      <c r="C33" s="2">
        <v>7</v>
      </c>
      <c r="D33" s="3" t="s">
        <v>58</v>
      </c>
      <c r="E33" s="3" t="s">
        <v>66</v>
      </c>
      <c r="L33" s="72"/>
      <c r="M33" s="72"/>
      <c r="N33" s="72"/>
      <c r="O33" s="72"/>
      <c r="P33" s="72"/>
      <c r="Q33" s="72"/>
    </row>
    <row r="34" spans="1:17" outlineLevel="1" x14ac:dyDescent="0.2">
      <c r="A34" s="78"/>
      <c r="B34" s="3" t="s">
        <v>60</v>
      </c>
      <c r="C34" s="2">
        <v>7.5</v>
      </c>
      <c r="D34" s="3" t="s">
        <v>58</v>
      </c>
      <c r="E34" s="64" t="s">
        <v>67</v>
      </c>
      <c r="H34" s="3" t="s">
        <v>73</v>
      </c>
      <c r="I34" s="42">
        <v>30</v>
      </c>
      <c r="J34" s="3" t="s">
        <v>55</v>
      </c>
      <c r="L34" s="72"/>
      <c r="M34" s="72"/>
      <c r="N34" s="72"/>
      <c r="O34" s="72"/>
      <c r="P34" s="72"/>
      <c r="Q34" s="72"/>
    </row>
    <row r="35" spans="1:17" outlineLevel="1" x14ac:dyDescent="0.2">
      <c r="A35" s="78"/>
      <c r="B35" s="3" t="s">
        <v>61</v>
      </c>
      <c r="C35" s="73">
        <f>C31*(C34/(C32+C33))</f>
        <v>20</v>
      </c>
      <c r="D35" s="74" t="s">
        <v>55</v>
      </c>
      <c r="E35" s="64" t="s">
        <v>92</v>
      </c>
      <c r="H35" s="3" t="s">
        <v>74</v>
      </c>
      <c r="I35" s="42">
        <v>5</v>
      </c>
      <c r="J35" s="3" t="s">
        <v>74</v>
      </c>
      <c r="L35" s="72"/>
      <c r="M35" s="72"/>
      <c r="N35" s="72"/>
      <c r="O35" s="72"/>
      <c r="P35" s="72"/>
      <c r="Q35" s="72"/>
    </row>
    <row r="36" spans="1:17" outlineLevel="1" x14ac:dyDescent="0.2">
      <c r="A36" s="78"/>
      <c r="B36" s="3" t="s">
        <v>62</v>
      </c>
      <c r="C36" s="73">
        <f>C35</f>
        <v>20</v>
      </c>
      <c r="D36" s="74" t="s">
        <v>55</v>
      </c>
      <c r="H36" s="3" t="s">
        <v>75</v>
      </c>
      <c r="I36" s="42">
        <v>3</v>
      </c>
      <c r="J36" s="3" t="s">
        <v>76</v>
      </c>
      <c r="L36" s="72"/>
      <c r="M36" s="72"/>
      <c r="N36" s="72"/>
      <c r="O36" s="72"/>
      <c r="P36" s="72"/>
      <c r="Q36" s="72"/>
    </row>
    <row r="37" spans="1:17" outlineLevel="1" x14ac:dyDescent="0.2">
      <c r="A37" s="78"/>
      <c r="H37" s="3" t="s">
        <v>77</v>
      </c>
      <c r="I37" s="3">
        <f>I34*I35*I36</f>
        <v>450</v>
      </c>
      <c r="J37" s="3" t="s">
        <v>55</v>
      </c>
      <c r="L37" s="72"/>
      <c r="M37" s="72"/>
      <c r="N37" s="72"/>
      <c r="O37" s="72"/>
      <c r="P37" s="72"/>
      <c r="Q37" s="72"/>
    </row>
    <row r="38" spans="1:17" outlineLevel="1" x14ac:dyDescent="0.2">
      <c r="A38" s="78"/>
      <c r="L38" s="72"/>
      <c r="M38" s="72"/>
      <c r="N38" s="72"/>
      <c r="O38" s="72"/>
      <c r="P38" s="72"/>
      <c r="Q38" s="72"/>
    </row>
    <row r="39" spans="1:17" outlineLevel="1" x14ac:dyDescent="0.2">
      <c r="A39" s="78"/>
      <c r="B39" s="21" t="s">
        <v>78</v>
      </c>
      <c r="C39" s="3"/>
      <c r="F39" s="3" t="s">
        <v>71</v>
      </c>
      <c r="L39" s="72"/>
      <c r="M39" s="72"/>
      <c r="N39" s="72"/>
      <c r="O39" s="72"/>
      <c r="P39" s="72"/>
      <c r="Q39" s="72"/>
    </row>
    <row r="40" spans="1:17" outlineLevel="1" x14ac:dyDescent="0.2">
      <c r="A40" s="78"/>
      <c r="B40" s="3" t="s">
        <v>79</v>
      </c>
      <c r="C40" s="65">
        <f>I30</f>
        <v>0.5</v>
      </c>
      <c r="D40" s="3" t="s">
        <v>70</v>
      </c>
      <c r="F40" s="3" t="s">
        <v>84</v>
      </c>
      <c r="G40" s="3">
        <v>3</v>
      </c>
      <c r="H40" s="3" t="s">
        <v>85</v>
      </c>
      <c r="L40" s="72"/>
      <c r="M40" s="72"/>
      <c r="N40" s="72"/>
      <c r="O40" s="72"/>
      <c r="P40" s="72"/>
      <c r="Q40" s="72"/>
    </row>
    <row r="41" spans="1:17" outlineLevel="1" x14ac:dyDescent="0.2">
      <c r="A41" s="78"/>
      <c r="B41" s="3" t="s">
        <v>80</v>
      </c>
      <c r="C41" s="3">
        <f>C40/5</f>
        <v>0.1</v>
      </c>
      <c r="D41" s="3" t="s">
        <v>70</v>
      </c>
      <c r="F41" s="3" t="s">
        <v>47</v>
      </c>
      <c r="G41" s="3">
        <v>100</v>
      </c>
      <c r="H41" s="3" t="s">
        <v>55</v>
      </c>
      <c r="L41" s="72"/>
      <c r="M41" s="72"/>
      <c r="N41" s="72"/>
      <c r="O41" s="72"/>
      <c r="P41" s="72"/>
      <c r="Q41" s="72"/>
    </row>
    <row r="42" spans="1:17" outlineLevel="1" x14ac:dyDescent="0.2">
      <c r="A42" s="78"/>
      <c r="B42" s="3" t="s">
        <v>81</v>
      </c>
      <c r="C42" s="65">
        <f>C40-C41</f>
        <v>0.4</v>
      </c>
      <c r="D42" s="3" t="s">
        <v>70</v>
      </c>
      <c r="F42" s="3" t="s">
        <v>86</v>
      </c>
      <c r="G42" s="75">
        <f>I31</f>
        <v>2.5</v>
      </c>
      <c r="H42" s="74" t="s">
        <v>55</v>
      </c>
      <c r="L42" s="72"/>
      <c r="M42" s="72"/>
      <c r="N42" s="72"/>
      <c r="O42" s="72"/>
      <c r="P42" s="72"/>
      <c r="Q42" s="72"/>
    </row>
    <row r="43" spans="1:17" outlineLevel="1" x14ac:dyDescent="0.2">
      <c r="A43" s="78"/>
      <c r="B43" s="74" t="str">
        <f>B41</f>
        <v>5x det assay vol</v>
      </c>
      <c r="C43" s="74">
        <f>C41*1000</f>
        <v>100</v>
      </c>
      <c r="D43" s="74" t="s">
        <v>55</v>
      </c>
      <c r="F43" s="3" t="s">
        <v>87</v>
      </c>
      <c r="G43" s="3">
        <v>1</v>
      </c>
      <c r="H43" s="3" t="s">
        <v>85</v>
      </c>
      <c r="L43" s="72"/>
      <c r="M43" s="72"/>
      <c r="N43" s="72"/>
      <c r="O43" s="72"/>
      <c r="P43" s="72"/>
      <c r="Q43" s="72"/>
    </row>
    <row r="44" spans="1:17" outlineLevel="1" x14ac:dyDescent="0.2">
      <c r="A44" s="78"/>
      <c r="B44" s="74" t="s">
        <v>81</v>
      </c>
      <c r="C44" s="74">
        <f>C42*1000</f>
        <v>400</v>
      </c>
      <c r="D44" s="74" t="s">
        <v>55</v>
      </c>
      <c r="F44" s="3" t="s">
        <v>47</v>
      </c>
      <c r="G44" s="3">
        <f>G41/G40</f>
        <v>33.333333333333336</v>
      </c>
      <c r="H44" s="3" t="s">
        <v>55</v>
      </c>
      <c r="L44" s="72"/>
      <c r="M44" s="72"/>
      <c r="N44" s="72"/>
      <c r="O44" s="72"/>
      <c r="P44" s="72"/>
      <c r="Q44" s="72"/>
    </row>
    <row r="45" spans="1:17" outlineLevel="1" x14ac:dyDescent="0.2">
      <c r="A45" s="78"/>
      <c r="B45" s="74" t="s">
        <v>82</v>
      </c>
      <c r="C45" s="73">
        <f>17*C40</f>
        <v>8.5</v>
      </c>
      <c r="D45" s="74" t="s">
        <v>55</v>
      </c>
      <c r="F45" s="3" t="s">
        <v>88</v>
      </c>
      <c r="L45" s="72"/>
      <c r="M45" s="72"/>
      <c r="N45" s="72"/>
      <c r="O45" s="72"/>
      <c r="P45" s="72"/>
      <c r="Q45" s="72"/>
    </row>
    <row r="46" spans="1:17" outlineLevel="1" x14ac:dyDescent="0.2">
      <c r="A46" s="78"/>
      <c r="B46" s="74" t="s">
        <v>83</v>
      </c>
      <c r="L46" s="72"/>
      <c r="M46" s="72"/>
      <c r="N46" s="72"/>
      <c r="O46" s="72"/>
      <c r="P46" s="72"/>
      <c r="Q46" s="72"/>
    </row>
    <row r="47" spans="1:17" outlineLevel="1" x14ac:dyDescent="0.2">
      <c r="A47" s="78"/>
      <c r="B47" s="78"/>
      <c r="C47" s="80"/>
      <c r="D47" s="82"/>
      <c r="E47" s="82"/>
      <c r="F47" s="72"/>
      <c r="G47" s="82"/>
      <c r="H47" s="82"/>
      <c r="I47" s="72"/>
      <c r="J47" s="72"/>
      <c r="K47" s="72"/>
      <c r="L47" s="72"/>
      <c r="M47" s="72"/>
      <c r="N47" s="72"/>
      <c r="O47" s="72"/>
      <c r="P47" s="72"/>
      <c r="Q47" s="72"/>
    </row>
    <row r="48" spans="1:17" outlineLevel="1" x14ac:dyDescent="0.2">
      <c r="A48" s="78"/>
      <c r="B48" s="78"/>
      <c r="C48" s="80"/>
      <c r="D48" s="82"/>
      <c r="E48" s="82"/>
      <c r="F48" s="72"/>
      <c r="G48" s="82"/>
      <c r="H48" s="82"/>
      <c r="I48" s="72"/>
      <c r="J48" s="72"/>
      <c r="K48" s="72"/>
      <c r="L48" s="72"/>
      <c r="M48" s="72"/>
      <c r="N48" s="72"/>
      <c r="O48" s="72"/>
      <c r="P48" s="72"/>
      <c r="Q48" s="72"/>
    </row>
    <row r="49" spans="1:17" outlineLevel="1" x14ac:dyDescent="0.2">
      <c r="A49" s="78"/>
      <c r="B49" s="78"/>
      <c r="C49" s="80"/>
      <c r="D49" s="82"/>
      <c r="E49" s="82"/>
      <c r="F49" s="72"/>
      <c r="G49" s="82"/>
      <c r="H49" s="82"/>
      <c r="I49" s="72"/>
      <c r="J49" s="72"/>
      <c r="K49" s="72"/>
      <c r="L49" s="72"/>
      <c r="M49" s="72"/>
      <c r="N49" s="72"/>
      <c r="O49" s="72"/>
      <c r="P49" s="72"/>
      <c r="Q49" s="72"/>
    </row>
    <row r="50" spans="1:17" outlineLevel="1" x14ac:dyDescent="0.2">
      <c r="A50" s="78"/>
      <c r="B50" s="78"/>
      <c r="C50" s="80"/>
      <c r="D50" s="82"/>
      <c r="E50" s="82"/>
      <c r="F50" s="72"/>
      <c r="G50" s="82"/>
      <c r="H50" s="82"/>
      <c r="I50" s="72"/>
      <c r="J50" s="72"/>
      <c r="K50" s="72"/>
      <c r="L50" s="72"/>
      <c r="M50" s="72"/>
      <c r="N50" s="72"/>
      <c r="O50" s="72"/>
      <c r="P50" s="72"/>
      <c r="Q50" s="72"/>
    </row>
    <row r="51" spans="1:17" ht="16.5" customHeight="1" x14ac:dyDescent="0.2"/>
  </sheetData>
  <sheetProtection selectLockedCells="1"/>
  <dataConsolidate/>
  <conditionalFormatting sqref="Q21:Q22 I23:Q50">
    <cfRule type="cellIs" dxfId="12" priority="21" operator="equal">
      <formula>0</formula>
    </cfRule>
    <cfRule type="cellIs" dxfId="11" priority="22" operator="lessThan">
      <formula>0.5</formula>
    </cfRule>
  </conditionalFormatting>
  <conditionalFormatting sqref="D12:D13">
    <cfRule type="cellIs" dxfId="10" priority="16" operator="equal">
      <formula>0</formula>
    </cfRule>
    <cfRule type="cellIs" dxfId="9" priority="17" operator="lessThan">
      <formula>0.5</formula>
    </cfRule>
  </conditionalFormatting>
  <conditionalFormatting sqref="D12:D13">
    <cfRule type="expression" dxfId="8" priority="15">
      <formula>(MM_sum/_xlnm.extract &gt; 85.5)</formula>
    </cfRule>
  </conditionalFormatting>
  <conditionalFormatting sqref="D14">
    <cfRule type="cellIs" dxfId="7" priority="13" operator="equal">
      <formula>0</formula>
    </cfRule>
    <cfRule type="cellIs" dxfId="6" priority="14" operator="lessThan">
      <formula>0.5</formula>
    </cfRule>
  </conditionalFormatting>
  <conditionalFormatting sqref="D14">
    <cfRule type="expression" dxfId="5" priority="12">
      <formula>(MM_sum/_xlnm.extract &gt; 85.5)</formula>
    </cfRule>
  </conditionalFormatting>
  <conditionalFormatting sqref="D15:D17">
    <cfRule type="cellIs" dxfId="4" priority="4" operator="equal">
      <formula>0</formula>
    </cfRule>
    <cfRule type="cellIs" dxfId="3" priority="5" operator="lessThan">
      <formula>0.5</formula>
    </cfRule>
  </conditionalFormatting>
  <conditionalFormatting sqref="D15:D17">
    <cfRule type="expression" dxfId="2" priority="3">
      <formula>(MM_sum/_xlnm.extract &gt; 85.5)</formula>
    </cfRule>
  </conditionalFormatting>
  <conditionalFormatting sqref="I21:P22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1:Q26 A1:A5 Q28:Q50 Q20:R20" xr:uid="{00000000-0002-0000-0000-000000000000}">
      <formula1>""""""</formula1>
    </dataValidation>
    <dataValidation type="custom" allowBlank="1" showInputMessage="1" sqref="Q27 A10:P50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65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2020-10-20T20:09:38Z</cp:lastPrinted>
  <dcterms:created xsi:type="dcterms:W3CDTF">2012-06-15T21:22:50Z</dcterms:created>
  <dcterms:modified xsi:type="dcterms:W3CDTF">2020-10-23T21:59:43Z</dcterms:modified>
</cp:coreProperties>
</file>