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23_exp8_controls_gfp_atp/"/>
    </mc:Choice>
  </mc:AlternateContent>
  <xr:revisionPtr revIDLastSave="0" documentId="13_ncr:1_{6B303B25-3DD9-2D4C-A7ED-1F6E9B2380F8}" xr6:coauthVersionLast="45" xr6:coauthVersionMax="45" xr10:uidLastSave="{00000000-0000-0000-0000-000000000000}"/>
  <bookViews>
    <workbookView xWindow="422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8" i="2" l="1"/>
  <c r="D35" i="2"/>
  <c r="M38" i="2" l="1"/>
  <c r="D37" i="2"/>
  <c r="W30" i="2"/>
  <c r="W31" i="2" s="1"/>
  <c r="M40" i="2"/>
  <c r="M21" i="2"/>
  <c r="M24" i="2"/>
  <c r="M25" i="2"/>
  <c r="N21" i="2"/>
  <c r="W24" i="2"/>
  <c r="M30" i="2" s="1"/>
  <c r="N23" i="2"/>
  <c r="D34" i="2"/>
  <c r="N22" i="2"/>
  <c r="N25" i="2"/>
  <c r="G33" i="2" l="1"/>
  <c r="H30" i="2"/>
  <c r="H31" i="2" s="1"/>
  <c r="H33" i="2" s="1"/>
  <c r="D39" i="2"/>
  <c r="D38" i="2"/>
  <c r="K25" i="2"/>
  <c r="M22" i="2"/>
  <c r="F22" i="2"/>
  <c r="F21" i="2"/>
  <c r="F25" i="2"/>
  <c r="H35" i="2" l="1"/>
  <c r="H32" i="2"/>
  <c r="H34" i="2" s="1"/>
  <c r="C13" i="2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E13" i="2"/>
  <c r="K21" i="2" s="1"/>
  <c r="M44" i="2" s="1"/>
  <c r="L21" i="2" l="1"/>
  <c r="M43" i="2"/>
  <c r="K22" i="2"/>
  <c r="K23" i="2" s="1"/>
  <c r="K24" i="2" s="1"/>
  <c r="J25" i="2"/>
  <c r="L25" i="2" s="1"/>
  <c r="J23" i="2"/>
  <c r="O21" i="2"/>
  <c r="L22" i="2"/>
  <c r="L23" i="2" l="1"/>
  <c r="O23" i="2" s="1"/>
  <c r="L24" i="2"/>
  <c r="N24" i="2"/>
  <c r="O22" i="2"/>
  <c r="O24" i="2"/>
  <c r="O25" i="2"/>
</calcChain>
</file>

<file path=xl/sharedStrings.xml><?xml version="1.0" encoding="utf-8"?>
<sst xmlns="http://schemas.openxmlformats.org/spreadsheetml/2006/main" count="221" uniqueCount="143">
  <si>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</si>
  <si>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</si>
  <si>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</si>
  <si>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</si>
  <si>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</si>
  <si>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</si>
  <si>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</si>
  <si>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</si>
  <si>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</si>
  <si>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</si>
  <si>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</si>
  <si>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</si>
  <si>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</si>
  <si>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</si>
  <si>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</si>
  <si>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</si>
  <si>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</si>
  <si>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</si>
  <si>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</si>
  <si>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</si>
  <si>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</si>
  <si>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</si>
  <si>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</si>
  <si>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</si>
  <si>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</si>
  <si>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</si>
  <si>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</si>
  <si>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</si>
  <si>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</si>
  <si>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</si>
  <si>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</si>
  <si>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</si>
  <si>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</si>
  <si>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</si>
  <si>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</si>
  <si>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</si>
  <si>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</si>
  <si>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</si>
  <si>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</si>
  <si>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</si>
  <si>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</si>
  <si>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</si>
  <si>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</si>
  <si>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</si>
  <si>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</si>
  <si>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</si>
  <si>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</si>
  <si>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uL</t>
  </si>
  <si>
    <t>Procedure</t>
  </si>
  <si>
    <t>1) thaw and prepare atp assay RM</t>
  </si>
  <si>
    <t>Calc ATP ASSAY RM</t>
  </si>
  <si>
    <t>1x ATP Det Assay</t>
  </si>
  <si>
    <t>mL</t>
  </si>
  <si>
    <t>D-Luciferin</t>
  </si>
  <si>
    <t>Luciferase</t>
  </si>
  <si>
    <t>wells</t>
  </si>
  <si>
    <t>1x det assay vol</t>
  </si>
  <si>
    <t>5x det assay vol</t>
  </si>
  <si>
    <t>water vol</t>
  </si>
  <si>
    <t>DTT</t>
  </si>
  <si>
    <t>from yday</t>
  </si>
  <si>
    <t>make</t>
  </si>
  <si>
    <t>Ankita R</t>
  </si>
  <si>
    <t>s</t>
  </si>
  <si>
    <t>GFP +ve control DNA</t>
  </si>
  <si>
    <t>replicates</t>
  </si>
  <si>
    <t>time points</t>
  </si>
  <si>
    <t>old Water (uL)</t>
  </si>
  <si>
    <t>2) add proper items to well</t>
  </si>
  <si>
    <t>3) wait, aliquot out, measure</t>
  </si>
  <si>
    <t>30 uL of RM to 3 uL of sample</t>
  </si>
  <si>
    <t>vol RM / well</t>
  </si>
  <si>
    <t>experiments</t>
  </si>
  <si>
    <t>types</t>
  </si>
  <si>
    <t>reps</t>
  </si>
  <si>
    <t>times</t>
  </si>
  <si>
    <t>total vol RM</t>
  </si>
  <si>
    <t>Make RM</t>
  </si>
  <si>
    <t>Updated Calcs for Exp Wells</t>
  </si>
  <si>
    <t>total vol each exp</t>
  </si>
  <si>
    <t>rounded total vol</t>
  </si>
  <si>
    <t>total vol pos control</t>
  </si>
  <si>
    <t>total vol buffer</t>
  </si>
  <si>
    <t>total vol extract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</si>
  <si>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</si>
  <si>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</si>
  <si>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</si>
  <si>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</si>
  <si>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</si>
  <si>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</si>
  <si>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</si>
  <si>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</si>
  <si>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</si>
  <si>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</si>
  <si>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</si>
  <si>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</si>
  <si>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</si>
  <si>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</si>
  <si>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</si>
  <si>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</si>
  <si>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</si>
  <si>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</si>
  <si>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</si>
  <si>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</si>
  <si>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</si>
  <si>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</si>
  <si>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e1</t>
  </si>
  <si>
    <t>e2</t>
  </si>
  <si>
    <t>e3</t>
  </si>
  <si>
    <t>e4</t>
  </si>
  <si>
    <t>e5</t>
  </si>
  <si>
    <t>time pt 2</t>
  </si>
  <si>
    <t>time pt 3</t>
  </si>
  <si>
    <t>time pt 4</t>
  </si>
  <si>
    <t>time pt 5</t>
  </si>
  <si>
    <t>time pt 6</t>
  </si>
  <si>
    <t>time pt 7</t>
  </si>
  <si>
    <t xml:space="preserve">time pt 8 </t>
  </si>
  <si>
    <t>For exp 1:</t>
  </si>
  <si>
    <t>vol / pink well</t>
  </si>
  <si>
    <t>num pink wells</t>
  </si>
  <si>
    <t>total vol need</t>
  </si>
  <si>
    <t xml:space="preserve">uL </t>
  </si>
  <si>
    <t>for all exp:</t>
  </si>
  <si>
    <t>total num wells</t>
  </si>
  <si>
    <t>rm/well</t>
  </si>
  <si>
    <t>total rm</t>
  </si>
  <si>
    <t>in tube</t>
  </si>
  <si>
    <t>vol/tub pos control</t>
  </si>
  <si>
    <t>total tubes pos control</t>
  </si>
  <si>
    <t>tubes</t>
  </si>
  <si>
    <t>make 3 sets of lhs rxn</t>
  </si>
  <si>
    <t>add 2 mL of this to RM</t>
  </si>
  <si>
    <t>Need to make 3 sets of above nums</t>
  </si>
  <si>
    <t>total rm round</t>
  </si>
  <si>
    <t>Time Points</t>
  </si>
  <si>
    <t>setup</t>
  </si>
  <si>
    <t>tmrw</t>
  </si>
  <si>
    <t>10/23/20 2PM - 10/24/2020 6PM</t>
  </si>
  <si>
    <t>GFP and ATP Controls with DNA Reporter Plasmid</t>
  </si>
  <si>
    <t>Same thing as other experiment but more stuff so can get day 2 time points</t>
  </si>
  <si>
    <t>4) cover with tape overnight</t>
  </si>
  <si>
    <t>make sure to get GFP + ATP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</si>
</sst>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E3E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9EBF6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NumberFormat="1" applyFill="1" applyProtection="1"/>
    <xf numFmtId="0" fontId="0" fillId="9" borderId="0" xfId="0" applyFill="1" applyProtection="1"/>
    <xf numFmtId="2" fontId="0" fillId="10" borderId="0" xfId="0" applyNumberFormat="1" applyFill="1" applyBorder="1" applyAlignment="1" applyProtection="1">
      <alignment horizontal="right"/>
    </xf>
    <xf numFmtId="0" fontId="0" fillId="10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1" borderId="2" xfId="0" applyNumberFormat="1" applyFont="1" applyFill="1" applyBorder="1" applyAlignment="1" applyProtection="1">
      <alignment horizontal="right"/>
    </xf>
    <xf numFmtId="2" fontId="9" fillId="11" borderId="5" xfId="0" applyNumberFormat="1" applyFont="1" applyFill="1" applyBorder="1" applyAlignment="1" applyProtection="1">
      <alignment horizontal="right"/>
    </xf>
    <xf numFmtId="2" fontId="9" fillId="11" borderId="7" xfId="0" applyNumberFormat="1" applyFont="1" applyFill="1" applyBorder="1" applyAlignment="1" applyProtection="1">
      <alignment horizontal="right"/>
    </xf>
    <xf numFmtId="0" fontId="1" fillId="11" borderId="0" xfId="0" applyFont="1" applyFill="1" applyAlignment="1" applyProtection="1">
      <alignment horizontal="center" wrapText="1"/>
    </xf>
    <xf numFmtId="2" fontId="0" fillId="11" borderId="9" xfId="0" applyNumberFormat="1" applyFill="1" applyBorder="1" applyAlignment="1" applyProtection="1">
      <alignment horizontal="right"/>
    </xf>
    <xf numFmtId="2" fontId="0" fillId="11" borderId="8" xfId="0" applyNumberFormat="1" applyFill="1" applyBorder="1" applyAlignment="1" applyProtection="1">
      <alignment horizontal="right"/>
    </xf>
    <xf numFmtId="0" fontId="10" fillId="11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0" fontId="0" fillId="12" borderId="0" xfId="0" applyFill="1" applyProtection="1"/>
    <xf numFmtId="2" fontId="0" fillId="0" borderId="0" xfId="0" applyNumberFormat="1" applyFill="1" applyBorder="1" applyAlignment="1" applyProtection="1">
      <alignment horizontal="left"/>
    </xf>
    <xf numFmtId="0" fontId="0" fillId="13" borderId="0" xfId="0" applyFill="1" applyProtection="1"/>
    <xf numFmtId="0" fontId="0" fillId="13" borderId="0" xfId="0" applyFill="1" applyBorder="1" applyProtection="1"/>
    <xf numFmtId="18" fontId="0" fillId="0" borderId="0" xfId="0" applyNumberFormat="1" applyProtection="1"/>
    <xf numFmtId="18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horizontal="lef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zoomScale="89" zoomScaleNormal="100" workbookViewId="0">
      <selection activeCell="L11" sqref="L11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62</v>
      </c>
      <c r="G2" s="16" t="s">
        <v>140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138</v>
      </c>
      <c r="G3" s="16" t="s">
        <v>142</v>
      </c>
      <c r="S3" s="3" t="s">
        <v>84</v>
      </c>
      <c r="T3" s="24"/>
      <c r="U3" s="24"/>
      <c r="V3" s="24"/>
      <c r="AJ3" s="24"/>
      <c r="AK3" s="24"/>
      <c r="AL3" s="24"/>
      <c r="AM3" s="24"/>
      <c r="AN3" s="24"/>
      <c r="AO3" s="63" t="s">
        <v>100</v>
      </c>
      <c r="AP3" s="63" t="s">
        <v>100</v>
      </c>
      <c r="AQ3" s="63" t="s">
        <v>100</v>
      </c>
    </row>
    <row r="4" spans="1:43" outlineLevel="1" x14ac:dyDescent="0.2">
      <c r="A4" s="16" t="s">
        <v>11</v>
      </c>
      <c r="B4" s="16"/>
      <c r="C4" s="49" t="s">
        <v>139</v>
      </c>
      <c r="R4" s="3" t="s">
        <v>105</v>
      </c>
      <c r="S4" s="3" t="s">
        <v>85</v>
      </c>
      <c r="T4" s="83" t="s">
        <v>106</v>
      </c>
      <c r="U4" s="83" t="s">
        <v>107</v>
      </c>
      <c r="V4" s="83" t="s">
        <v>108</v>
      </c>
      <c r="W4" s="83" t="s">
        <v>109</v>
      </c>
      <c r="X4" s="83" t="s">
        <v>110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J4" s="24"/>
      <c r="AK4" s="24"/>
      <c r="AL4" s="24"/>
      <c r="AM4" s="24"/>
      <c r="AN4" s="24"/>
      <c r="AO4" s="63" t="s">
        <v>101</v>
      </c>
      <c r="AP4" s="63" t="s">
        <v>101</v>
      </c>
      <c r="AQ4" s="63" t="s">
        <v>101</v>
      </c>
    </row>
    <row r="5" spans="1:43" outlineLevel="1" x14ac:dyDescent="0.2">
      <c r="A5" s="16" t="s">
        <v>12</v>
      </c>
      <c r="B5" s="16"/>
      <c r="C5" s="49" t="s">
        <v>64</v>
      </c>
      <c r="S5" s="3" t="s">
        <v>86</v>
      </c>
      <c r="AJ5" s="24"/>
      <c r="AK5" s="24"/>
      <c r="AL5" s="24"/>
      <c r="AM5" s="24"/>
      <c r="AN5" s="24"/>
      <c r="AO5" s="63" t="s">
        <v>102</v>
      </c>
      <c r="AP5" s="63" t="s">
        <v>102</v>
      </c>
      <c r="AQ5" s="63" t="s">
        <v>102</v>
      </c>
    </row>
    <row r="6" spans="1:43" x14ac:dyDescent="0.2">
      <c r="E6" s="3" t="s">
        <v>63</v>
      </c>
      <c r="R6" s="3" t="s">
        <v>111</v>
      </c>
      <c r="S6" s="3" t="s">
        <v>87</v>
      </c>
      <c r="T6" s="83" t="s">
        <v>106</v>
      </c>
      <c r="U6" s="83" t="s">
        <v>107</v>
      </c>
      <c r="V6" s="83" t="s">
        <v>108</v>
      </c>
      <c r="W6" s="83" t="s">
        <v>109</v>
      </c>
      <c r="X6" s="83" t="s">
        <v>110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J6" s="24"/>
      <c r="AK6" s="24"/>
      <c r="AL6" s="24"/>
      <c r="AM6" s="24"/>
      <c r="AN6" s="24"/>
      <c r="AO6" s="63" t="s">
        <v>103</v>
      </c>
      <c r="AP6" s="63" t="s">
        <v>103</v>
      </c>
      <c r="AQ6" s="63" t="s">
        <v>103</v>
      </c>
    </row>
    <row r="7" spans="1:43" x14ac:dyDescent="0.2">
      <c r="A7" s="1" t="s">
        <v>7</v>
      </c>
      <c r="B7" s="16"/>
      <c r="H7" s="3" t="s">
        <v>65</v>
      </c>
      <c r="I7" s="3">
        <v>3</v>
      </c>
      <c r="S7" s="3" t="s">
        <v>88</v>
      </c>
      <c r="AJ7" s="24"/>
      <c r="AK7" s="24"/>
      <c r="AL7" s="24"/>
      <c r="AM7" s="24"/>
      <c r="AN7" s="24"/>
      <c r="AO7" s="63" t="s">
        <v>104</v>
      </c>
      <c r="AP7" s="63" t="s">
        <v>104</v>
      </c>
      <c r="AQ7" s="63" t="s">
        <v>104</v>
      </c>
    </row>
    <row r="8" spans="1:43" outlineLevel="1" x14ac:dyDescent="0.2">
      <c r="A8" s="17" t="s">
        <v>32</v>
      </c>
      <c r="B8" s="16"/>
      <c r="H8" s="3" t="s">
        <v>66</v>
      </c>
      <c r="I8" s="3">
        <v>6</v>
      </c>
      <c r="R8" s="3" t="s">
        <v>112</v>
      </c>
      <c r="S8" s="3" t="s">
        <v>89</v>
      </c>
      <c r="T8" s="83" t="s">
        <v>106</v>
      </c>
      <c r="U8" s="83" t="s">
        <v>107</v>
      </c>
      <c r="V8" s="83" t="s">
        <v>108</v>
      </c>
      <c r="W8" s="83" t="s">
        <v>109</v>
      </c>
      <c r="X8" s="83" t="s">
        <v>110</v>
      </c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44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S9" s="18" t="s">
        <v>90</v>
      </c>
    </row>
    <row r="10" spans="1:43" x14ac:dyDescent="0.2">
      <c r="R10" s="3" t="s">
        <v>113</v>
      </c>
      <c r="S10" s="3" t="s">
        <v>91</v>
      </c>
      <c r="T10" s="83" t="s">
        <v>106</v>
      </c>
      <c r="U10" s="83" t="s">
        <v>107</v>
      </c>
      <c r="V10" s="83" t="s">
        <v>108</v>
      </c>
      <c r="W10" s="83" t="s">
        <v>109</v>
      </c>
      <c r="X10" s="83" t="s">
        <v>110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92</v>
      </c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7</v>
      </c>
      <c r="R12" s="3" t="s">
        <v>114</v>
      </c>
      <c r="S12" s="3" t="s">
        <v>93</v>
      </c>
      <c r="T12" s="83" t="s">
        <v>106</v>
      </c>
      <c r="U12" s="83" t="s">
        <v>107</v>
      </c>
      <c r="V12" s="83" t="s">
        <v>108</v>
      </c>
      <c r="W12" s="83" t="s">
        <v>109</v>
      </c>
      <c r="X12" s="83" t="s">
        <v>110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94</v>
      </c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R14" s="3" t="s">
        <v>115</v>
      </c>
      <c r="S14" s="3" t="s">
        <v>95</v>
      </c>
      <c r="T14" s="83" t="s">
        <v>106</v>
      </c>
      <c r="U14" s="83" t="s">
        <v>107</v>
      </c>
      <c r="V14" s="83" t="s">
        <v>108</v>
      </c>
      <c r="W14" s="83" t="s">
        <v>109</v>
      </c>
      <c r="X14" s="83" t="s">
        <v>110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71">
        <f>D12+D13</f>
        <v>64.125</v>
      </c>
      <c r="F15" s="23"/>
      <c r="H15" s="4" t="s">
        <v>30</v>
      </c>
      <c r="I15" s="54">
        <f>CEILING(I12/(90/10*(0.95)^3),1)</f>
        <v>1</v>
      </c>
      <c r="S15" s="3" t="s">
        <v>96</v>
      </c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R16" s="3" t="s">
        <v>116</v>
      </c>
      <c r="S16" s="3" t="s">
        <v>97</v>
      </c>
      <c r="T16" s="83" t="s">
        <v>106</v>
      </c>
      <c r="U16" s="83" t="s">
        <v>107</v>
      </c>
      <c r="V16" s="83" t="s">
        <v>108</v>
      </c>
      <c r="W16" s="83" t="s">
        <v>109</v>
      </c>
      <c r="X16" s="83" t="s">
        <v>110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98</v>
      </c>
    </row>
    <row r="18" spans="1:34" x14ac:dyDescent="0.2">
      <c r="A18" s="24"/>
      <c r="B18" s="52" t="s">
        <v>27</v>
      </c>
      <c r="C18" s="23"/>
      <c r="D18" s="24"/>
      <c r="G18" s="16"/>
      <c r="R18" s="3" t="s">
        <v>117</v>
      </c>
      <c r="S18" s="3" t="s">
        <v>99</v>
      </c>
      <c r="T18" s="83" t="s">
        <v>106</v>
      </c>
      <c r="U18" s="83" t="s">
        <v>107</v>
      </c>
      <c r="V18" s="83" t="s">
        <v>108</v>
      </c>
      <c r="W18" s="83" t="s">
        <v>109</v>
      </c>
      <c r="X18" s="83" t="s">
        <v>110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38</v>
      </c>
      <c r="J20" s="25" t="s">
        <v>39</v>
      </c>
      <c r="K20" s="25" t="s">
        <v>40</v>
      </c>
      <c r="L20" s="25" t="s">
        <v>4</v>
      </c>
      <c r="M20" s="26" t="s">
        <v>5</v>
      </c>
      <c r="N20" s="26" t="s">
        <v>4</v>
      </c>
      <c r="O20" s="81" t="s">
        <v>67</v>
      </c>
      <c r="P20" s="78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41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72">
        <f>P21*E12</f>
        <v>4.375</v>
      </c>
      <c r="K21" s="72">
        <f>P21*E13</f>
        <v>3.5</v>
      </c>
      <c r="L21" s="72">
        <f>I9-(J21+K21+M21)</f>
        <v>1.4571126315789478</v>
      </c>
      <c r="M21" s="74">
        <f t="shared" ref="M21:M26" si="1">IFERROR((H21/((E21*660/1000000/D21)^-1)*10.5)*G21,"")</f>
        <v>1.1678873684210527</v>
      </c>
      <c r="N21" s="14">
        <f>0</f>
        <v>0</v>
      </c>
      <c r="O21" s="75">
        <f t="shared" ref="O21:O26" si="2">IFERROR(10.5*G21-P21-M21-I21-J21-L21-K21,"")</f>
        <v>-7.875</v>
      </c>
      <c r="P21" s="79">
        <f t="shared" ref="P21:P26" si="3">10.5*G21-((90*0.95 - MM_sum/_xlnm.extract)/(90*0.95))*10.5*G21</f>
        <v>7.875</v>
      </c>
      <c r="Q21" s="61"/>
      <c r="T21" s="3" t="s">
        <v>118</v>
      </c>
    </row>
    <row r="22" spans="1:34" outlineLevel="1" x14ac:dyDescent="0.2">
      <c r="A22" s="29">
        <v>2</v>
      </c>
      <c r="B22" s="30"/>
      <c r="C22" s="39" t="s">
        <v>42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3">
        <f>K21</f>
        <v>3.5</v>
      </c>
      <c r="L22" s="73">
        <f>10.5-K22</f>
        <v>7</v>
      </c>
      <c r="M22" s="13">
        <f t="shared" si="1"/>
        <v>0</v>
      </c>
      <c r="N22" s="13">
        <f>0</f>
        <v>0</v>
      </c>
      <c r="O22" s="76">
        <f t="shared" si="2"/>
        <v>-7.875</v>
      </c>
      <c r="P22" s="80">
        <f t="shared" si="3"/>
        <v>7.875</v>
      </c>
      <c r="Q22" s="61"/>
      <c r="T22" s="3" t="s">
        <v>119</v>
      </c>
      <c r="W22" s="3">
        <v>3</v>
      </c>
      <c r="X22" s="3" t="s">
        <v>47</v>
      </c>
    </row>
    <row r="23" spans="1:34" outlineLevel="1" x14ac:dyDescent="0.2">
      <c r="A23" s="31">
        <v>3</v>
      </c>
      <c r="B23" s="32"/>
      <c r="C23" s="33" t="s">
        <v>43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72">
        <f>J21</f>
        <v>4.375</v>
      </c>
      <c r="K23" s="72">
        <f>K22</f>
        <v>3.5</v>
      </c>
      <c r="L23" s="72">
        <f>I9-(J23+K23)</f>
        <v>2.625</v>
      </c>
      <c r="M23" s="12">
        <f t="shared" si="1"/>
        <v>0</v>
      </c>
      <c r="N23" s="12">
        <f>0</f>
        <v>0</v>
      </c>
      <c r="O23" s="77">
        <f t="shared" si="2"/>
        <v>-7.875</v>
      </c>
      <c r="P23" s="79">
        <f t="shared" si="3"/>
        <v>7.875</v>
      </c>
      <c r="Q23" s="61"/>
      <c r="R23" s="59"/>
      <c r="T23" s="3" t="s">
        <v>120</v>
      </c>
      <c r="W23" s="3">
        <v>10</v>
      </c>
      <c r="X23" s="3" t="s">
        <v>55</v>
      </c>
    </row>
    <row r="24" spans="1:34" outlineLevel="1" x14ac:dyDescent="0.2">
      <c r="A24" s="29">
        <v>4</v>
      </c>
      <c r="B24" s="38"/>
      <c r="C24" s="39" t="s">
        <v>45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3">
        <f>K23</f>
        <v>3.5</v>
      </c>
      <c r="L24" s="73">
        <f>10.5-(K24+M24)</f>
        <v>5.8321126315789478</v>
      </c>
      <c r="M24" s="73">
        <f t="shared" si="1"/>
        <v>1.1678873684210527</v>
      </c>
      <c r="N24" s="13">
        <f>I9-(K24+L24+M24)</f>
        <v>0</v>
      </c>
      <c r="O24" s="76">
        <f t="shared" si="2"/>
        <v>-7.875</v>
      </c>
      <c r="P24" s="80">
        <f t="shared" si="3"/>
        <v>7.875</v>
      </c>
      <c r="Q24" s="61"/>
      <c r="R24" s="59"/>
      <c r="T24" s="3" t="s">
        <v>121</v>
      </c>
      <c r="W24" s="3">
        <f>W23*W22</f>
        <v>30</v>
      </c>
      <c r="X24" s="3" t="s">
        <v>122</v>
      </c>
    </row>
    <row r="25" spans="1:34" s="48" customFormat="1" outlineLevel="1" x14ac:dyDescent="0.2">
      <c r="A25" s="31">
        <v>5</v>
      </c>
      <c r="B25" s="44"/>
      <c r="C25" s="45" t="s">
        <v>46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72">
        <f>J21</f>
        <v>4.375</v>
      </c>
      <c r="K25" s="37">
        <f>0</f>
        <v>0</v>
      </c>
      <c r="L25" s="72">
        <f>10.5-(J25+M25)</f>
        <v>4.9571126315789478</v>
      </c>
      <c r="M25" s="72">
        <f t="shared" si="1"/>
        <v>1.1678873684210527</v>
      </c>
      <c r="N25" s="14">
        <f>0</f>
        <v>0</v>
      </c>
      <c r="O25" s="75">
        <f t="shared" si="2"/>
        <v>-7.875</v>
      </c>
      <c r="P25" s="79">
        <f t="shared" si="3"/>
        <v>7.875</v>
      </c>
      <c r="Q25" s="61"/>
      <c r="T25" s="86" t="s">
        <v>131</v>
      </c>
      <c r="U25" s="86"/>
      <c r="V25" s="86"/>
      <c r="W25" s="86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5" t="str">
        <f t="shared" si="2"/>
        <v/>
      </c>
      <c r="P26" s="79">
        <f t="shared" si="3"/>
        <v>0</v>
      </c>
      <c r="Q26" s="61"/>
      <c r="R26" s="60"/>
    </row>
    <row r="27" spans="1:34" outlineLevel="1" x14ac:dyDescent="0.2">
      <c r="A27" s="66"/>
      <c r="B27" s="67"/>
      <c r="C27" s="68"/>
      <c r="D27" s="69"/>
      <c r="E27" s="70"/>
      <c r="F27" s="61"/>
      <c r="G27" s="70"/>
      <c r="H27" s="70"/>
      <c r="I27" s="61"/>
      <c r="J27" s="61"/>
      <c r="K27" s="61"/>
      <c r="L27" s="61"/>
      <c r="M27" s="61"/>
      <c r="N27" s="61"/>
      <c r="O27" s="61"/>
      <c r="P27" s="61"/>
      <c r="Q27" s="61"/>
      <c r="T27" s="3" t="s">
        <v>123</v>
      </c>
    </row>
    <row r="28" spans="1:34" outlineLevel="1" x14ac:dyDescent="0.2">
      <c r="A28" s="66"/>
      <c r="B28" s="67"/>
      <c r="C28" s="68"/>
      <c r="D28" s="70"/>
      <c r="E28" s="70"/>
      <c r="F28" s="61"/>
      <c r="G28" s="70"/>
      <c r="H28" s="70"/>
      <c r="I28" s="61"/>
      <c r="J28" s="61"/>
      <c r="K28" s="61"/>
      <c r="L28" s="61"/>
      <c r="M28" s="61"/>
      <c r="N28" s="61"/>
      <c r="O28" s="61"/>
      <c r="P28" s="61"/>
      <c r="Q28" s="61"/>
      <c r="T28" s="3" t="s">
        <v>124</v>
      </c>
      <c r="W28" s="3">
        <f>5*W23</f>
        <v>50</v>
      </c>
      <c r="X28" s="3" t="s">
        <v>55</v>
      </c>
    </row>
    <row r="29" spans="1:34" outlineLevel="1" x14ac:dyDescent="0.2">
      <c r="A29" s="82" t="s">
        <v>48</v>
      </c>
      <c r="C29" s="16" t="s">
        <v>50</v>
      </c>
      <c r="G29" s="16" t="s">
        <v>77</v>
      </c>
      <c r="K29" s="16" t="s">
        <v>78</v>
      </c>
      <c r="L29" s="61"/>
      <c r="M29" s="61"/>
      <c r="N29" s="61"/>
      <c r="O29" s="61"/>
      <c r="P29" s="61"/>
      <c r="Q29" s="61"/>
      <c r="T29" s="3" t="s">
        <v>125</v>
      </c>
      <c r="W29" s="3">
        <v>30</v>
      </c>
      <c r="X29" s="3" t="s">
        <v>47</v>
      </c>
    </row>
    <row r="30" spans="1:34" outlineLevel="1" x14ac:dyDescent="0.2">
      <c r="A30" s="82" t="s">
        <v>49</v>
      </c>
      <c r="C30" s="2" t="s">
        <v>71</v>
      </c>
      <c r="D30" s="3">
        <v>30</v>
      </c>
      <c r="E30" s="3" t="s">
        <v>47</v>
      </c>
      <c r="G30" s="3" t="s">
        <v>56</v>
      </c>
      <c r="H30" s="60">
        <f>D37</f>
        <v>2</v>
      </c>
      <c r="I30" s="3" t="s">
        <v>52</v>
      </c>
      <c r="K30" s="3" t="s">
        <v>79</v>
      </c>
      <c r="L30" s="16"/>
      <c r="M30" s="3">
        <f>W24</f>
        <v>30</v>
      </c>
      <c r="N30" s="3" t="s">
        <v>47</v>
      </c>
      <c r="O30" s="61"/>
      <c r="P30" s="61"/>
      <c r="Q30" s="61"/>
      <c r="T30" s="3" t="s">
        <v>126</v>
      </c>
      <c r="W30" s="3">
        <f>W28*W29</f>
        <v>1500</v>
      </c>
      <c r="X30" s="3" t="s">
        <v>122</v>
      </c>
    </row>
    <row r="31" spans="1:34" outlineLevel="1" x14ac:dyDescent="0.2">
      <c r="A31" s="82" t="s">
        <v>68</v>
      </c>
      <c r="C31" s="2" t="s">
        <v>72</v>
      </c>
      <c r="D31" s="3">
        <v>5</v>
      </c>
      <c r="E31" s="3" t="s">
        <v>73</v>
      </c>
      <c r="G31" s="3" t="s">
        <v>57</v>
      </c>
      <c r="H31" s="3">
        <f>H30/5</f>
        <v>0.4</v>
      </c>
      <c r="I31" s="3" t="s">
        <v>52</v>
      </c>
      <c r="K31" s="3" t="s">
        <v>80</v>
      </c>
      <c r="M31" s="63">
        <v>30</v>
      </c>
      <c r="N31" s="63" t="s">
        <v>47</v>
      </c>
      <c r="O31" s="84" t="s">
        <v>133</v>
      </c>
      <c r="P31" s="61"/>
      <c r="Q31" s="61"/>
      <c r="T31" s="24" t="s">
        <v>126</v>
      </c>
      <c r="U31" s="24"/>
      <c r="V31" s="24"/>
      <c r="W31" s="24">
        <f>W30/1000</f>
        <v>1.5</v>
      </c>
      <c r="X31" s="24" t="s">
        <v>52</v>
      </c>
    </row>
    <row r="32" spans="1:34" outlineLevel="1" x14ac:dyDescent="0.2">
      <c r="A32" s="82" t="s">
        <v>69</v>
      </c>
      <c r="C32" s="2" t="s">
        <v>65</v>
      </c>
      <c r="D32" s="3">
        <v>1</v>
      </c>
      <c r="E32" s="3" t="s">
        <v>74</v>
      </c>
      <c r="G32" s="3" t="s">
        <v>58</v>
      </c>
      <c r="H32" s="60">
        <f>H30-H31</f>
        <v>1.6</v>
      </c>
      <c r="I32" s="3" t="s">
        <v>52</v>
      </c>
      <c r="O32" s="61"/>
      <c r="P32" s="61"/>
      <c r="Q32" s="61"/>
      <c r="T32" s="85" t="s">
        <v>134</v>
      </c>
      <c r="U32" s="85"/>
      <c r="V32" s="85"/>
      <c r="W32" s="85">
        <v>2</v>
      </c>
      <c r="X32" s="85" t="s">
        <v>52</v>
      </c>
    </row>
    <row r="33" spans="1:17" outlineLevel="1" x14ac:dyDescent="0.2">
      <c r="A33" s="89" t="s">
        <v>141</v>
      </c>
      <c r="C33" s="2" t="s">
        <v>66</v>
      </c>
      <c r="D33" s="3">
        <v>10</v>
      </c>
      <c r="E33" s="3" t="s">
        <v>75</v>
      </c>
      <c r="G33" s="63" t="str">
        <f>G31</f>
        <v>5x det assay vol</v>
      </c>
      <c r="H33" s="63">
        <f>H31*1000</f>
        <v>400</v>
      </c>
      <c r="I33" s="63" t="s">
        <v>47</v>
      </c>
      <c r="O33" s="61"/>
      <c r="P33" s="61"/>
      <c r="Q33" s="61"/>
    </row>
    <row r="34" spans="1:17" outlineLevel="1" x14ac:dyDescent="0.2">
      <c r="A34" s="66" t="s">
        <v>70</v>
      </c>
      <c r="C34" s="2" t="s">
        <v>76</v>
      </c>
      <c r="D34" s="3">
        <f>D30*D31*D32*D33</f>
        <v>1500</v>
      </c>
      <c r="E34" s="3" t="s">
        <v>47</v>
      </c>
      <c r="G34" s="63" t="s">
        <v>58</v>
      </c>
      <c r="H34" s="63">
        <f>H32*1000</f>
        <v>1600</v>
      </c>
      <c r="I34" s="63" t="s">
        <v>47</v>
      </c>
      <c r="O34" s="61"/>
      <c r="P34" s="61"/>
      <c r="Q34" s="61"/>
    </row>
    <row r="35" spans="1:17" outlineLevel="1" x14ac:dyDescent="0.2">
      <c r="A35" s="66"/>
      <c r="C35" s="62" t="s">
        <v>76</v>
      </c>
      <c r="D35" s="63">
        <f>W32</f>
        <v>2</v>
      </c>
      <c r="E35" s="63" t="s">
        <v>52</v>
      </c>
      <c r="G35" s="63" t="s">
        <v>59</v>
      </c>
      <c r="H35" s="62">
        <f>17*H30</f>
        <v>34</v>
      </c>
      <c r="I35" s="63" t="s">
        <v>47</v>
      </c>
      <c r="O35" s="61"/>
      <c r="P35" s="61"/>
      <c r="Q35" s="61"/>
    </row>
    <row r="36" spans="1:17" outlineLevel="1" x14ac:dyDescent="0.2">
      <c r="A36" s="66"/>
      <c r="F36" s="24"/>
      <c r="G36" s="63" t="s">
        <v>132</v>
      </c>
      <c r="H36" s="2"/>
      <c r="O36" s="61"/>
      <c r="P36" s="61"/>
      <c r="Q36" s="61"/>
    </row>
    <row r="37" spans="1:17" outlineLevel="1" x14ac:dyDescent="0.2">
      <c r="A37" s="66"/>
      <c r="C37" s="3" t="s">
        <v>51</v>
      </c>
      <c r="D37" s="64">
        <f>D35</f>
        <v>2</v>
      </c>
      <c r="E37" s="65" t="s">
        <v>52</v>
      </c>
      <c r="F37" s="24" t="s">
        <v>61</v>
      </c>
      <c r="G37" s="24"/>
      <c r="H37" s="24"/>
      <c r="O37" s="61"/>
      <c r="P37" s="61"/>
      <c r="Q37" s="61"/>
    </row>
    <row r="38" spans="1:17" outlineLevel="1" x14ac:dyDescent="0.2">
      <c r="A38" s="66"/>
      <c r="C38" s="3" t="s">
        <v>53</v>
      </c>
      <c r="D38" s="64">
        <f>D37*5</f>
        <v>10</v>
      </c>
      <c r="E38" s="65" t="s">
        <v>47</v>
      </c>
      <c r="F38" s="24" t="s">
        <v>60</v>
      </c>
      <c r="G38" s="24"/>
      <c r="H38" s="24"/>
      <c r="K38" s="3" t="s">
        <v>81</v>
      </c>
      <c r="L38" s="61"/>
      <c r="M38" s="61">
        <f>M21*3*3</f>
        <v>10.510986315789474</v>
      </c>
      <c r="N38" s="61" t="s">
        <v>47</v>
      </c>
      <c r="O38" s="61"/>
      <c r="P38" s="61"/>
      <c r="Q38" s="61"/>
    </row>
    <row r="39" spans="1:17" outlineLevel="1" x14ac:dyDescent="0.2">
      <c r="A39" s="66"/>
      <c r="C39" s="59" t="s">
        <v>54</v>
      </c>
      <c r="D39" s="64">
        <f>D37</f>
        <v>2</v>
      </c>
      <c r="E39" s="65" t="s">
        <v>47</v>
      </c>
      <c r="F39" s="24" t="s">
        <v>127</v>
      </c>
      <c r="G39" s="24"/>
      <c r="H39" s="24"/>
      <c r="K39" s="3" t="s">
        <v>128</v>
      </c>
      <c r="M39" s="3">
        <v>3</v>
      </c>
      <c r="N39" s="3" t="s">
        <v>47</v>
      </c>
      <c r="O39" s="61"/>
      <c r="P39" s="61"/>
      <c r="Q39" s="61"/>
    </row>
    <row r="40" spans="1:17" outlineLevel="1" x14ac:dyDescent="0.2">
      <c r="A40" s="66"/>
      <c r="F40" s="24"/>
      <c r="G40" s="24"/>
      <c r="H40" s="24"/>
      <c r="K40" s="3" t="s">
        <v>129</v>
      </c>
      <c r="M40" s="3">
        <f>M38/M39</f>
        <v>3.503662105263158</v>
      </c>
      <c r="N40" s="3" t="s">
        <v>130</v>
      </c>
      <c r="O40" s="61"/>
      <c r="P40" s="61"/>
      <c r="Q40" s="61"/>
    </row>
    <row r="41" spans="1:17" outlineLevel="1" x14ac:dyDescent="0.2">
      <c r="A41" s="66"/>
      <c r="F41" s="24"/>
      <c r="G41" s="24"/>
      <c r="H41" s="24"/>
      <c r="O41" s="61"/>
      <c r="P41" s="61"/>
      <c r="Q41" s="61"/>
    </row>
    <row r="42" spans="1:17" outlineLevel="1" x14ac:dyDescent="0.2">
      <c r="A42" s="66"/>
      <c r="F42" s="24"/>
      <c r="G42" s="71"/>
      <c r="H42" s="24"/>
      <c r="L42" s="61"/>
      <c r="M42" s="61"/>
      <c r="N42" s="61"/>
      <c r="O42" s="61"/>
      <c r="P42" s="61"/>
      <c r="Q42" s="61"/>
    </row>
    <row r="43" spans="1:17" outlineLevel="1" x14ac:dyDescent="0.2">
      <c r="A43" s="66" t="s">
        <v>135</v>
      </c>
      <c r="B43" s="3" t="s">
        <v>136</v>
      </c>
      <c r="C43" s="87">
        <v>0.54166666666666663</v>
      </c>
      <c r="F43" s="24"/>
      <c r="G43" s="24"/>
      <c r="H43" s="24"/>
      <c r="K43" s="3" t="s">
        <v>82</v>
      </c>
      <c r="L43" s="61"/>
      <c r="M43" s="61">
        <f>J21*3*3</f>
        <v>39.375</v>
      </c>
      <c r="N43" s="61" t="s">
        <v>47</v>
      </c>
      <c r="O43" s="61"/>
      <c r="P43" s="61"/>
      <c r="Q43" s="61"/>
    </row>
    <row r="44" spans="1:17" outlineLevel="1" x14ac:dyDescent="0.2">
      <c r="A44" s="66"/>
      <c r="B44" s="3">
        <v>1</v>
      </c>
      <c r="C44" s="87">
        <v>0.58333333333333337</v>
      </c>
      <c r="F44" s="24"/>
      <c r="G44" s="24"/>
      <c r="H44" s="24"/>
      <c r="K44" s="3" t="s">
        <v>83</v>
      </c>
      <c r="L44" s="61"/>
      <c r="M44" s="61">
        <f>K21*4*3</f>
        <v>42</v>
      </c>
      <c r="N44" s="61" t="s">
        <v>47</v>
      </c>
      <c r="O44" s="61"/>
      <c r="P44" s="61"/>
      <c r="Q44" s="61"/>
    </row>
    <row r="45" spans="1:17" outlineLevel="1" x14ac:dyDescent="0.2">
      <c r="A45" s="66"/>
      <c r="B45" s="3">
        <v>2</v>
      </c>
      <c r="C45" s="87">
        <v>0.625</v>
      </c>
      <c r="F45" s="24"/>
      <c r="G45" s="24"/>
      <c r="H45" s="24"/>
      <c r="L45" s="61"/>
      <c r="M45" s="61"/>
      <c r="N45" s="61"/>
      <c r="O45" s="61"/>
      <c r="P45" s="61"/>
      <c r="Q45" s="61"/>
    </row>
    <row r="46" spans="1:17" outlineLevel="1" x14ac:dyDescent="0.2">
      <c r="A46" s="66"/>
      <c r="B46" s="3">
        <v>3</v>
      </c>
      <c r="C46" s="87">
        <v>0.66666666666666663</v>
      </c>
      <c r="L46" s="61"/>
      <c r="M46" s="61"/>
      <c r="N46" s="61"/>
      <c r="O46" s="61"/>
      <c r="P46" s="61"/>
      <c r="Q46" s="61"/>
    </row>
    <row r="47" spans="1:17" outlineLevel="1" x14ac:dyDescent="0.2">
      <c r="A47" s="66"/>
      <c r="B47" s="70">
        <v>4</v>
      </c>
      <c r="C47" s="88">
        <v>0.70833333333333337</v>
      </c>
      <c r="D47" s="70"/>
      <c r="E47" s="70"/>
      <c r="F47" s="61"/>
      <c r="G47" s="70"/>
      <c r="H47" s="70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6"/>
      <c r="B48" s="70">
        <v>5</v>
      </c>
      <c r="C48" s="88">
        <v>0.75</v>
      </c>
      <c r="D48" s="70"/>
      <c r="E48" s="70"/>
      <c r="F48" s="61"/>
      <c r="G48" s="70"/>
      <c r="H48" s="70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6"/>
      <c r="B49" s="70">
        <v>6</v>
      </c>
      <c r="C49" s="68" t="s">
        <v>137</v>
      </c>
      <c r="D49" s="70"/>
      <c r="E49" s="70"/>
      <c r="F49" s="61"/>
      <c r="G49" s="70"/>
      <c r="H49" s="70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6"/>
      <c r="B50" s="70">
        <v>7</v>
      </c>
      <c r="C50" s="68" t="s">
        <v>137</v>
      </c>
      <c r="D50" s="70"/>
      <c r="E50" s="70"/>
      <c r="F50" s="61"/>
      <c r="G50" s="70"/>
      <c r="H50" s="70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B51" s="70">
        <v>8</v>
      </c>
      <c r="C51" s="2" t="s">
        <v>137</v>
      </c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6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2020-10-21T20:16:56Z</cp:lastPrinted>
  <dcterms:created xsi:type="dcterms:W3CDTF">2012-06-15T21:22:50Z</dcterms:created>
  <dcterms:modified xsi:type="dcterms:W3CDTF">2020-10-23T20:21:23Z</dcterms:modified>
</cp:coreProperties>
</file>