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roychoudhury/Documents/MURRAY/ug_murray/data/"/>
    </mc:Choice>
  </mc:AlternateContent>
  <xr:revisionPtr revIDLastSave="0" documentId="13_ncr:1_{3FB288B7-65B4-9F48-83A9-9AC1370D2FAF}" xr6:coauthVersionLast="45" xr6:coauthVersionMax="45" xr10:uidLastSave="{00000000-0000-0000-0000-000000000000}"/>
  <bookViews>
    <workbookView xWindow="820" yWindow="460" windowWidth="27240" windowHeight="16040" xr2:uid="{E01EA5C1-C3A2-594B-83A1-8FD7AD24F962}"/>
  </bookViews>
  <sheets>
    <sheet name="Sheet1" sheetId="1" r:id="rId1"/>
  </sheets>
  <externalReferences>
    <externalReference r:id="rId2"/>
  </externalReferences>
  <definedNames>
    <definedName name="_xlnm.extract">[1]Outline!$I$16</definedName>
    <definedName name="MM_sum" localSheetId="0">SUM([1]Outline!$D$12:$D$17)</definedName>
    <definedName name="_xlnm.Print_Area" localSheetId="0">Sheet1!$A$1:$R$41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" i="1" l="1"/>
  <c r="E21" i="1"/>
  <c r="D21" i="1"/>
  <c r="H18" i="1"/>
  <c r="E18" i="1"/>
  <c r="D18" i="1"/>
  <c r="D16" i="1"/>
  <c r="G21" i="1"/>
  <c r="O21" i="1" s="1"/>
  <c r="K18" i="1"/>
  <c r="K17" i="1"/>
  <c r="K16" i="1"/>
  <c r="J20" i="1"/>
  <c r="J19" i="1"/>
  <c r="J18" i="1"/>
  <c r="J17" i="1"/>
  <c r="J16" i="1"/>
  <c r="D29" i="1"/>
  <c r="D27" i="1"/>
  <c r="D14" i="1"/>
  <c r="I14" i="1"/>
  <c r="D32" i="1"/>
  <c r="M32" i="1" s="1"/>
  <c r="J14" i="1" s="1"/>
  <c r="H32" i="1"/>
  <c r="M14" i="1"/>
  <c r="F30" i="1"/>
  <c r="F29" i="1"/>
  <c r="H29" i="1"/>
  <c r="G29" i="1"/>
  <c r="O29" i="1" s="1"/>
  <c r="E29" i="1"/>
  <c r="H27" i="1"/>
  <c r="G27" i="1"/>
  <c r="E27" i="1"/>
  <c r="O41" i="1"/>
  <c r="M41" i="1"/>
  <c r="F41" i="1"/>
  <c r="O40" i="1"/>
  <c r="M40" i="1"/>
  <c r="F40" i="1"/>
  <c r="O39" i="1"/>
  <c r="M39" i="1"/>
  <c r="F39" i="1"/>
  <c r="O38" i="1"/>
  <c r="M38" i="1"/>
  <c r="F38" i="1"/>
  <c r="O37" i="1"/>
  <c r="M37" i="1"/>
  <c r="F37" i="1"/>
  <c r="O36" i="1"/>
  <c r="M36" i="1"/>
  <c r="F36" i="1"/>
  <c r="O35" i="1"/>
  <c r="M35" i="1"/>
  <c r="F35" i="1"/>
  <c r="O34" i="1"/>
  <c r="M34" i="1"/>
  <c r="F34" i="1"/>
  <c r="O33" i="1"/>
  <c r="M33" i="1"/>
  <c r="F33" i="1"/>
  <c r="O32" i="1"/>
  <c r="O31" i="1"/>
  <c r="O30" i="1"/>
  <c r="O28" i="1"/>
  <c r="M28" i="1"/>
  <c r="F28" i="1"/>
  <c r="O27" i="1"/>
  <c r="I27" i="1"/>
  <c r="O26" i="1"/>
  <c r="M26" i="1"/>
  <c r="F26" i="1"/>
  <c r="O25" i="1"/>
  <c r="M25" i="1"/>
  <c r="O24" i="1"/>
  <c r="M24" i="1"/>
  <c r="F24" i="1"/>
  <c r="O23" i="1"/>
  <c r="M23" i="1"/>
  <c r="O22" i="1"/>
  <c r="M22" i="1"/>
  <c r="N22" i="1" s="1"/>
  <c r="F22" i="1"/>
  <c r="F21" i="1"/>
  <c r="O20" i="1"/>
  <c r="M20" i="1"/>
  <c r="F20" i="1"/>
  <c r="O19" i="1"/>
  <c r="M19" i="1"/>
  <c r="F19" i="1"/>
  <c r="O18" i="1"/>
  <c r="O17" i="1"/>
  <c r="M17" i="1"/>
  <c r="F17" i="1"/>
  <c r="O16" i="1"/>
  <c r="M16" i="1"/>
  <c r="F16" i="1"/>
  <c r="O15" i="1"/>
  <c r="M15" i="1"/>
  <c r="F15" i="1"/>
  <c r="O14" i="1"/>
  <c r="O13" i="1"/>
  <c r="M13" i="1"/>
  <c r="O12" i="1"/>
  <c r="M12" i="1"/>
  <c r="I8" i="1" s="1"/>
  <c r="D8" i="1"/>
  <c r="I7" i="1"/>
  <c r="D7" i="1"/>
  <c r="I6" i="1"/>
  <c r="D6" i="1"/>
  <c r="D5" i="1"/>
  <c r="C4" i="1"/>
  <c r="D4" i="1" s="1"/>
  <c r="C3" i="1"/>
  <c r="D3" i="1" s="1"/>
  <c r="M21" i="1" l="1"/>
  <c r="L18" i="1" s="1"/>
  <c r="F18" i="1"/>
  <c r="M18" i="1"/>
  <c r="N34" i="1"/>
  <c r="N38" i="1"/>
  <c r="F32" i="1"/>
  <c r="N23" i="1"/>
  <c r="M31" i="1"/>
  <c r="N31" i="1" s="1"/>
  <c r="M30" i="1"/>
  <c r="N24" i="1"/>
  <c r="N13" i="1"/>
  <c r="N33" i="1"/>
  <c r="N37" i="1"/>
  <c r="N41" i="1"/>
  <c r="N12" i="1"/>
  <c r="N25" i="1"/>
  <c r="N32" i="1"/>
  <c r="N36" i="1"/>
  <c r="N40" i="1"/>
  <c r="N35" i="1"/>
  <c r="N39" i="1"/>
  <c r="M29" i="1"/>
  <c r="M27" i="1"/>
  <c r="N28" i="1"/>
  <c r="N26" i="1"/>
  <c r="F14" i="1"/>
  <c r="N21" i="1" l="1"/>
  <c r="N30" i="1"/>
  <c r="N29" i="1"/>
  <c r="N27" i="1"/>
  <c r="N14" i="1" l="1"/>
  <c r="I16" i="1" l="1"/>
  <c r="N15" i="1"/>
  <c r="I17" i="1" l="1"/>
  <c r="N16" i="1"/>
  <c r="I18" i="1" l="1"/>
  <c r="N17" i="1"/>
  <c r="I19" i="1" l="1"/>
  <c r="N18" i="1"/>
  <c r="I20" i="1" l="1"/>
  <c r="N20" i="1" s="1"/>
  <c r="N19" i="1"/>
</calcChain>
</file>

<file path=xl/sharedStrings.xml><?xml version="1.0" encoding="utf-8"?>
<sst xmlns="http://schemas.openxmlformats.org/spreadsheetml/2006/main" count="69" uniqueCount="66">
  <si>
    <t>Master Mix Preparation</t>
  </si>
  <si>
    <t>Ingredient</t>
  </si>
  <si>
    <t>Stock*</t>
  </si>
  <si>
    <t>Final*</t>
  </si>
  <si>
    <t>Master Mix (uL)</t>
  </si>
  <si>
    <t># Rxns</t>
  </si>
  <si>
    <t>BX.X (buffer)</t>
  </si>
  <si>
    <t>EX (extract)</t>
  </si>
  <si>
    <t>Tubes to Thaw</t>
  </si>
  <si>
    <t>()</t>
  </si>
  <si>
    <t>BX.X</t>
  </si>
  <si>
    <t>EX</t>
  </si>
  <si>
    <t>aliquote for 7 rxns</t>
  </si>
  <si>
    <t xml:space="preserve"> +1 (unlabeled 0.2mL tube)</t>
  </si>
  <si>
    <t>*Input as ratio</t>
  </si>
  <si>
    <t>DNA Preparation</t>
  </si>
  <si>
    <t xml:space="preserve"> making activation</t>
  </si>
  <si>
    <t>(num 7)</t>
  </si>
  <si>
    <t>master mix</t>
  </si>
  <si>
    <t>ID</t>
  </si>
  <si>
    <t>Plate Loc.</t>
  </si>
  <si>
    <t>Name</t>
  </si>
  <si>
    <t>[Stock] (ng/uL)</t>
  </si>
  <si>
    <t>Length (bp)</t>
  </si>
  <si>
    <t>[Stock] (nM)</t>
  </si>
  <si>
    <t>Repeats</t>
  </si>
  <si>
    <t>[Final]/rxn (nM)</t>
  </si>
  <si>
    <t>DNA (uL)</t>
  </si>
  <si>
    <t>Water (uL)</t>
  </si>
  <si>
    <t>MM to add (uL)</t>
  </si>
  <si>
    <t>Notes</t>
  </si>
  <si>
    <t>Int. Pos. Control (+1)</t>
  </si>
  <si>
    <t>Int. Neg. Control</t>
  </si>
  <si>
    <t xml:space="preserve">add 3,6 in every tube </t>
  </si>
  <si>
    <t>add 0, sigmax, sigma28, sigmax+sigma28</t>
  </si>
  <si>
    <t>calculation for #3</t>
  </si>
  <si>
    <t>#3</t>
  </si>
  <si>
    <t>#6</t>
  </si>
  <si>
    <t>dilute #3</t>
  </si>
  <si>
    <t>dilute #6</t>
  </si>
  <si>
    <t>A1</t>
  </si>
  <si>
    <t>A2</t>
  </si>
  <si>
    <t>A3</t>
  </si>
  <si>
    <t>A4</t>
  </si>
  <si>
    <t xml:space="preserve"> </t>
  </si>
  <si>
    <t>A5</t>
  </si>
  <si>
    <t>extra dilute #6</t>
  </si>
  <si>
    <t>(1:4 dilution)</t>
  </si>
  <si>
    <t>(1:12 dilution)</t>
  </si>
  <si>
    <t>(1:5 dilution) for pos control</t>
  </si>
  <si>
    <t>(num 13), 3 - no dilution, 6 - 1:5 dilution</t>
  </si>
  <si>
    <t xml:space="preserve">3- 1:4 dilution, 6 - 1:12 dilution </t>
  </si>
  <si>
    <t xml:space="preserve">#3 </t>
  </si>
  <si>
    <t>#3 + #6</t>
  </si>
  <si>
    <t>sigma 28</t>
  </si>
  <si>
    <t xml:space="preserve">add sigmaX + 28 (SIGMAX) </t>
  </si>
  <si>
    <t>how much sigma28</t>
  </si>
  <si>
    <t>sigma28</t>
  </si>
  <si>
    <t>1 - sigma28</t>
  </si>
  <si>
    <t>13 - sigmax</t>
  </si>
  <si>
    <t>add sigma28 (#1)</t>
  </si>
  <si>
    <t>add sigmax (#13)</t>
  </si>
  <si>
    <t>sigma28 - 1:2 dilution here</t>
  </si>
  <si>
    <t>no dilution here</t>
  </si>
  <si>
    <t xml:space="preserve">sigmax - no dilution, sigma28- 1:2 </t>
  </si>
  <si>
    <t>(1: 2 dilution)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</si>
</sst>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4" fillId="2" borderId="0" xfId="0" applyFont="1" applyFill="1"/>
    <xf numFmtId="0" fontId="3" fillId="0" borderId="0" xfId="0" applyFont="1"/>
    <xf numFmtId="0" fontId="5" fillId="5" borderId="0" xfId="0" applyFont="1" applyFill="1"/>
    <xf numFmtId="0" fontId="3" fillId="0" borderId="0" xfId="0" applyFont="1" applyAlignment="1">
      <alignment horizontal="right"/>
    </xf>
    <xf numFmtId="0" fontId="6" fillId="8" borderId="0" xfId="0" applyFont="1" applyFill="1"/>
    <xf numFmtId="0" fontId="3" fillId="7" borderId="0" xfId="0" applyFont="1" applyFill="1" applyAlignment="1">
      <alignment horizontal="center" wrapText="1"/>
    </xf>
    <xf numFmtId="2" fontId="6" fillId="8" borderId="4" xfId="0" applyNumberFormat="1" applyFont="1" applyFill="1" applyBorder="1" applyAlignment="1">
      <alignment horizontal="right"/>
    </xf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3" borderId="0" xfId="0" applyFont="1" applyFill="1"/>
    <xf numFmtId="2" fontId="7" fillId="4" borderId="0" xfId="0" applyNumberFormat="1" applyFont="1" applyFill="1"/>
    <xf numFmtId="0" fontId="7" fillId="3" borderId="0" xfId="0" applyFont="1" applyFill="1" applyAlignment="1">
      <alignment wrapText="1"/>
    </xf>
    <xf numFmtId="0" fontId="7" fillId="6" borderId="0" xfId="0" applyFont="1" applyFill="1"/>
    <xf numFmtId="0" fontId="7" fillId="7" borderId="0" xfId="0" applyFont="1" applyFill="1"/>
    <xf numFmtId="0" fontId="7" fillId="0" borderId="0" xfId="0" applyFont="1" applyAlignment="1">
      <alignment horizontal="right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3" borderId="2" xfId="0" applyFont="1" applyFill="1" applyBorder="1"/>
    <xf numFmtId="0" fontId="7" fillId="6" borderId="0" xfId="0" applyFont="1" applyFill="1" applyAlignment="1">
      <alignment horizontal="right"/>
    </xf>
    <xf numFmtId="2" fontId="7" fillId="3" borderId="2" xfId="0" applyNumberFormat="1" applyFont="1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2" fontId="7" fillId="3" borderId="3" xfId="0" applyNumberFormat="1" applyFont="1" applyFill="1" applyBorder="1" applyAlignment="1">
      <alignment horizontal="right"/>
    </xf>
    <xf numFmtId="2" fontId="7" fillId="3" borderId="4" xfId="0" applyNumberFormat="1" applyFont="1" applyFill="1" applyBorder="1" applyAlignment="1">
      <alignment horizontal="right"/>
    </xf>
    <xf numFmtId="2" fontId="7" fillId="3" borderId="5" xfId="0" applyNumberFormat="1" applyFont="1" applyFill="1" applyBorder="1" applyAlignment="1">
      <alignment horizontal="right"/>
    </xf>
    <xf numFmtId="2" fontId="7" fillId="4" borderId="6" xfId="0" applyNumberFormat="1" applyFont="1" applyFill="1" applyBorder="1" applyAlignment="1">
      <alignment horizontal="right"/>
    </xf>
    <xf numFmtId="0" fontId="7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3" borderId="8" xfId="0" applyFont="1" applyFill="1" applyBorder="1"/>
    <xf numFmtId="2" fontId="7" fillId="3" borderId="8" xfId="0" applyNumberFormat="1" applyFont="1" applyFill="1" applyBorder="1" applyAlignment="1">
      <alignment horizontal="right"/>
    </xf>
    <xf numFmtId="0" fontId="7" fillId="3" borderId="8" xfId="0" applyFont="1" applyFill="1" applyBorder="1" applyAlignment="1">
      <alignment horizontal="right"/>
    </xf>
    <xf numFmtId="2" fontId="7" fillId="3" borderId="9" xfId="0" applyNumberFormat="1" applyFont="1" applyFill="1" applyBorder="1" applyAlignment="1">
      <alignment horizontal="right"/>
    </xf>
    <xf numFmtId="2" fontId="7" fillId="3" borderId="10" xfId="0" applyNumberFormat="1" applyFont="1" applyFill="1" applyBorder="1" applyAlignment="1">
      <alignment horizontal="right"/>
    </xf>
    <xf numFmtId="2" fontId="7" fillId="4" borderId="11" xfId="0" applyNumberFormat="1" applyFont="1" applyFill="1" applyBorder="1" applyAlignment="1">
      <alignment horizontal="right"/>
    </xf>
    <xf numFmtId="0" fontId="7" fillId="6" borderId="12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2" fontId="7" fillId="7" borderId="13" xfId="0" applyNumberFormat="1" applyFont="1" applyFill="1" applyBorder="1" applyAlignment="1">
      <alignment horizontal="right"/>
    </xf>
    <xf numFmtId="2" fontId="7" fillId="7" borderId="0" xfId="0" applyNumberFormat="1" applyFont="1" applyFill="1" applyAlignment="1">
      <alignment horizontal="right"/>
    </xf>
    <xf numFmtId="2" fontId="7" fillId="3" borderId="14" xfId="0" applyNumberFormat="1" applyFont="1" applyFill="1" applyBorder="1" applyAlignment="1">
      <alignment horizontal="right"/>
    </xf>
    <xf numFmtId="2" fontId="7" fillId="4" borderId="15" xfId="0" applyNumberFormat="1" applyFont="1" applyFill="1" applyBorder="1" applyAlignment="1">
      <alignment horizontal="right"/>
    </xf>
    <xf numFmtId="0" fontId="7" fillId="6" borderId="8" xfId="0" applyFont="1" applyFill="1" applyBorder="1"/>
    <xf numFmtId="0" fontId="7" fillId="6" borderId="8" xfId="0" applyFont="1" applyFill="1" applyBorder="1" applyAlignment="1">
      <alignment horizontal="right"/>
    </xf>
    <xf numFmtId="2" fontId="7" fillId="7" borderId="9" xfId="0" applyNumberFormat="1" applyFont="1" applyFill="1" applyBorder="1" applyAlignment="1">
      <alignment horizontal="right"/>
    </xf>
    <xf numFmtId="2" fontId="7" fillId="7" borderId="8" xfId="0" applyNumberFormat="1" applyFont="1" applyFill="1" applyBorder="1" applyAlignment="1">
      <alignment horizontal="right"/>
    </xf>
    <xf numFmtId="2" fontId="7" fillId="3" borderId="0" xfId="0" applyNumberFormat="1" applyFont="1" applyFill="1" applyAlignment="1">
      <alignment horizontal="right"/>
    </xf>
    <xf numFmtId="2" fontId="7" fillId="3" borderId="16" xfId="0" applyNumberFormat="1" applyFont="1" applyFill="1" applyBorder="1" applyAlignment="1">
      <alignment horizontal="right"/>
    </xf>
    <xf numFmtId="2" fontId="7" fillId="7" borderId="17" xfId="0" applyNumberFormat="1" applyFont="1" applyFill="1" applyBorder="1" applyAlignment="1">
      <alignment horizontal="right"/>
    </xf>
    <xf numFmtId="2" fontId="7" fillId="7" borderId="18" xfId="0" applyNumberFormat="1" applyFont="1" applyFill="1" applyBorder="1" applyAlignment="1">
      <alignment horizontal="right"/>
    </xf>
    <xf numFmtId="2" fontId="7" fillId="3" borderId="18" xfId="0" applyNumberFormat="1" applyFont="1" applyFill="1" applyBorder="1" applyAlignment="1">
      <alignment horizontal="right"/>
    </xf>
    <xf numFmtId="2" fontId="7" fillId="3" borderId="19" xfId="0" applyNumberFormat="1" applyFont="1" applyFill="1" applyBorder="1" applyAlignment="1">
      <alignment horizontal="right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8" xfId="0" applyFont="1" applyFill="1" applyBorder="1"/>
    <xf numFmtId="0" fontId="3" fillId="6" borderId="8" xfId="0" applyFont="1" applyFill="1" applyBorder="1" applyAlignment="1">
      <alignment horizontal="right"/>
    </xf>
    <xf numFmtId="2" fontId="3" fillId="3" borderId="8" xfId="0" applyNumberFormat="1" applyFont="1" applyFill="1" applyBorder="1" applyAlignment="1">
      <alignment horizontal="right"/>
    </xf>
    <xf numFmtId="2" fontId="3" fillId="7" borderId="9" xfId="0" applyNumberFormat="1" applyFont="1" applyFill="1" applyBorder="1" applyAlignment="1">
      <alignment horizontal="right"/>
    </xf>
    <xf numFmtId="2" fontId="3" fillId="7" borderId="8" xfId="0" applyNumberFormat="1" applyFont="1" applyFill="1" applyBorder="1" applyAlignment="1">
      <alignment horizontal="right"/>
    </xf>
    <xf numFmtId="2" fontId="3" fillId="3" borderId="10" xfId="0" applyNumberFormat="1" applyFont="1" applyFill="1" applyBorder="1" applyAlignment="1">
      <alignment horizontal="right"/>
    </xf>
    <xf numFmtId="2" fontId="3" fillId="4" borderId="11" xfId="0" applyNumberFormat="1" applyFont="1" applyFill="1" applyBorder="1" applyAlignment="1">
      <alignment horizontal="right"/>
    </xf>
    <xf numFmtId="0" fontId="3" fillId="6" borderId="0" xfId="0" applyFont="1" applyFill="1"/>
  </cellXfs>
  <cellStyles count="1">
    <cellStyle name="Normal" xfId="0" builtinId="0"/>
  </cellStyles>
  <dxfs count="11"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0105_psigmax_plac_day1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Data"/>
    </sheetNames>
    <sheetDataSet>
      <sheetData sheetId="0">
        <row r="12">
          <cell r="D12">
            <v>35.625</v>
          </cell>
        </row>
        <row r="13">
          <cell r="D13">
            <v>28.5</v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  <cell r="I16">
            <v>1</v>
          </cell>
        </row>
        <row r="17">
          <cell r="D17" t="str">
            <v/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E5E3-6F9E-F540-ABF0-18602543529C}">
  <sheetPr>
    <pageSetUpPr fitToPage="1"/>
  </sheetPr>
  <dimension ref="A1:P42"/>
  <sheetViews>
    <sheetView tabSelected="1" topLeftCell="A12" workbookViewId="0">
      <selection activeCell="B43" sqref="B43"/>
    </sheetView>
  </sheetViews>
  <sheetFormatPr baseColWidth="10" defaultRowHeight="16" x14ac:dyDescent="0.2"/>
  <cols>
    <col min="3" max="3" width="20.83203125" customWidth="1"/>
  </cols>
  <sheetData>
    <row r="1" spans="1:16" x14ac:dyDescent="0.2">
      <c r="A1" s="1" t="s">
        <v>0</v>
      </c>
      <c r="B1" s="1"/>
      <c r="C1" s="13"/>
      <c r="D1" s="13"/>
      <c r="E1" s="14"/>
      <c r="F1" s="14"/>
      <c r="G1" s="14"/>
      <c r="H1" s="14"/>
      <c r="I1" s="14"/>
      <c r="J1" s="2"/>
      <c r="K1" s="2"/>
      <c r="L1" s="2"/>
      <c r="M1" s="2"/>
      <c r="N1" s="2"/>
      <c r="O1" s="2"/>
      <c r="P1" s="14"/>
    </row>
    <row r="2" spans="1:16" ht="32" x14ac:dyDescent="0.2">
      <c r="A2" s="3" t="s">
        <v>1</v>
      </c>
      <c r="B2" s="3" t="s">
        <v>2</v>
      </c>
      <c r="C2" s="3" t="s">
        <v>3</v>
      </c>
      <c r="D2" s="3" t="s">
        <v>4</v>
      </c>
      <c r="E2" s="14"/>
      <c r="F2" s="14"/>
      <c r="G2" s="14"/>
      <c r="H2" s="14"/>
      <c r="I2" s="4" t="s">
        <v>5</v>
      </c>
      <c r="J2" s="13"/>
      <c r="K2" s="13"/>
      <c r="L2" s="13"/>
      <c r="M2" s="13"/>
      <c r="N2" s="13"/>
      <c r="O2" s="13"/>
      <c r="P2" s="13"/>
    </row>
    <row r="3" spans="1:16" x14ac:dyDescent="0.2">
      <c r="A3" s="5" t="s">
        <v>6</v>
      </c>
      <c r="B3" s="15">
        <v>1</v>
      </c>
      <c r="C3" s="15">
        <f>0.75-C4</f>
        <v>0.41666666666666669</v>
      </c>
      <c r="D3" s="16">
        <f>C3/B3*90*0.95*_xlnm.extract</f>
        <v>35.625</v>
      </c>
      <c r="E3" s="6"/>
      <c r="F3" s="6"/>
      <c r="G3" s="13"/>
      <c r="H3" s="13"/>
      <c r="I3" s="17">
        <v>7</v>
      </c>
      <c r="J3" s="13"/>
      <c r="K3" s="13"/>
      <c r="L3" s="13"/>
      <c r="M3" s="13" t="s">
        <v>33</v>
      </c>
      <c r="N3" s="13"/>
      <c r="O3" s="13"/>
      <c r="P3" s="13"/>
    </row>
    <row r="4" spans="1:16" x14ac:dyDescent="0.2">
      <c r="A4" s="7" t="s">
        <v>7</v>
      </c>
      <c r="B4" s="15">
        <v>1</v>
      </c>
      <c r="C4" s="18">
        <f>1/3</f>
        <v>0.33333333333333331</v>
      </c>
      <c r="D4" s="16">
        <f>C4/B4*90*0.95*_xlnm.extract</f>
        <v>28.5</v>
      </c>
      <c r="E4" s="13"/>
      <c r="F4" s="13"/>
      <c r="G4" s="13"/>
      <c r="H4" s="13"/>
      <c r="I4" s="13"/>
      <c r="J4" s="13"/>
      <c r="K4" s="13"/>
      <c r="L4" s="13"/>
      <c r="M4" s="13" t="s">
        <v>34</v>
      </c>
      <c r="N4" s="13"/>
      <c r="O4" s="13"/>
      <c r="P4" s="13"/>
    </row>
    <row r="5" spans="1:16" x14ac:dyDescent="0.2">
      <c r="A5" s="19"/>
      <c r="B5" s="19"/>
      <c r="C5" s="19"/>
      <c r="D5" s="16" t="str">
        <f>IFERROR(C5/B5*90*0.95*_xlnm.extract,"")</f>
        <v/>
      </c>
      <c r="E5" s="13"/>
      <c r="F5" s="13"/>
      <c r="G5" s="13"/>
      <c r="H5" s="13"/>
      <c r="I5" s="8" t="s">
        <v>8</v>
      </c>
      <c r="J5" s="13"/>
      <c r="K5" s="13"/>
      <c r="L5" s="13"/>
      <c r="M5" s="13" t="s">
        <v>58</v>
      </c>
      <c r="N5" s="13"/>
      <c r="O5" s="13"/>
      <c r="P5" s="13"/>
    </row>
    <row r="6" spans="1:16" x14ac:dyDescent="0.2">
      <c r="A6" s="19" t="s">
        <v>9</v>
      </c>
      <c r="B6" s="19"/>
      <c r="C6" s="19"/>
      <c r="D6" s="16" t="str">
        <f>IFERROR(C6/B6*90*0.95*_xlnm.extract,"")</f>
        <v/>
      </c>
      <c r="E6" s="13"/>
      <c r="F6" s="13"/>
      <c r="G6" s="13"/>
      <c r="H6" s="20" t="s">
        <v>10</v>
      </c>
      <c r="I6" s="5">
        <f>CEILING(I3/(90/10*(0.95)^3),1)</f>
        <v>1</v>
      </c>
      <c r="J6" s="13"/>
      <c r="K6" s="13"/>
      <c r="L6" s="13"/>
      <c r="M6" s="13" t="s">
        <v>59</v>
      </c>
      <c r="N6" s="13"/>
      <c r="O6" s="13"/>
      <c r="P6" s="13"/>
    </row>
    <row r="7" spans="1:16" x14ac:dyDescent="0.2">
      <c r="A7" s="19" t="s">
        <v>9</v>
      </c>
      <c r="B7" s="19"/>
      <c r="C7" s="19"/>
      <c r="D7" s="16" t="str">
        <f>IFERROR(C7/B7*90*0.95*_xlnm.extract,"")</f>
        <v/>
      </c>
      <c r="E7" s="13"/>
      <c r="F7" s="13"/>
      <c r="G7" s="13"/>
      <c r="H7" s="20" t="s">
        <v>11</v>
      </c>
      <c r="I7" s="7">
        <f>CEILING(I3/(90/10*(0.95)^3),1)</f>
        <v>1</v>
      </c>
      <c r="J7" s="13" t="s">
        <v>12</v>
      </c>
      <c r="K7" s="13"/>
      <c r="L7" s="13"/>
      <c r="M7" s="13"/>
      <c r="N7" s="13"/>
      <c r="O7" s="13"/>
      <c r="P7" s="13"/>
    </row>
    <row r="8" spans="1:16" x14ac:dyDescent="0.2">
      <c r="A8" s="19" t="s">
        <v>9</v>
      </c>
      <c r="B8" s="19"/>
      <c r="C8" s="19"/>
      <c r="D8" s="16" t="str">
        <f>IFERROR(C8/B8*90*0.95*_xlnm.extract,"")</f>
        <v/>
      </c>
      <c r="E8" s="13"/>
      <c r="F8" s="13"/>
      <c r="G8" s="13"/>
      <c r="H8" s="20" t="s">
        <v>13</v>
      </c>
      <c r="I8" s="9" t="e">
        <f>CEILING(M12/3,1)</f>
        <v>#VALUE!</v>
      </c>
      <c r="J8" s="13"/>
      <c r="K8" s="13"/>
      <c r="L8" s="13"/>
      <c r="M8" s="13"/>
      <c r="N8" s="13"/>
      <c r="O8" s="13"/>
      <c r="P8" s="13"/>
    </row>
    <row r="9" spans="1:16" x14ac:dyDescent="0.2">
      <c r="A9" s="13"/>
      <c r="B9" s="13" t="s">
        <v>14</v>
      </c>
      <c r="C9" s="13"/>
      <c r="D9" s="13"/>
      <c r="E9" s="13"/>
      <c r="F9" s="13"/>
      <c r="G9" s="6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1" t="s">
        <v>15</v>
      </c>
      <c r="B10" s="1" t="s">
        <v>16</v>
      </c>
      <c r="C10" s="13"/>
      <c r="D10" s="13"/>
      <c r="E10" s="13"/>
      <c r="F10" s="13"/>
      <c r="G10" s="13"/>
      <c r="H10" s="13"/>
      <c r="I10" s="13" t="s">
        <v>17</v>
      </c>
      <c r="J10" s="13"/>
      <c r="K10" s="13"/>
      <c r="L10" s="13"/>
      <c r="M10" s="13"/>
      <c r="N10" s="13"/>
      <c r="O10" s="13" t="s">
        <v>18</v>
      </c>
      <c r="P10" s="13"/>
    </row>
    <row r="11" spans="1:16" ht="33" thickBot="1" x14ac:dyDescent="0.25">
      <c r="A11" s="3" t="s">
        <v>19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10" t="s">
        <v>52</v>
      </c>
      <c r="J11" s="10" t="s">
        <v>37</v>
      </c>
      <c r="K11" s="10" t="s">
        <v>53</v>
      </c>
      <c r="L11" s="10" t="s">
        <v>54</v>
      </c>
      <c r="M11" s="3" t="s">
        <v>27</v>
      </c>
      <c r="N11" s="3" t="s">
        <v>28</v>
      </c>
      <c r="O11" s="3" t="s">
        <v>29</v>
      </c>
      <c r="P11" s="3" t="s">
        <v>30</v>
      </c>
    </row>
    <row r="12" spans="1:16" ht="17" thickTop="1" x14ac:dyDescent="0.2">
      <c r="A12" s="21">
        <v>1</v>
      </c>
      <c r="B12" s="22"/>
      <c r="C12" s="23"/>
      <c r="D12" s="24"/>
      <c r="E12" s="24"/>
      <c r="F12" s="25"/>
      <c r="G12" s="26"/>
      <c r="H12" s="26"/>
      <c r="I12" s="27"/>
      <c r="J12" s="28"/>
      <c r="K12" s="28"/>
      <c r="L12" s="28"/>
      <c r="M12" s="11" t="str">
        <f t="shared" ref="M12:M14" si="0">IFERROR((H12/((E12*660/1000000/D12)^-1)*10.5)*G12,"")</f>
        <v/>
      </c>
      <c r="N12" s="29" t="str">
        <f t="shared" ref="N12:N13" si="1">IFERROR(10.5*G12-O12-M12-I12-J12-L12-K12,"")</f>
        <v/>
      </c>
      <c r="O12" s="30">
        <f t="shared" ref="O12:O41" si="2">10.5*G12-((90*0.95 - MM_sum/_xlnm.extract)/(90*0.95))*10.5*G12</f>
        <v>0</v>
      </c>
      <c r="P12" s="13"/>
    </row>
    <row r="13" spans="1:16" x14ac:dyDescent="0.2">
      <c r="A13" s="31">
        <v>2</v>
      </c>
      <c r="B13" s="32"/>
      <c r="C13" s="33"/>
      <c r="D13" s="24"/>
      <c r="E13" s="24"/>
      <c r="F13" s="34"/>
      <c r="G13" s="35"/>
      <c r="H13" s="35"/>
      <c r="I13" s="36"/>
      <c r="J13" s="34"/>
      <c r="K13" s="34"/>
      <c r="L13" s="34"/>
      <c r="M13" s="34" t="str">
        <f t="shared" si="0"/>
        <v/>
      </c>
      <c r="N13" s="37" t="str">
        <f t="shared" si="1"/>
        <v/>
      </c>
      <c r="O13" s="38">
        <f t="shared" si="2"/>
        <v>0</v>
      </c>
      <c r="P13" s="13"/>
    </row>
    <row r="14" spans="1:16" x14ac:dyDescent="0.2">
      <c r="A14" s="39">
        <v>3</v>
      </c>
      <c r="B14" s="40" t="s">
        <v>40</v>
      </c>
      <c r="C14" s="18" t="s">
        <v>31</v>
      </c>
      <c r="D14" s="24">
        <f>19</f>
        <v>19</v>
      </c>
      <c r="E14" s="24">
        <v>3203</v>
      </c>
      <c r="F14" s="25">
        <f t="shared" ref="F14" si="3">IFERROR(1/(E14*660/1000000/D14),"")</f>
        <v>8.9877860717698361</v>
      </c>
      <c r="G14" s="24">
        <v>1</v>
      </c>
      <c r="H14" s="24">
        <v>1</v>
      </c>
      <c r="I14" s="41">
        <f>M26</f>
        <v>0.14637724137931032</v>
      </c>
      <c r="J14" s="42">
        <f>M32</f>
        <v>0.20750625000000003</v>
      </c>
      <c r="K14" s="42">
        <v>0</v>
      </c>
      <c r="L14" s="42">
        <v>1</v>
      </c>
      <c r="M14" s="25">
        <f t="shared" si="0"/>
        <v>1.168252105263158</v>
      </c>
      <c r="N14" s="43">
        <f>IFERROR(10.5*G14-O14-M14-I14-J14-L14-K14,"")</f>
        <v>0.10286440335753166</v>
      </c>
      <c r="O14" s="44">
        <f t="shared" si="2"/>
        <v>7.875</v>
      </c>
      <c r="P14" s="13" t="s">
        <v>50</v>
      </c>
    </row>
    <row r="15" spans="1:16" x14ac:dyDescent="0.2">
      <c r="A15" s="31">
        <v>4</v>
      </c>
      <c r="B15" s="32" t="s">
        <v>41</v>
      </c>
      <c r="C15" s="45" t="s">
        <v>32</v>
      </c>
      <c r="D15" s="24">
        <v>1</v>
      </c>
      <c r="E15" s="24">
        <v>1</v>
      </c>
      <c r="F15" s="34">
        <f>IFERROR(1/(E15*660/1000000/D15),"")</f>
        <v>1515.1515151515152</v>
      </c>
      <c r="G15" s="46">
        <v>1</v>
      </c>
      <c r="H15" s="46">
        <v>0</v>
      </c>
      <c r="I15" s="41">
        <v>0</v>
      </c>
      <c r="J15" s="42">
        <v>0</v>
      </c>
      <c r="K15" s="48">
        <f>M27+M29</f>
        <v>1.0835239655172413</v>
      </c>
      <c r="L15" s="48">
        <v>0</v>
      </c>
      <c r="M15" s="34">
        <f>IFERROR((H15/((E15*660/1000000/D15)^-1)*10.5)*G15,"")</f>
        <v>0</v>
      </c>
      <c r="N15" s="37">
        <f>IFERROR(10.5*G15-O15-M15-I15-J15-L15-K15,"")</f>
        <v>1.5414760344827587</v>
      </c>
      <c r="O15" s="38">
        <f t="shared" si="2"/>
        <v>7.875</v>
      </c>
      <c r="P15" s="13" t="s">
        <v>51</v>
      </c>
    </row>
    <row r="16" spans="1:16" x14ac:dyDescent="0.2">
      <c r="A16" s="39">
        <v>5</v>
      </c>
      <c r="B16" s="40" t="s">
        <v>42</v>
      </c>
      <c r="C16" s="18" t="s">
        <v>60</v>
      </c>
      <c r="D16" s="24">
        <f>22.6/2</f>
        <v>11.3</v>
      </c>
      <c r="E16" s="24">
        <v>3265</v>
      </c>
      <c r="F16" s="49">
        <f t="shared" ref="F16:F41" si="4">IFERROR(1/(E16*660/1000000/D16),"")</f>
        <v>5.2438628242609866</v>
      </c>
      <c r="G16" s="24">
        <v>1</v>
      </c>
      <c r="H16" s="24">
        <v>0.2</v>
      </c>
      <c r="I16" s="41">
        <f>I15</f>
        <v>0</v>
      </c>
      <c r="J16" s="42">
        <f>J15</f>
        <v>0</v>
      </c>
      <c r="K16" s="42">
        <f>K15</f>
        <v>1.0835239655172413</v>
      </c>
      <c r="L16" s="42">
        <v>0</v>
      </c>
      <c r="M16" s="49">
        <f t="shared" ref="M16:M41" si="5">IFERROR((H16/((E16*660/1000000/D16)^-1)*10.5)*G16,"")</f>
        <v>0.40046814159292032</v>
      </c>
      <c r="N16" s="50">
        <f t="shared" ref="N16:N41" si="6">IFERROR(10.5*G16-O16-M16-I16-J16-L16-K16,"")</f>
        <v>1.1410078928898382</v>
      </c>
      <c r="O16" s="44">
        <f t="shared" si="2"/>
        <v>7.875</v>
      </c>
      <c r="P16" s="13" t="s">
        <v>62</v>
      </c>
    </row>
    <row r="17" spans="1:16" x14ac:dyDescent="0.2">
      <c r="A17" s="31">
        <v>6</v>
      </c>
      <c r="B17" s="32" t="s">
        <v>43</v>
      </c>
      <c r="C17" s="45" t="s">
        <v>61</v>
      </c>
      <c r="D17" s="24">
        <v>133</v>
      </c>
      <c r="E17" s="24">
        <v>3104</v>
      </c>
      <c r="F17" s="34">
        <f t="shared" si="4"/>
        <v>64.92111840049985</v>
      </c>
      <c r="G17" s="46">
        <v>1</v>
      </c>
      <c r="H17" s="46">
        <v>6</v>
      </c>
      <c r="I17" s="41">
        <f>I16</f>
        <v>0</v>
      </c>
      <c r="J17" s="42">
        <f>J15</f>
        <v>0</v>
      </c>
      <c r="K17" s="48">
        <f>K15</f>
        <v>1.0835239655172413</v>
      </c>
      <c r="L17" s="48">
        <v>0</v>
      </c>
      <c r="M17" s="34">
        <f t="shared" si="5"/>
        <v>0.97040842105263136</v>
      </c>
      <c r="N17" s="37">
        <f t="shared" si="6"/>
        <v>0.57106761343012735</v>
      </c>
      <c r="O17" s="38">
        <f t="shared" si="2"/>
        <v>7.875</v>
      </c>
      <c r="P17" s="13" t="s">
        <v>63</v>
      </c>
    </row>
    <row r="18" spans="1:16" x14ac:dyDescent="0.2">
      <c r="A18" s="39">
        <v>7</v>
      </c>
      <c r="B18" s="40" t="s">
        <v>45</v>
      </c>
      <c r="C18" s="18" t="s">
        <v>55</v>
      </c>
      <c r="D18" s="24">
        <f>D17</f>
        <v>133</v>
      </c>
      <c r="E18" s="24">
        <f>E17</f>
        <v>3104</v>
      </c>
      <c r="F18" s="49">
        <f t="shared" si="4"/>
        <v>64.92111840049985</v>
      </c>
      <c r="G18" s="24">
        <v>1</v>
      </c>
      <c r="H18" s="24">
        <f>H17</f>
        <v>6</v>
      </c>
      <c r="I18" s="41">
        <f>I17</f>
        <v>0</v>
      </c>
      <c r="J18" s="42">
        <f>J15</f>
        <v>0</v>
      </c>
      <c r="K18" s="42">
        <f>K15</f>
        <v>1.0835239655172413</v>
      </c>
      <c r="L18" s="42">
        <f>M21</f>
        <v>0.40046814159292032</v>
      </c>
      <c r="M18" s="25">
        <f t="shared" si="5"/>
        <v>0.97040842105263136</v>
      </c>
      <c r="N18" s="43">
        <f t="shared" si="6"/>
        <v>0.17059947183720703</v>
      </c>
      <c r="O18" s="44">
        <f t="shared" si="2"/>
        <v>7.875</v>
      </c>
      <c r="P18" s="13" t="s">
        <v>64</v>
      </c>
    </row>
    <row r="19" spans="1:16" x14ac:dyDescent="0.2">
      <c r="A19" s="31">
        <v>8</v>
      </c>
      <c r="B19" s="32"/>
      <c r="C19" s="45"/>
      <c r="D19" s="24"/>
      <c r="E19" s="24"/>
      <c r="F19" s="34" t="str">
        <f t="shared" si="4"/>
        <v/>
      </c>
      <c r="G19" s="46"/>
      <c r="H19" s="46"/>
      <c r="I19" s="41">
        <f>I18</f>
        <v>0</v>
      </c>
      <c r="J19" s="42">
        <f>J15</f>
        <v>0</v>
      </c>
      <c r="K19" s="48">
        <v>0</v>
      </c>
      <c r="L19" s="48">
        <v>0</v>
      </c>
      <c r="M19" s="34" t="str">
        <f t="shared" si="5"/>
        <v/>
      </c>
      <c r="N19" s="37" t="str">
        <f t="shared" si="6"/>
        <v/>
      </c>
      <c r="O19" s="38">
        <f t="shared" si="2"/>
        <v>0</v>
      </c>
      <c r="P19" s="13"/>
    </row>
    <row r="20" spans="1:16" x14ac:dyDescent="0.2">
      <c r="A20" s="39">
        <v>9</v>
      </c>
      <c r="B20" s="40"/>
      <c r="C20" s="64" t="s">
        <v>56</v>
      </c>
      <c r="D20" s="24"/>
      <c r="E20" s="24"/>
      <c r="F20" s="49" t="str">
        <f t="shared" si="4"/>
        <v/>
      </c>
      <c r="G20" s="24"/>
      <c r="H20" s="24"/>
      <c r="I20" s="41">
        <f>I19</f>
        <v>0</v>
      </c>
      <c r="J20" s="42">
        <f>J15</f>
        <v>0</v>
      </c>
      <c r="K20" s="42">
        <v>0</v>
      </c>
      <c r="L20" s="42">
        <v>0</v>
      </c>
      <c r="M20" s="25" t="str">
        <f t="shared" si="5"/>
        <v/>
      </c>
      <c r="N20" s="43" t="str">
        <f t="shared" si="6"/>
        <v/>
      </c>
      <c r="O20" s="44">
        <f t="shared" si="2"/>
        <v>0</v>
      </c>
      <c r="P20" s="13"/>
    </row>
    <row r="21" spans="1:16" x14ac:dyDescent="0.2">
      <c r="A21" s="31">
        <v>10</v>
      </c>
      <c r="B21" s="32"/>
      <c r="C21" s="45" t="s">
        <v>57</v>
      </c>
      <c r="D21" s="46">
        <f>D16</f>
        <v>11.3</v>
      </c>
      <c r="E21" s="46">
        <f>E16</f>
        <v>3265</v>
      </c>
      <c r="F21" s="34">
        <f t="shared" si="4"/>
        <v>5.2438628242609866</v>
      </c>
      <c r="G21" s="46">
        <f>G17</f>
        <v>1</v>
      </c>
      <c r="H21" s="46">
        <v>0.2</v>
      </c>
      <c r="I21" s="47">
        <v>0</v>
      </c>
      <c r="J21" s="48">
        <v>0</v>
      </c>
      <c r="K21" s="48">
        <v>0</v>
      </c>
      <c r="L21" s="48">
        <v>0</v>
      </c>
      <c r="M21" s="34">
        <f t="shared" si="5"/>
        <v>0.40046814159292032</v>
      </c>
      <c r="N21" s="37">
        <f t="shared" si="6"/>
        <v>2.2245318584070795</v>
      </c>
      <c r="O21" s="38">
        <f t="shared" si="2"/>
        <v>7.875</v>
      </c>
      <c r="P21" s="13" t="s">
        <v>65</v>
      </c>
    </row>
    <row r="22" spans="1:16" x14ac:dyDescent="0.2">
      <c r="A22" s="39">
        <v>11</v>
      </c>
      <c r="B22" s="40"/>
      <c r="C22" s="18"/>
      <c r="D22" s="24"/>
      <c r="E22" s="24" t="s">
        <v>44</v>
      </c>
      <c r="F22" s="25" t="str">
        <f t="shared" si="4"/>
        <v/>
      </c>
      <c r="G22" s="24"/>
      <c r="H22" s="24"/>
      <c r="I22" s="41">
        <v>0</v>
      </c>
      <c r="J22" s="42">
        <v>0</v>
      </c>
      <c r="K22" s="42">
        <v>0</v>
      </c>
      <c r="L22" s="42">
        <v>0</v>
      </c>
      <c r="M22" s="25" t="str">
        <f t="shared" si="5"/>
        <v/>
      </c>
      <c r="N22" s="43" t="str">
        <f t="shared" si="6"/>
        <v/>
      </c>
      <c r="O22" s="44">
        <f t="shared" si="2"/>
        <v>0</v>
      </c>
      <c r="P22" s="13"/>
    </row>
    <row r="23" spans="1:16" x14ac:dyDescent="0.2">
      <c r="A23" s="31">
        <v>12</v>
      </c>
      <c r="B23" s="32"/>
      <c r="C23" s="45"/>
      <c r="D23" s="46"/>
      <c r="E23" s="46"/>
      <c r="F23" s="34"/>
      <c r="G23" s="46"/>
      <c r="H23" s="46"/>
      <c r="I23" s="47">
        <v>0</v>
      </c>
      <c r="J23" s="48">
        <v>0</v>
      </c>
      <c r="K23" s="48">
        <v>0</v>
      </c>
      <c r="L23" s="48">
        <v>0</v>
      </c>
      <c r="M23" s="34" t="str">
        <f t="shared" si="5"/>
        <v/>
      </c>
      <c r="N23" s="37" t="str">
        <f t="shared" si="6"/>
        <v/>
      </c>
      <c r="O23" s="38">
        <f t="shared" si="2"/>
        <v>0</v>
      </c>
      <c r="P23" s="13"/>
    </row>
    <row r="24" spans="1:16" x14ac:dyDescent="0.2">
      <c r="A24" s="39">
        <v>13</v>
      </c>
      <c r="B24" s="40"/>
      <c r="C24" s="18"/>
      <c r="D24" s="24"/>
      <c r="E24" s="24"/>
      <c r="F24" s="49" t="str">
        <f>IFERROR(1/(E24*660/1000000/D24),"")</f>
        <v/>
      </c>
      <c r="G24" s="24"/>
      <c r="H24" s="24"/>
      <c r="I24" s="41">
        <v>0</v>
      </c>
      <c r="J24" s="42">
        <v>0</v>
      </c>
      <c r="K24" s="42">
        <v>0</v>
      </c>
      <c r="L24" s="42">
        <v>0</v>
      </c>
      <c r="M24" s="25" t="str">
        <f t="shared" si="5"/>
        <v/>
      </c>
      <c r="N24" s="43" t="str">
        <f t="shared" si="6"/>
        <v/>
      </c>
      <c r="O24" s="44">
        <f t="shared" si="2"/>
        <v>0</v>
      </c>
      <c r="P24" s="13"/>
    </row>
    <row r="25" spans="1:16" x14ac:dyDescent="0.2">
      <c r="A25" s="31">
        <v>14</v>
      </c>
      <c r="B25" s="32"/>
      <c r="C25" s="45"/>
      <c r="D25" s="46"/>
      <c r="E25" s="46"/>
      <c r="F25" s="34"/>
      <c r="G25" s="46"/>
      <c r="H25" s="46"/>
      <c r="I25" s="47">
        <v>0</v>
      </c>
      <c r="J25" s="48">
        <v>0</v>
      </c>
      <c r="K25" s="48">
        <v>0</v>
      </c>
      <c r="L25" s="48">
        <v>0</v>
      </c>
      <c r="M25" s="34" t="str">
        <f>IFERROR((H25/((E25*660/1000000/D25)^-1)*10.5)*G25,"")</f>
        <v/>
      </c>
      <c r="N25" s="37" t="str">
        <f>IFERROR(10.5*G25-O25-M25-I25-J25-L25-K25,"")</f>
        <v/>
      </c>
      <c r="O25" s="38">
        <f>10.5*G25-((90*0.95 - MM_sum/_xlnm.extract)/(90*0.95))*10.5*G25</f>
        <v>0</v>
      </c>
      <c r="P25" s="13"/>
    </row>
    <row r="26" spans="1:16" x14ac:dyDescent="0.2">
      <c r="A26" s="39">
        <v>15</v>
      </c>
      <c r="B26" s="40"/>
      <c r="C26" s="18" t="s">
        <v>36</v>
      </c>
      <c r="D26" s="24">
        <v>319</v>
      </c>
      <c r="E26" s="24">
        <v>3369</v>
      </c>
      <c r="F26" s="49">
        <f t="shared" si="4"/>
        <v>143.46492529929753</v>
      </c>
      <c r="G26" s="24">
        <v>1</v>
      </c>
      <c r="H26" s="24">
        <v>2</v>
      </c>
      <c r="I26" s="41">
        <v>0</v>
      </c>
      <c r="J26" s="42">
        <v>0</v>
      </c>
      <c r="K26" s="42">
        <v>0</v>
      </c>
      <c r="L26" s="42">
        <v>0</v>
      </c>
      <c r="M26" s="25">
        <f t="shared" si="5"/>
        <v>0.14637724137931032</v>
      </c>
      <c r="N26" s="43">
        <f t="shared" si="6"/>
        <v>2.4786227586206895</v>
      </c>
      <c r="O26" s="44">
        <f t="shared" si="2"/>
        <v>7.875</v>
      </c>
      <c r="P26" s="13" t="s">
        <v>35</v>
      </c>
    </row>
    <row r="27" spans="1:16" s="12" customFormat="1" x14ac:dyDescent="0.2">
      <c r="A27" s="55">
        <v>16</v>
      </c>
      <c r="B27" s="56"/>
      <c r="C27" s="57" t="s">
        <v>38</v>
      </c>
      <c r="D27" s="58">
        <f>D26/4</f>
        <v>79.75</v>
      </c>
      <c r="E27" s="58">
        <f>E26</f>
        <v>3369</v>
      </c>
      <c r="F27" s="59"/>
      <c r="G27" s="58">
        <f>G26</f>
        <v>1</v>
      </c>
      <c r="H27" s="58">
        <f>H26</f>
        <v>2</v>
      </c>
      <c r="I27" s="60">
        <f>I25</f>
        <v>0</v>
      </c>
      <c r="J27" s="61">
        <v>0</v>
      </c>
      <c r="K27" s="61">
        <v>0</v>
      </c>
      <c r="L27" s="61">
        <v>0</v>
      </c>
      <c r="M27" s="59">
        <f t="shared" si="5"/>
        <v>0.5855089655172413</v>
      </c>
      <c r="N27" s="62">
        <f t="shared" si="6"/>
        <v>2.0394910344827588</v>
      </c>
      <c r="O27" s="63">
        <f t="shared" si="2"/>
        <v>7.875</v>
      </c>
      <c r="P27" s="6" t="s">
        <v>47</v>
      </c>
    </row>
    <row r="28" spans="1:16" x14ac:dyDescent="0.2">
      <c r="A28" s="39">
        <v>17</v>
      </c>
      <c r="B28" s="40"/>
      <c r="C28" s="18" t="s">
        <v>37</v>
      </c>
      <c r="D28" s="24">
        <v>264</v>
      </c>
      <c r="E28" s="24">
        <v>3162</v>
      </c>
      <c r="F28" s="49">
        <f t="shared" si="4"/>
        <v>126.5022137887413</v>
      </c>
      <c r="G28" s="24">
        <v>1</v>
      </c>
      <c r="H28" s="24">
        <v>0.5</v>
      </c>
      <c r="I28" s="41">
        <v>0</v>
      </c>
      <c r="J28" s="42">
        <v>0</v>
      </c>
      <c r="K28" s="42">
        <v>0</v>
      </c>
      <c r="L28" s="42">
        <v>0</v>
      </c>
      <c r="M28" s="25">
        <f t="shared" si="5"/>
        <v>4.1501250000000003E-2</v>
      </c>
      <c r="N28" s="43">
        <f t="shared" si="6"/>
        <v>2.58349875</v>
      </c>
      <c r="O28" s="44">
        <f t="shared" si="2"/>
        <v>7.875</v>
      </c>
      <c r="P28" s="13"/>
    </row>
    <row r="29" spans="1:16" s="12" customFormat="1" x14ac:dyDescent="0.2">
      <c r="A29" s="55">
        <v>18</v>
      </c>
      <c r="B29" s="56"/>
      <c r="C29" s="57" t="s">
        <v>39</v>
      </c>
      <c r="D29" s="58">
        <f>D28/12</f>
        <v>22</v>
      </c>
      <c r="E29" s="58">
        <f>E28</f>
        <v>3162</v>
      </c>
      <c r="F29" s="59">
        <f t="shared" si="4"/>
        <v>10.541851149061776</v>
      </c>
      <c r="G29" s="58">
        <f>G28</f>
        <v>1</v>
      </c>
      <c r="H29" s="58">
        <f>H28</f>
        <v>0.5</v>
      </c>
      <c r="I29" s="60">
        <v>0</v>
      </c>
      <c r="J29" s="61">
        <v>0</v>
      </c>
      <c r="K29" s="61">
        <v>0</v>
      </c>
      <c r="L29" s="61">
        <v>0</v>
      </c>
      <c r="M29" s="59">
        <f t="shared" si="5"/>
        <v>0.49801499999999999</v>
      </c>
      <c r="N29" s="62">
        <f t="shared" si="6"/>
        <v>2.1269849999999999</v>
      </c>
      <c r="O29" s="63">
        <f t="shared" si="2"/>
        <v>7.875</v>
      </c>
      <c r="P29" s="6" t="s">
        <v>48</v>
      </c>
    </row>
    <row r="30" spans="1:16" x14ac:dyDescent="0.2">
      <c r="A30" s="39">
        <v>19</v>
      </c>
      <c r="B30" s="40"/>
      <c r="C30" s="18"/>
      <c r="D30" s="24"/>
      <c r="E30" s="24"/>
      <c r="F30" s="49" t="str">
        <f>IFERROR(1/(E30*660/1000000/D30),"")</f>
        <v/>
      </c>
      <c r="G30" s="24"/>
      <c r="H30" s="24"/>
      <c r="I30" s="41">
        <v>0</v>
      </c>
      <c r="J30" s="42">
        <v>0</v>
      </c>
      <c r="K30" s="42">
        <v>0</v>
      </c>
      <c r="L30" s="42">
        <v>0</v>
      </c>
      <c r="M30" s="25" t="str">
        <f>IFERROR((H30/((E30*660/1000000/D30)^-1)*10.5)*G30,"")</f>
        <v/>
      </c>
      <c r="N30" s="43" t="str">
        <f t="shared" si="6"/>
        <v/>
      </c>
      <c r="O30" s="44">
        <f t="shared" si="2"/>
        <v>0</v>
      </c>
      <c r="P30" s="13"/>
    </row>
    <row r="31" spans="1:16" x14ac:dyDescent="0.2">
      <c r="A31" s="31">
        <v>20</v>
      </c>
      <c r="B31" s="32"/>
      <c r="C31" s="45"/>
      <c r="D31" s="46"/>
      <c r="E31" s="46"/>
      <c r="F31" s="34"/>
      <c r="G31" s="46"/>
      <c r="H31" s="46"/>
      <c r="I31" s="47">
        <v>0</v>
      </c>
      <c r="J31" s="48">
        <v>0</v>
      </c>
      <c r="K31" s="48">
        <v>0</v>
      </c>
      <c r="L31" s="48">
        <v>0</v>
      </c>
      <c r="M31" s="34" t="str">
        <f>IFERROR((H31/((E31*660/1000000/D31)^-1)*10.5)*G31,"")</f>
        <v/>
      </c>
      <c r="N31" s="37" t="str">
        <f>IFERROR(10.5*G31-O31-M31-I31-J31-L31-K31,"")</f>
        <v/>
      </c>
      <c r="O31" s="38">
        <f>10.5*G31-((90*0.95 - MM_sum/_xlnm.extract)/(90*0.95))*10.5*G31</f>
        <v>0</v>
      </c>
      <c r="P31" s="13"/>
    </row>
    <row r="32" spans="1:16" x14ac:dyDescent="0.2">
      <c r="A32" s="39">
        <v>21</v>
      </c>
      <c r="B32" s="40"/>
      <c r="C32" s="18" t="s">
        <v>46</v>
      </c>
      <c r="D32" s="24">
        <f>D28/5</f>
        <v>52.8</v>
      </c>
      <c r="E32" s="24">
        <v>3162</v>
      </c>
      <c r="F32" s="49">
        <f t="shared" si="4"/>
        <v>25.300442757748257</v>
      </c>
      <c r="G32" s="24">
        <v>1</v>
      </c>
      <c r="H32" s="24">
        <f>H28</f>
        <v>0.5</v>
      </c>
      <c r="I32" s="41">
        <v>0</v>
      </c>
      <c r="J32" s="42">
        <v>0</v>
      </c>
      <c r="K32" s="42">
        <v>0</v>
      </c>
      <c r="L32" s="42">
        <v>0</v>
      </c>
      <c r="M32" s="25">
        <f t="shared" si="5"/>
        <v>0.20750625000000003</v>
      </c>
      <c r="N32" s="43">
        <f t="shared" si="6"/>
        <v>2.4174937499999998</v>
      </c>
      <c r="O32" s="44">
        <f t="shared" si="2"/>
        <v>7.875</v>
      </c>
      <c r="P32" s="13" t="s">
        <v>49</v>
      </c>
    </row>
    <row r="33" spans="1:16" x14ac:dyDescent="0.2">
      <c r="A33" s="31">
        <v>22</v>
      </c>
      <c r="B33" s="32"/>
      <c r="C33" s="45"/>
      <c r="D33" s="46"/>
      <c r="E33" s="46"/>
      <c r="F33" s="34" t="str">
        <f t="shared" si="4"/>
        <v/>
      </c>
      <c r="G33" s="46"/>
      <c r="H33" s="46"/>
      <c r="I33" s="47">
        <v>0</v>
      </c>
      <c r="J33" s="48">
        <v>0</v>
      </c>
      <c r="K33" s="48">
        <v>0</v>
      </c>
      <c r="L33" s="48">
        <v>0</v>
      </c>
      <c r="M33" s="34" t="str">
        <f t="shared" si="5"/>
        <v/>
      </c>
      <c r="N33" s="37" t="str">
        <f t="shared" si="6"/>
        <v/>
      </c>
      <c r="O33" s="38">
        <f t="shared" si="2"/>
        <v>0</v>
      </c>
      <c r="P33" s="13"/>
    </row>
    <row r="34" spans="1:16" x14ac:dyDescent="0.2">
      <c r="A34" s="39">
        <v>23</v>
      </c>
      <c r="B34" s="40"/>
      <c r="C34" s="18"/>
      <c r="D34" s="24"/>
      <c r="E34" s="24"/>
      <c r="F34" s="49" t="str">
        <f t="shared" si="4"/>
        <v/>
      </c>
      <c r="G34" s="24"/>
      <c r="H34" s="24"/>
      <c r="I34" s="41">
        <v>0</v>
      </c>
      <c r="J34" s="42">
        <v>0</v>
      </c>
      <c r="K34" s="42">
        <v>0</v>
      </c>
      <c r="L34" s="42">
        <v>0</v>
      </c>
      <c r="M34" s="25" t="str">
        <f t="shared" si="5"/>
        <v/>
      </c>
      <c r="N34" s="43" t="str">
        <f t="shared" si="6"/>
        <v/>
      </c>
      <c r="O34" s="44">
        <f t="shared" si="2"/>
        <v>0</v>
      </c>
      <c r="P34" s="13"/>
    </row>
    <row r="35" spans="1:16" x14ac:dyDescent="0.2">
      <c r="A35" s="31">
        <v>24</v>
      </c>
      <c r="B35" s="32"/>
      <c r="C35" s="45"/>
      <c r="D35" s="46"/>
      <c r="E35" s="46"/>
      <c r="F35" s="34" t="str">
        <f t="shared" si="4"/>
        <v/>
      </c>
      <c r="G35" s="46"/>
      <c r="H35" s="46"/>
      <c r="I35" s="47">
        <v>0</v>
      </c>
      <c r="J35" s="48">
        <v>0</v>
      </c>
      <c r="K35" s="48">
        <v>0</v>
      </c>
      <c r="L35" s="48">
        <v>0</v>
      </c>
      <c r="M35" s="34" t="str">
        <f t="shared" si="5"/>
        <v/>
      </c>
      <c r="N35" s="37" t="str">
        <f t="shared" si="6"/>
        <v/>
      </c>
      <c r="O35" s="38">
        <f t="shared" si="2"/>
        <v>0</v>
      </c>
      <c r="P35" s="13"/>
    </row>
    <row r="36" spans="1:16" x14ac:dyDescent="0.2">
      <c r="A36" s="39">
        <v>25</v>
      </c>
      <c r="B36" s="40"/>
      <c r="C36" s="18"/>
      <c r="D36" s="24"/>
      <c r="E36" s="24"/>
      <c r="F36" s="49" t="str">
        <f t="shared" si="4"/>
        <v/>
      </c>
      <c r="G36" s="24"/>
      <c r="H36" s="24"/>
      <c r="I36" s="41">
        <v>0</v>
      </c>
      <c r="J36" s="42">
        <v>0</v>
      </c>
      <c r="K36" s="42">
        <v>0</v>
      </c>
      <c r="L36" s="42">
        <v>0</v>
      </c>
      <c r="M36" s="25" t="str">
        <f t="shared" si="5"/>
        <v/>
      </c>
      <c r="N36" s="43" t="str">
        <f t="shared" si="6"/>
        <v/>
      </c>
      <c r="O36" s="44">
        <f t="shared" si="2"/>
        <v>0</v>
      </c>
      <c r="P36" s="13"/>
    </row>
    <row r="37" spans="1:16" x14ac:dyDescent="0.2">
      <c r="A37" s="31">
        <v>26</v>
      </c>
      <c r="B37" s="32"/>
      <c r="C37" s="45"/>
      <c r="D37" s="46"/>
      <c r="E37" s="46"/>
      <c r="F37" s="34" t="str">
        <f t="shared" si="4"/>
        <v/>
      </c>
      <c r="G37" s="46"/>
      <c r="H37" s="46"/>
      <c r="I37" s="47">
        <v>0</v>
      </c>
      <c r="J37" s="48">
        <v>0</v>
      </c>
      <c r="K37" s="48">
        <v>0</v>
      </c>
      <c r="L37" s="48">
        <v>0</v>
      </c>
      <c r="M37" s="34" t="str">
        <f t="shared" si="5"/>
        <v/>
      </c>
      <c r="N37" s="37" t="str">
        <f t="shared" si="6"/>
        <v/>
      </c>
      <c r="O37" s="38">
        <f t="shared" si="2"/>
        <v>0</v>
      </c>
      <c r="P37" s="13"/>
    </row>
    <row r="38" spans="1:16" x14ac:dyDescent="0.2">
      <c r="A38" s="39">
        <v>27</v>
      </c>
      <c r="B38" s="40"/>
      <c r="C38" s="18"/>
      <c r="D38" s="24"/>
      <c r="E38" s="24"/>
      <c r="F38" s="49" t="str">
        <f t="shared" si="4"/>
        <v/>
      </c>
      <c r="G38" s="24"/>
      <c r="H38" s="24"/>
      <c r="I38" s="41">
        <v>0</v>
      </c>
      <c r="J38" s="42">
        <v>0</v>
      </c>
      <c r="K38" s="42">
        <v>0</v>
      </c>
      <c r="L38" s="42">
        <v>0</v>
      </c>
      <c r="M38" s="25" t="str">
        <f t="shared" si="5"/>
        <v/>
      </c>
      <c r="N38" s="43" t="str">
        <f t="shared" si="6"/>
        <v/>
      </c>
      <c r="O38" s="44">
        <f t="shared" si="2"/>
        <v>0</v>
      </c>
      <c r="P38" s="13"/>
    </row>
    <row r="39" spans="1:16" x14ac:dyDescent="0.2">
      <c r="A39" s="31">
        <v>28</v>
      </c>
      <c r="B39" s="32"/>
      <c r="C39" s="45"/>
      <c r="D39" s="46"/>
      <c r="E39" s="46"/>
      <c r="F39" s="34" t="str">
        <f t="shared" si="4"/>
        <v/>
      </c>
      <c r="G39" s="46"/>
      <c r="H39" s="46"/>
      <c r="I39" s="47">
        <v>0</v>
      </c>
      <c r="J39" s="48">
        <v>0</v>
      </c>
      <c r="K39" s="48">
        <v>0</v>
      </c>
      <c r="L39" s="48">
        <v>0</v>
      </c>
      <c r="M39" s="34" t="str">
        <f t="shared" si="5"/>
        <v/>
      </c>
      <c r="N39" s="37" t="str">
        <f t="shared" si="6"/>
        <v/>
      </c>
      <c r="O39" s="38">
        <f t="shared" si="2"/>
        <v>0</v>
      </c>
      <c r="P39" s="13"/>
    </row>
    <row r="40" spans="1:16" x14ac:dyDescent="0.2">
      <c r="A40" s="39">
        <v>29</v>
      </c>
      <c r="B40" s="40"/>
      <c r="C40" s="18"/>
      <c r="D40" s="24"/>
      <c r="E40" s="24"/>
      <c r="F40" s="49" t="str">
        <f t="shared" si="4"/>
        <v/>
      </c>
      <c r="G40" s="24"/>
      <c r="H40" s="24"/>
      <c r="I40" s="41">
        <v>0</v>
      </c>
      <c r="J40" s="42">
        <v>0</v>
      </c>
      <c r="K40" s="42">
        <v>0</v>
      </c>
      <c r="L40" s="42">
        <v>0</v>
      </c>
      <c r="M40" s="25" t="str">
        <f t="shared" si="5"/>
        <v/>
      </c>
      <c r="N40" s="43" t="str">
        <f t="shared" si="6"/>
        <v/>
      </c>
      <c r="O40" s="44">
        <f t="shared" si="2"/>
        <v>0</v>
      </c>
      <c r="P40" s="13"/>
    </row>
    <row r="41" spans="1:16" ht="17" thickBot="1" x14ac:dyDescent="0.25">
      <c r="A41" s="31">
        <v>30</v>
      </c>
      <c r="B41" s="32"/>
      <c r="C41" s="45"/>
      <c r="D41" s="46"/>
      <c r="E41" s="46"/>
      <c r="F41" s="34" t="str">
        <f t="shared" si="4"/>
        <v/>
      </c>
      <c r="G41" s="46"/>
      <c r="H41" s="46"/>
      <c r="I41" s="51">
        <v>0</v>
      </c>
      <c r="J41" s="52">
        <v>0</v>
      </c>
      <c r="K41" s="52">
        <v>0</v>
      </c>
      <c r="L41" s="52">
        <v>0</v>
      </c>
      <c r="M41" s="53" t="str">
        <f t="shared" si="5"/>
        <v/>
      </c>
      <c r="N41" s="54" t="str">
        <f t="shared" si="6"/>
        <v/>
      </c>
      <c r="O41" s="38">
        <f t="shared" si="2"/>
        <v>0</v>
      </c>
      <c r="P41" s="13"/>
    </row>
    <row r="42" spans="1:16" ht="17" thickTop="1" x14ac:dyDescent="0.2"/>
  </sheetData>
  <conditionalFormatting sqref="I12:O41">
    <cfRule type="cellIs" dxfId="1" priority="10" operator="equal">
      <formula>0</formula>
    </cfRule>
    <cfRule type="cellIs" dxfId="0" priority="11" operator="lessThan">
      <formula>0.5</formula>
    </cfRule>
  </conditionalFormatting>
  <conditionalFormatting sqref="D3:D4">
    <cfRule type="cellIs" dxfId="10" priority="8" operator="equal">
      <formula>0</formula>
    </cfRule>
    <cfRule type="cellIs" dxfId="9" priority="9" operator="lessThan">
      <formula>0.5</formula>
    </cfRule>
  </conditionalFormatting>
  <conditionalFormatting sqref="D3:D4">
    <cfRule type="expression" dxfId="8" priority="7">
      <formula>(MM_sum/_xlnm.extract &gt; 85.5)</formula>
    </cfRule>
  </conditionalFormatting>
  <conditionalFormatting sqref="D5">
    <cfRule type="cellIs" dxfId="7" priority="5" operator="equal">
      <formula>0</formula>
    </cfRule>
    <cfRule type="cellIs" dxfId="6" priority="6" operator="lessThan">
      <formula>0.5</formula>
    </cfRule>
  </conditionalFormatting>
  <conditionalFormatting sqref="D5">
    <cfRule type="expression" dxfId="5" priority="4">
      <formula>(MM_sum/_xlnm.extract &gt; 85.5)</formula>
    </cfRule>
  </conditionalFormatting>
  <conditionalFormatting sqref="D6:D8">
    <cfRule type="cellIs" dxfId="4" priority="2" operator="equal">
      <formula>0</formula>
    </cfRule>
    <cfRule type="cellIs" dxfId="3" priority="3" operator="lessThan">
      <formula>0.5</formula>
    </cfRule>
  </conditionalFormatting>
  <conditionalFormatting sqref="D6:D8">
    <cfRule type="expression" dxfId="2" priority="1">
      <formula>(MM_sum/_xlnm.extract &gt; 85.5)</formula>
    </cfRule>
  </conditionalFormatting>
  <dataValidations count="1">
    <dataValidation type="custom" allowBlank="1" showInputMessage="1" showErrorMessage="1" sqref="M11:P11 G12:L13 C12:C13 M12:O41 A11:H11 B9 F12:F41" xr:uid="{9B8C6D2D-0EC5-E14E-8480-F0A8603ED58A}">
      <formula1>""""""</formula1>
    </dataValidation>
  </dataValidations>
  <pageMargins left="0.25" right="0.25" top="0.75" bottom="0.75" header="0.3" footer="0.3"/>
  <pageSetup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2020-10-06T01:26:36Z</dcterms:created>
  <dcterms:modified xsi:type="dcterms:W3CDTF">2020-10-06T15:41:32Z</dcterms:modified>
</cp:coreProperties>
</file>