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03_exp10_controls_atp/"/>
    </mc:Choice>
  </mc:AlternateContent>
  <xr:revisionPtr revIDLastSave="0" documentId="13_ncr:1_{1D278770-01DE-3E47-9CCD-0D0C162CC2BA}" xr6:coauthVersionLast="45" xr6:coauthVersionMax="45" xr10:uidLastSave="{00000000-0000-0000-0000-000000000000}"/>
  <bookViews>
    <workbookView xWindow="4560" yWindow="46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Outline!$A$1:$AQ$52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2" l="1"/>
  <c r="W24" i="2"/>
  <c r="W28" i="2" l="1"/>
  <c r="D35" i="2"/>
  <c r="D37" i="2" l="1"/>
  <c r="W30" i="2"/>
  <c r="W31" i="2" s="1"/>
  <c r="M21" i="2"/>
  <c r="M40" i="2" s="1"/>
  <c r="M24" i="2"/>
  <c r="M25" i="2"/>
  <c r="N21" i="2"/>
  <c r="M30" i="2"/>
  <c r="N23" i="2"/>
  <c r="D34" i="2"/>
  <c r="N22" i="2"/>
  <c r="N25" i="2"/>
  <c r="G33" i="2" l="1"/>
  <c r="H30" i="2"/>
  <c r="H31" i="2" s="1"/>
  <c r="H33" i="2" s="1"/>
  <c r="D39" i="2"/>
  <c r="D38" i="2"/>
  <c r="K25" i="2"/>
  <c r="M22" i="2"/>
  <c r="F22" i="2"/>
  <c r="F21" i="2"/>
  <c r="F25" i="2"/>
  <c r="H35" i="2" l="1"/>
  <c r="H32" i="2"/>
  <c r="H34" i="2" s="1"/>
  <c r="C13" i="2"/>
  <c r="C12" i="2" s="1"/>
  <c r="F23" i="2" l="1"/>
  <c r="M23" i="2" l="1"/>
  <c r="F24" i="2"/>
  <c r="F26" i="2"/>
  <c r="M26" i="2"/>
  <c r="I15" i="2" l="1"/>
  <c r="I16" i="2"/>
  <c r="I17" i="2"/>
  <c r="D13" i="2" l="1"/>
  <c r="D12" i="2"/>
  <c r="D17" i="2"/>
  <c r="D16" i="2"/>
  <c r="D15" i="2"/>
  <c r="E15" i="2" l="1"/>
  <c r="E12" i="2" s="1"/>
  <c r="P22" i="2"/>
  <c r="P21" i="2"/>
  <c r="P26" i="2"/>
  <c r="O26" i="2" s="1"/>
  <c r="P23" i="2"/>
  <c r="P25" i="2"/>
  <c r="P24" i="2"/>
  <c r="J21" i="2" l="1"/>
  <c r="M43" i="2" s="1"/>
  <c r="E13" i="2"/>
  <c r="K21" i="2" s="1"/>
  <c r="M44" i="2" s="1"/>
  <c r="L21" i="2" l="1"/>
  <c r="O21" i="2" s="1"/>
  <c r="K22" i="2"/>
  <c r="K23" i="2" s="1"/>
  <c r="K24" i="2" s="1"/>
  <c r="J25" i="2"/>
  <c r="L25" i="2" s="1"/>
  <c r="J23" i="2"/>
  <c r="L22" i="2" l="1"/>
  <c r="O22" i="2" s="1"/>
  <c r="L23" i="2"/>
  <c r="O23" i="2" s="1"/>
  <c r="L24" i="2"/>
  <c r="O24" i="2" s="1"/>
  <c r="O25" i="2"/>
  <c r="N24" i="2" l="1"/>
</calcChain>
</file>

<file path=xl/sharedStrings.xml><?xml version="1.0" encoding="utf-8"?>
<sst xmlns="http://schemas.openxmlformats.org/spreadsheetml/2006/main" count="366" uniqueCount="144">
  <si>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</si>
  <si>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</si>
  <si>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</si>
  <si>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</si>
  <si>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</si>
  <si>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</si>
  <si>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</si>
  <si>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</si>
  <si>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</si>
  <si>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</si>
  <si>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</si>
  <si>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</si>
  <si>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</si>
  <si>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</si>
  <si>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</si>
  <si>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</si>
  <si>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</si>
  <si>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</si>
  <si>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</si>
  <si>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</si>
  <si>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</si>
  <si>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</si>
  <si>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</si>
  <si>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</si>
  <si>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</si>
  <si>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</si>
  <si>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</si>
  <si>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</si>
  <si>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</si>
  <si>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</si>
  <si>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</si>
  <si>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</si>
  <si>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</si>
  <si>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</si>
  <si>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</si>
  <si>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add things here (atp, plasmid1/2)</t>
  </si>
  <si>
    <t xml:space="preserve"> making activation</t>
  </si>
  <si>
    <t>aliquote for 7 rxns</t>
  </si>
  <si>
    <t>ATP assay</t>
  </si>
  <si>
    <t>Buffer</t>
  </si>
  <si>
    <t>Extract</t>
  </si>
  <si>
    <t>Pos Control (1)</t>
  </si>
  <si>
    <t>Neg Control bkgd (2)</t>
  </si>
  <si>
    <t>ATP Depletion (3)</t>
  </si>
  <si>
    <t>Total volume</t>
  </si>
  <si>
    <t>No Energy (4)</t>
  </si>
  <si>
    <t>No txtl (5)</t>
  </si>
  <si>
    <t>uL</t>
  </si>
  <si>
    <t>Procedure</t>
  </si>
  <si>
    <t>1) thaw and prepare atp assay RM</t>
  </si>
  <si>
    <t>Calc ATP ASSAY RM</t>
  </si>
  <si>
    <t>1x ATP Det Assay</t>
  </si>
  <si>
    <t>mL</t>
  </si>
  <si>
    <t>D-Luciferin</t>
  </si>
  <si>
    <t>Luciferase</t>
  </si>
  <si>
    <t>wells</t>
  </si>
  <si>
    <t>1x det assay vol</t>
  </si>
  <si>
    <t>5x det assay vol</t>
  </si>
  <si>
    <t>water vol</t>
  </si>
  <si>
    <t>DTT</t>
  </si>
  <si>
    <t>from yday</t>
  </si>
  <si>
    <t>make</t>
  </si>
  <si>
    <t>Ankita R</t>
  </si>
  <si>
    <t>s</t>
  </si>
  <si>
    <t>GFP +ve control DNA</t>
  </si>
  <si>
    <t>replicates</t>
  </si>
  <si>
    <t>time points</t>
  </si>
  <si>
    <t>old Water (uL)</t>
  </si>
  <si>
    <t>2) add proper items to well</t>
  </si>
  <si>
    <t>3) wait, aliquot out, measure</t>
  </si>
  <si>
    <t>30 uL of RM to 3 uL of sample</t>
  </si>
  <si>
    <t>vol RM / well</t>
  </si>
  <si>
    <t>experiments</t>
  </si>
  <si>
    <t>types</t>
  </si>
  <si>
    <t>reps</t>
  </si>
  <si>
    <t>times</t>
  </si>
  <si>
    <t>total vol RM</t>
  </si>
  <si>
    <t>Make RM</t>
  </si>
  <si>
    <t>Updated Calcs for Exp Wells</t>
  </si>
  <si>
    <t>total vol each exp</t>
  </si>
  <si>
    <t>rounded total vol</t>
  </si>
  <si>
    <t>total vol pos control</t>
  </si>
  <si>
    <t>total vol buffer</t>
  </si>
  <si>
    <t>total vol extract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</si>
  <si>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</si>
  <si>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</si>
  <si>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</si>
  <si>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</si>
  <si>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</si>
  <si>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</si>
  <si>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</si>
  <si>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</si>
  <si>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</si>
  <si>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</si>
  <si>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</si>
  <si>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</si>
  <si>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</si>
  <si>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</si>
  <si>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</si>
  <si>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</si>
  <si>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E1</t>
  </si>
  <si>
    <t>E2</t>
  </si>
  <si>
    <t>E3</t>
  </si>
  <si>
    <t>E4</t>
  </si>
  <si>
    <t>E5</t>
  </si>
  <si>
    <t>time pt 1</t>
  </si>
  <si>
    <t>e1</t>
  </si>
  <si>
    <t>e2</t>
  </si>
  <si>
    <t>e3</t>
  </si>
  <si>
    <t>e4</t>
  </si>
  <si>
    <t>e5</t>
  </si>
  <si>
    <t>time pt 2</t>
  </si>
  <si>
    <t>time pt 3</t>
  </si>
  <si>
    <t>time pt 4</t>
  </si>
  <si>
    <t>time pt 5</t>
  </si>
  <si>
    <t>For exp 1:</t>
  </si>
  <si>
    <t>vol / pink well</t>
  </si>
  <si>
    <t>num pink wells</t>
  </si>
  <si>
    <t>total vol need</t>
  </si>
  <si>
    <t xml:space="preserve">uL </t>
  </si>
  <si>
    <t>for all exp:</t>
  </si>
  <si>
    <t>total num wells</t>
  </si>
  <si>
    <t>rm/well</t>
  </si>
  <si>
    <t>total rm</t>
  </si>
  <si>
    <t>in tube</t>
  </si>
  <si>
    <t>vol/tub pos control</t>
  </si>
  <si>
    <t>total tubes pos control</t>
  </si>
  <si>
    <t>tubes</t>
  </si>
  <si>
    <t>total rm round</t>
  </si>
  <si>
    <t>Time Points</t>
  </si>
  <si>
    <t>setup</t>
  </si>
  <si>
    <t>4) cover with tape overnight</t>
  </si>
  <si>
    <t>11/02/2020 - 11/03/2020</t>
  </si>
  <si>
    <t>ATP Controls with DNA Reporter Plasmid (luminescence this time)</t>
  </si>
  <si>
    <t>Only atp measurements, happy with gfp controls</t>
  </si>
  <si>
    <t>(time 9)</t>
  </si>
  <si>
    <t>(time 10)</t>
  </si>
  <si>
    <t>NO BUBBLES PLEASE</t>
  </si>
  <si>
    <t>add 3 mL of this to RM</t>
  </si>
  <si>
    <t>(time 6)</t>
  </si>
  <si>
    <t>(time 7)</t>
  </si>
  <si>
    <t>time (8)</t>
  </si>
  <si>
    <t>make 9 sets of lhs rxn</t>
  </si>
  <si>
    <t>Need to make 10 sets of above 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</si>
</sst>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E3E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9EB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NumberFormat="1" applyFill="1" applyProtection="1"/>
    <xf numFmtId="0" fontId="0" fillId="9" borderId="0" xfId="0" applyFill="1" applyProtection="1"/>
    <xf numFmtId="2" fontId="0" fillId="10" borderId="0" xfId="0" applyNumberFormat="1" applyFill="1" applyBorder="1" applyAlignment="1" applyProtection="1">
      <alignment horizontal="right"/>
    </xf>
    <xf numFmtId="0" fontId="0" fillId="10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3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2" fontId="9" fillId="11" borderId="2" xfId="0" applyNumberFormat="1" applyFont="1" applyFill="1" applyBorder="1" applyAlignment="1" applyProtection="1">
      <alignment horizontal="right"/>
    </xf>
    <xf numFmtId="2" fontId="9" fillId="11" borderId="5" xfId="0" applyNumberFormat="1" applyFont="1" applyFill="1" applyBorder="1" applyAlignment="1" applyProtection="1">
      <alignment horizontal="right"/>
    </xf>
    <xf numFmtId="2" fontId="9" fillId="11" borderId="7" xfId="0" applyNumberFormat="1" applyFont="1" applyFill="1" applyBorder="1" applyAlignment="1" applyProtection="1">
      <alignment horizontal="right"/>
    </xf>
    <xf numFmtId="0" fontId="1" fillId="11" borderId="0" xfId="0" applyFont="1" applyFill="1" applyAlignment="1" applyProtection="1">
      <alignment horizontal="center" wrapText="1"/>
    </xf>
    <xf numFmtId="2" fontId="0" fillId="11" borderId="9" xfId="0" applyNumberFormat="1" applyFill="1" applyBorder="1" applyAlignment="1" applyProtection="1">
      <alignment horizontal="right"/>
    </xf>
    <xf numFmtId="2" fontId="0" fillId="11" borderId="8" xfId="0" applyNumberFormat="1" applyFill="1" applyBorder="1" applyAlignment="1" applyProtection="1">
      <alignment horizontal="right"/>
    </xf>
    <xf numFmtId="0" fontId="10" fillId="11" borderId="0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vertical="top"/>
    </xf>
    <xf numFmtId="0" fontId="0" fillId="12" borderId="0" xfId="0" applyFill="1" applyProtection="1"/>
    <xf numFmtId="2" fontId="0" fillId="0" borderId="0" xfId="0" applyNumberFormat="1" applyFill="1" applyBorder="1" applyAlignment="1" applyProtection="1">
      <alignment horizontal="left"/>
    </xf>
    <xf numFmtId="0" fontId="0" fillId="13" borderId="0" xfId="0" applyFill="1" applyProtection="1"/>
    <xf numFmtId="0" fontId="0" fillId="13" borderId="0" xfId="0" applyFill="1" applyBorder="1" applyProtection="1"/>
    <xf numFmtId="18" fontId="0" fillId="0" borderId="0" xfId="0" applyNumberFormat="1" applyProtection="1"/>
    <xf numFmtId="18" fontId="0" fillId="0" borderId="0" xfId="0" applyNumberFormat="1" applyFill="1" applyBorder="1" applyAlignment="1" applyProtection="1"/>
    <xf numFmtId="0" fontId="0" fillId="0" borderId="0" xfId="0" applyFill="1" applyBorder="1" applyAlignment="1" applyProtection="1">
      <alignment horizontal="left"/>
    </xf>
    <xf numFmtId="0" fontId="1" fillId="14" borderId="0" xfId="0" applyFont="1" applyFill="1" applyProtection="1"/>
    <xf numFmtId="0" fontId="0" fillId="14" borderId="0" xfId="0" applyFill="1" applyProtection="1"/>
  </cellXfs>
  <cellStyles count="1">
    <cellStyle name="Normal" xfId="0" builtinId="0"/>
  </cellStyles>
  <dxfs count="13"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  <color rgb="FFF9EBF6"/>
      <color rgb="FFF2E3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3"/>
  <sheetViews>
    <sheetView tabSelected="1" topLeftCell="A3" zoomScale="89" zoomScaleNormal="100" workbookViewId="0">
      <selection activeCell="M26" sqref="M26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7" width="7.6640625" style="3" customWidth="1"/>
    <col min="18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3" x14ac:dyDescent="0.2">
      <c r="A1" s="1" t="s">
        <v>6</v>
      </c>
      <c r="B1" s="1"/>
      <c r="C1" s="53"/>
    </row>
    <row r="2" spans="1:43" s="16" customFormat="1" outlineLevel="1" x14ac:dyDescent="0.2">
      <c r="A2" s="16" t="s">
        <v>1</v>
      </c>
      <c r="C2" s="50" t="s">
        <v>62</v>
      </c>
      <c r="G2" s="16" t="s">
        <v>134</v>
      </c>
      <c r="T2" s="16">
        <v>1</v>
      </c>
      <c r="U2" s="16">
        <v>2</v>
      </c>
      <c r="V2" s="16">
        <v>3</v>
      </c>
      <c r="W2" s="16">
        <v>4</v>
      </c>
      <c r="X2" s="16">
        <v>5</v>
      </c>
      <c r="Y2" s="16">
        <v>6</v>
      </c>
      <c r="Z2" s="16">
        <v>7</v>
      </c>
      <c r="AA2" s="16">
        <v>8</v>
      </c>
      <c r="AB2" s="16">
        <v>9</v>
      </c>
      <c r="AC2" s="16">
        <v>10</v>
      </c>
      <c r="AD2" s="16">
        <v>11</v>
      </c>
      <c r="AE2" s="16">
        <v>12</v>
      </c>
      <c r="AF2" s="16">
        <v>13</v>
      </c>
      <c r="AG2" s="16">
        <v>14</v>
      </c>
      <c r="AH2" s="16">
        <v>15</v>
      </c>
      <c r="AI2" s="16">
        <v>16</v>
      </c>
      <c r="AJ2" s="16">
        <v>17</v>
      </c>
      <c r="AK2" s="16">
        <v>18</v>
      </c>
      <c r="AL2" s="16">
        <v>19</v>
      </c>
      <c r="AM2" s="16">
        <v>20</v>
      </c>
      <c r="AN2" s="16">
        <v>21</v>
      </c>
      <c r="AO2" s="16">
        <v>22</v>
      </c>
      <c r="AP2" s="16">
        <v>23</v>
      </c>
      <c r="AQ2" s="16">
        <v>24</v>
      </c>
    </row>
    <row r="3" spans="1:43" outlineLevel="1" x14ac:dyDescent="0.2">
      <c r="A3" s="16" t="s">
        <v>16</v>
      </c>
      <c r="B3" s="16"/>
      <c r="C3" s="51" t="s">
        <v>132</v>
      </c>
      <c r="G3" s="90" t="s">
        <v>137</v>
      </c>
      <c r="H3" s="91"/>
      <c r="R3" s="3" t="s">
        <v>105</v>
      </c>
      <c r="S3" s="3" t="s">
        <v>84</v>
      </c>
      <c r="T3" s="83" t="s">
        <v>106</v>
      </c>
      <c r="U3" s="83" t="s">
        <v>107</v>
      </c>
      <c r="V3" s="83" t="s">
        <v>108</v>
      </c>
      <c r="W3" s="83" t="s">
        <v>109</v>
      </c>
      <c r="X3" s="83" t="s">
        <v>110</v>
      </c>
      <c r="AA3" s="83" t="s">
        <v>106</v>
      </c>
      <c r="AB3" s="83" t="s">
        <v>107</v>
      </c>
      <c r="AC3" s="83" t="s">
        <v>108</v>
      </c>
      <c r="AD3" s="83" t="s">
        <v>109</v>
      </c>
      <c r="AE3" s="83" t="s">
        <v>110</v>
      </c>
      <c r="AF3" s="83" t="s">
        <v>139</v>
      </c>
      <c r="AH3" s="63" t="s">
        <v>100</v>
      </c>
      <c r="AI3" s="63" t="s">
        <v>100</v>
      </c>
      <c r="AJ3" s="63" t="s">
        <v>100</v>
      </c>
      <c r="AK3" s="63" t="s">
        <v>100</v>
      </c>
      <c r="AL3" s="63" t="s">
        <v>100</v>
      </c>
      <c r="AM3" s="63" t="s">
        <v>100</v>
      </c>
      <c r="AN3" s="63" t="s">
        <v>100</v>
      </c>
      <c r="AO3" s="63" t="s">
        <v>100</v>
      </c>
      <c r="AP3" s="63" t="s">
        <v>100</v>
      </c>
      <c r="AQ3" s="63" t="s">
        <v>100</v>
      </c>
    </row>
    <row r="4" spans="1:43" outlineLevel="1" x14ac:dyDescent="0.2">
      <c r="A4" s="16" t="s">
        <v>11</v>
      </c>
      <c r="B4" s="16"/>
      <c r="C4" s="49" t="s">
        <v>133</v>
      </c>
      <c r="S4" s="3" t="s">
        <v>85</v>
      </c>
      <c r="T4" s="83" t="s">
        <v>106</v>
      </c>
      <c r="U4" s="83" t="s">
        <v>107</v>
      </c>
      <c r="V4" s="83" t="s">
        <v>108</v>
      </c>
      <c r="W4" s="83" t="s">
        <v>109</v>
      </c>
      <c r="X4" s="83" t="s">
        <v>110</v>
      </c>
      <c r="Y4" s="24"/>
      <c r="Z4" s="24"/>
      <c r="AA4" s="83" t="s">
        <v>106</v>
      </c>
      <c r="AB4" s="83" t="s">
        <v>107</v>
      </c>
      <c r="AC4" s="83" t="s">
        <v>108</v>
      </c>
      <c r="AD4" s="83" t="s">
        <v>109</v>
      </c>
      <c r="AE4" s="83" t="s">
        <v>110</v>
      </c>
      <c r="AF4" s="24"/>
      <c r="AG4" s="24"/>
      <c r="AH4" s="63" t="s">
        <v>101</v>
      </c>
      <c r="AI4" s="63" t="s">
        <v>101</v>
      </c>
      <c r="AJ4" s="63" t="s">
        <v>101</v>
      </c>
      <c r="AK4" s="63" t="s">
        <v>101</v>
      </c>
      <c r="AL4" s="63" t="s">
        <v>101</v>
      </c>
      <c r="AM4" s="63" t="s">
        <v>101</v>
      </c>
      <c r="AN4" s="63" t="s">
        <v>101</v>
      </c>
      <c r="AO4" s="63" t="s">
        <v>101</v>
      </c>
      <c r="AP4" s="63" t="s">
        <v>101</v>
      </c>
      <c r="AQ4" s="63" t="s">
        <v>101</v>
      </c>
    </row>
    <row r="5" spans="1:43" outlineLevel="1" x14ac:dyDescent="0.2">
      <c r="A5" s="16" t="s">
        <v>12</v>
      </c>
      <c r="B5" s="16"/>
      <c r="C5" s="49" t="s">
        <v>64</v>
      </c>
      <c r="S5" s="3" t="s">
        <v>86</v>
      </c>
      <c r="T5" s="83" t="s">
        <v>106</v>
      </c>
      <c r="U5" s="83" t="s">
        <v>107</v>
      </c>
      <c r="V5" s="83" t="s">
        <v>108</v>
      </c>
      <c r="W5" s="83" t="s">
        <v>109</v>
      </c>
      <c r="X5" s="83" t="s">
        <v>110</v>
      </c>
      <c r="AA5" s="83" t="s">
        <v>106</v>
      </c>
      <c r="AB5" s="83" t="s">
        <v>107</v>
      </c>
      <c r="AC5" s="83" t="s">
        <v>108</v>
      </c>
      <c r="AD5" s="83" t="s">
        <v>109</v>
      </c>
      <c r="AE5" s="83" t="s">
        <v>110</v>
      </c>
      <c r="AH5" s="63" t="s">
        <v>102</v>
      </c>
      <c r="AI5" s="63" t="s">
        <v>102</v>
      </c>
      <c r="AJ5" s="63" t="s">
        <v>102</v>
      </c>
      <c r="AK5" s="63" t="s">
        <v>102</v>
      </c>
      <c r="AL5" s="63" t="s">
        <v>102</v>
      </c>
      <c r="AM5" s="63" t="s">
        <v>102</v>
      </c>
      <c r="AN5" s="63" t="s">
        <v>102</v>
      </c>
      <c r="AO5" s="63" t="s">
        <v>102</v>
      </c>
      <c r="AP5" s="63" t="s">
        <v>102</v>
      </c>
      <c r="AQ5" s="63" t="s">
        <v>102</v>
      </c>
    </row>
    <row r="6" spans="1:43" x14ac:dyDescent="0.2">
      <c r="E6" s="3" t="s">
        <v>63</v>
      </c>
      <c r="R6" s="3" t="s">
        <v>111</v>
      </c>
      <c r="S6" s="3" t="s">
        <v>87</v>
      </c>
      <c r="T6" s="83" t="s">
        <v>106</v>
      </c>
      <c r="U6" s="83" t="s">
        <v>107</v>
      </c>
      <c r="V6" s="83" t="s">
        <v>108</v>
      </c>
      <c r="W6" s="83" t="s">
        <v>109</v>
      </c>
      <c r="X6" s="83" t="s">
        <v>110</v>
      </c>
      <c r="Y6" s="24"/>
      <c r="Z6" s="24"/>
      <c r="AA6" s="83" t="s">
        <v>106</v>
      </c>
      <c r="AB6" s="83" t="s">
        <v>107</v>
      </c>
      <c r="AC6" s="83" t="s">
        <v>108</v>
      </c>
      <c r="AD6" s="83" t="s">
        <v>109</v>
      </c>
      <c r="AE6" s="83" t="s">
        <v>110</v>
      </c>
      <c r="AF6" s="83" t="s">
        <v>140</v>
      </c>
      <c r="AG6" s="24"/>
      <c r="AH6" s="63" t="s">
        <v>103</v>
      </c>
      <c r="AI6" s="63" t="s">
        <v>103</v>
      </c>
      <c r="AJ6" s="63" t="s">
        <v>103</v>
      </c>
      <c r="AK6" s="63" t="s">
        <v>103</v>
      </c>
      <c r="AL6" s="63" t="s">
        <v>103</v>
      </c>
      <c r="AM6" s="63" t="s">
        <v>103</v>
      </c>
      <c r="AN6" s="63" t="s">
        <v>103</v>
      </c>
      <c r="AO6" s="63" t="s">
        <v>103</v>
      </c>
      <c r="AP6" s="63" t="s">
        <v>103</v>
      </c>
      <c r="AQ6" s="63" t="s">
        <v>103</v>
      </c>
    </row>
    <row r="7" spans="1:43" x14ac:dyDescent="0.2">
      <c r="A7" s="1" t="s">
        <v>7</v>
      </c>
      <c r="B7" s="16"/>
      <c r="H7" s="3" t="s">
        <v>65</v>
      </c>
      <c r="I7" s="3">
        <v>3</v>
      </c>
      <c r="S7" s="3" t="s">
        <v>88</v>
      </c>
      <c r="T7" s="83" t="s">
        <v>106</v>
      </c>
      <c r="U7" s="83" t="s">
        <v>107</v>
      </c>
      <c r="V7" s="83" t="s">
        <v>108</v>
      </c>
      <c r="W7" s="83" t="s">
        <v>109</v>
      </c>
      <c r="X7" s="83" t="s">
        <v>110</v>
      </c>
      <c r="AA7" s="83" t="s">
        <v>106</v>
      </c>
      <c r="AB7" s="83" t="s">
        <v>107</v>
      </c>
      <c r="AC7" s="83" t="s">
        <v>108</v>
      </c>
      <c r="AD7" s="83" t="s">
        <v>109</v>
      </c>
      <c r="AE7" s="83" t="s">
        <v>110</v>
      </c>
      <c r="AH7" s="63" t="s">
        <v>104</v>
      </c>
      <c r="AI7" s="63" t="s">
        <v>104</v>
      </c>
      <c r="AJ7" s="63" t="s">
        <v>104</v>
      </c>
      <c r="AK7" s="63" t="s">
        <v>104</v>
      </c>
      <c r="AL7" s="63" t="s">
        <v>104</v>
      </c>
      <c r="AM7" s="63" t="s">
        <v>104</v>
      </c>
      <c r="AN7" s="63" t="s">
        <v>104</v>
      </c>
      <c r="AO7" s="63" t="s">
        <v>104</v>
      </c>
      <c r="AP7" s="63" t="s">
        <v>104</v>
      </c>
      <c r="AQ7" s="63" t="s">
        <v>104</v>
      </c>
    </row>
    <row r="8" spans="1:43" outlineLevel="1" x14ac:dyDescent="0.2">
      <c r="A8" s="17" t="s">
        <v>32</v>
      </c>
      <c r="B8" s="16"/>
      <c r="H8" s="3" t="s">
        <v>66</v>
      </c>
      <c r="I8" s="3">
        <v>6</v>
      </c>
      <c r="S8" s="3" t="s">
        <v>89</v>
      </c>
      <c r="T8" s="83" t="s">
        <v>106</v>
      </c>
      <c r="U8" s="83" t="s">
        <v>107</v>
      </c>
      <c r="V8" s="83" t="s">
        <v>108</v>
      </c>
      <c r="W8" s="83" t="s">
        <v>109</v>
      </c>
      <c r="X8" s="83" t="s">
        <v>110</v>
      </c>
      <c r="Y8" s="24"/>
      <c r="Z8" s="24"/>
      <c r="AA8" s="83" t="s">
        <v>106</v>
      </c>
      <c r="AB8" s="83" t="s">
        <v>107</v>
      </c>
      <c r="AC8" s="83" t="s">
        <v>108</v>
      </c>
      <c r="AD8" s="83" t="s">
        <v>109</v>
      </c>
      <c r="AE8" s="83" t="s">
        <v>110</v>
      </c>
      <c r="AF8" s="24"/>
      <c r="AG8" s="24"/>
      <c r="AH8" s="24"/>
    </row>
    <row r="9" spans="1:43" s="18" customFormat="1" ht="15" customHeight="1" x14ac:dyDescent="0.2">
      <c r="A9" s="1" t="s">
        <v>17</v>
      </c>
      <c r="B9" s="1"/>
      <c r="C9" s="2"/>
      <c r="D9" s="3"/>
      <c r="H9" s="19" t="s">
        <v>44</v>
      </c>
      <c r="I9" s="18">
        <v>10.5</v>
      </c>
      <c r="J9" s="19"/>
      <c r="K9" s="19"/>
      <c r="L9" s="19"/>
      <c r="M9" s="19"/>
      <c r="N9" s="19"/>
      <c r="O9" s="19"/>
      <c r="P9" s="19"/>
      <c r="Q9" s="19"/>
      <c r="R9" s="3" t="s">
        <v>112</v>
      </c>
      <c r="S9" s="18" t="s">
        <v>90</v>
      </c>
      <c r="T9" s="83" t="s">
        <v>106</v>
      </c>
      <c r="U9" s="83" t="s">
        <v>107</v>
      </c>
      <c r="V9" s="83" t="s">
        <v>108</v>
      </c>
      <c r="W9" s="83" t="s">
        <v>109</v>
      </c>
      <c r="X9" s="83" t="s">
        <v>110</v>
      </c>
      <c r="AA9" s="83" t="s">
        <v>106</v>
      </c>
      <c r="AB9" s="83" t="s">
        <v>107</v>
      </c>
      <c r="AC9" s="83" t="s">
        <v>108</v>
      </c>
      <c r="AD9" s="83" t="s">
        <v>109</v>
      </c>
      <c r="AE9" s="83" t="s">
        <v>110</v>
      </c>
      <c r="AF9" s="24" t="s">
        <v>141</v>
      </c>
    </row>
    <row r="10" spans="1:43" x14ac:dyDescent="0.2">
      <c r="S10" s="3" t="s">
        <v>91</v>
      </c>
      <c r="T10" s="83" t="s">
        <v>106</v>
      </c>
      <c r="U10" s="83" t="s">
        <v>107</v>
      </c>
      <c r="V10" s="83" t="s">
        <v>108</v>
      </c>
      <c r="W10" s="83" t="s">
        <v>109</v>
      </c>
      <c r="X10" s="83" t="s">
        <v>110</v>
      </c>
      <c r="Y10" s="24"/>
      <c r="Z10" s="24"/>
      <c r="AA10" s="83" t="s">
        <v>106</v>
      </c>
      <c r="AB10" s="83" t="s">
        <v>107</v>
      </c>
      <c r="AC10" s="83" t="s">
        <v>108</v>
      </c>
      <c r="AD10" s="83" t="s">
        <v>109</v>
      </c>
      <c r="AE10" s="83" t="s">
        <v>110</v>
      </c>
      <c r="AG10" s="24"/>
      <c r="AH10" s="24"/>
    </row>
    <row r="11" spans="1:43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18"/>
      <c r="F11" s="18"/>
      <c r="G11" s="18"/>
      <c r="H11" s="18"/>
      <c r="I11" s="9" t="s">
        <v>19</v>
      </c>
      <c r="S11" s="3" t="s">
        <v>92</v>
      </c>
      <c r="T11" s="83" t="s">
        <v>106</v>
      </c>
      <c r="U11" s="83" t="s">
        <v>107</v>
      </c>
      <c r="V11" s="83" t="s">
        <v>108</v>
      </c>
      <c r="W11" s="83" t="s">
        <v>109</v>
      </c>
      <c r="X11" s="83" t="s">
        <v>110</v>
      </c>
      <c r="AA11" s="83" t="s">
        <v>106</v>
      </c>
      <c r="AB11" s="83" t="s">
        <v>107</v>
      </c>
      <c r="AC11" s="83" t="s">
        <v>108</v>
      </c>
      <c r="AD11" s="83" t="s">
        <v>109</v>
      </c>
      <c r="AE11" s="83" t="s">
        <v>110</v>
      </c>
    </row>
    <row r="12" spans="1:43" outlineLevel="1" x14ac:dyDescent="0.2">
      <c r="A12" s="55" t="s">
        <v>28</v>
      </c>
      <c r="B12" s="15">
        <v>1</v>
      </c>
      <c r="C12" s="15">
        <f>0.75-C13</f>
        <v>0.41666666666666669</v>
      </c>
      <c r="D12" s="5">
        <f>C12/B12*90*0.95*_xlnm.extract</f>
        <v>35.625</v>
      </c>
      <c r="E12" s="3">
        <f>D12/E15</f>
        <v>0.55555555555555558</v>
      </c>
      <c r="F12" s="20"/>
      <c r="G12" s="3">
        <v>7.88</v>
      </c>
      <c r="I12" s="6">
        <v>7</v>
      </c>
      <c r="R12" s="3" t="s">
        <v>113</v>
      </c>
      <c r="S12" s="3" t="s">
        <v>93</v>
      </c>
      <c r="T12" s="83" t="s">
        <v>106</v>
      </c>
      <c r="U12" s="83" t="s">
        <v>107</v>
      </c>
      <c r="V12" s="83" t="s">
        <v>108</v>
      </c>
      <c r="W12" s="83" t="s">
        <v>109</v>
      </c>
      <c r="X12" s="83" t="s">
        <v>110</v>
      </c>
      <c r="Y12" s="24"/>
      <c r="Z12" s="24"/>
      <c r="AA12" s="83" t="s">
        <v>106</v>
      </c>
      <c r="AB12" s="83" t="s">
        <v>107</v>
      </c>
      <c r="AC12" s="83" t="s">
        <v>108</v>
      </c>
      <c r="AD12" s="83" t="s">
        <v>109</v>
      </c>
      <c r="AE12" s="83" t="s">
        <v>110</v>
      </c>
      <c r="AF12" s="83" t="s">
        <v>135</v>
      </c>
      <c r="AG12" s="24"/>
      <c r="AH12" s="24"/>
    </row>
    <row r="13" spans="1:43" outlineLevel="1" x14ac:dyDescent="0.2">
      <c r="A13" s="56" t="s">
        <v>29</v>
      </c>
      <c r="B13" s="15">
        <v>1</v>
      </c>
      <c r="C13" s="58">
        <f>1/3</f>
        <v>0.33333333333333331</v>
      </c>
      <c r="D13" s="5">
        <f>C13/B13*90*0.95*_xlnm.extract</f>
        <v>28.5</v>
      </c>
      <c r="E13" s="3">
        <f>D13/E15</f>
        <v>0.44444444444444442</v>
      </c>
      <c r="S13" s="3" t="s">
        <v>94</v>
      </c>
      <c r="T13" s="83" t="s">
        <v>106</v>
      </c>
      <c r="U13" s="83" t="s">
        <v>107</v>
      </c>
      <c r="V13" s="83" t="s">
        <v>108</v>
      </c>
      <c r="W13" s="83" t="s">
        <v>109</v>
      </c>
      <c r="X13" s="83" t="s">
        <v>110</v>
      </c>
      <c r="AA13" s="83" t="s">
        <v>106</v>
      </c>
      <c r="AB13" s="83" t="s">
        <v>107</v>
      </c>
      <c r="AC13" s="83" t="s">
        <v>108</v>
      </c>
      <c r="AD13" s="83" t="s">
        <v>109</v>
      </c>
      <c r="AE13" s="83" t="s">
        <v>110</v>
      </c>
    </row>
    <row r="14" spans="1:43" outlineLevel="1" x14ac:dyDescent="0.2">
      <c r="A14" s="21"/>
      <c r="B14" s="21"/>
      <c r="C14" s="22"/>
      <c r="D14" s="5"/>
      <c r="E14" s="20" t="s">
        <v>33</v>
      </c>
      <c r="I14" s="8" t="s">
        <v>20</v>
      </c>
      <c r="S14" s="3" t="s">
        <v>95</v>
      </c>
      <c r="T14" s="83" t="s">
        <v>106</v>
      </c>
      <c r="U14" s="83" t="s">
        <v>107</v>
      </c>
      <c r="V14" s="83" t="s">
        <v>108</v>
      </c>
      <c r="W14" s="83" t="s">
        <v>109</v>
      </c>
      <c r="X14" s="83" t="s">
        <v>110</v>
      </c>
      <c r="Y14" s="24"/>
      <c r="Z14" s="24"/>
      <c r="AA14" s="83" t="s">
        <v>106</v>
      </c>
      <c r="AB14" s="83" t="s">
        <v>107</v>
      </c>
      <c r="AC14" s="83" t="s">
        <v>108</v>
      </c>
      <c r="AD14" s="83" t="s">
        <v>109</v>
      </c>
      <c r="AE14" s="83" t="s">
        <v>110</v>
      </c>
      <c r="AF14" s="24"/>
      <c r="AG14" s="24"/>
      <c r="AH14" s="24"/>
    </row>
    <row r="15" spans="1:43" outlineLevel="1" x14ac:dyDescent="0.2">
      <c r="A15" s="21" t="s">
        <v>10</v>
      </c>
      <c r="B15" s="21"/>
      <c r="C15" s="22"/>
      <c r="D15" s="5" t="str">
        <f>IFERROR(C15/B15*90*0.95*_xlnm.extract,"")</f>
        <v/>
      </c>
      <c r="E15" s="71">
        <f>D12+D13</f>
        <v>64.125</v>
      </c>
      <c r="F15" s="23"/>
      <c r="H15" s="4" t="s">
        <v>30</v>
      </c>
      <c r="I15" s="54">
        <f>CEILING(I12/(90/10*(0.95)^3),1)</f>
        <v>1</v>
      </c>
      <c r="R15" s="3" t="s">
        <v>114</v>
      </c>
      <c r="S15" s="3" t="s">
        <v>96</v>
      </c>
      <c r="T15" s="83" t="s">
        <v>106</v>
      </c>
      <c r="U15" s="83" t="s">
        <v>107</v>
      </c>
      <c r="V15" s="83" t="s">
        <v>108</v>
      </c>
      <c r="W15" s="83" t="s">
        <v>109</v>
      </c>
      <c r="X15" s="83" t="s">
        <v>110</v>
      </c>
      <c r="AA15" s="83" t="s">
        <v>106</v>
      </c>
      <c r="AB15" s="83" t="s">
        <v>107</v>
      </c>
      <c r="AC15" s="83" t="s">
        <v>108</v>
      </c>
      <c r="AD15" s="83" t="s">
        <v>109</v>
      </c>
      <c r="AE15" s="83" t="s">
        <v>110</v>
      </c>
      <c r="AF15" s="83" t="s">
        <v>136</v>
      </c>
    </row>
    <row r="16" spans="1:43" outlineLevel="1" x14ac:dyDescent="0.2">
      <c r="A16" s="21" t="s">
        <v>10</v>
      </c>
      <c r="B16" s="21"/>
      <c r="C16" s="22"/>
      <c r="D16" s="5" t="str">
        <f>IFERROR(C16/B16*90*0.95*_xlnm.extract,"")</f>
        <v/>
      </c>
      <c r="E16" s="23"/>
      <c r="F16" s="23"/>
      <c r="H16" s="4" t="s">
        <v>31</v>
      </c>
      <c r="I16" s="57">
        <f>CEILING(I12/(90/10*(0.95)^3),1)</f>
        <v>1</v>
      </c>
      <c r="J16" s="3" t="s">
        <v>37</v>
      </c>
      <c r="S16" s="3" t="s">
        <v>97</v>
      </c>
      <c r="T16" s="83" t="s">
        <v>106</v>
      </c>
      <c r="U16" s="83" t="s">
        <v>107</v>
      </c>
      <c r="V16" s="83" t="s">
        <v>108</v>
      </c>
      <c r="W16" s="83" t="s">
        <v>109</v>
      </c>
      <c r="X16" s="83" t="s">
        <v>110</v>
      </c>
      <c r="Y16" s="24"/>
      <c r="Z16" s="24"/>
      <c r="AA16" s="83" t="s">
        <v>106</v>
      </c>
      <c r="AB16" s="83" t="s">
        <v>107</v>
      </c>
      <c r="AC16" s="83" t="s">
        <v>108</v>
      </c>
      <c r="AD16" s="83" t="s">
        <v>109</v>
      </c>
      <c r="AE16" s="83" t="s">
        <v>110</v>
      </c>
      <c r="AF16" s="24"/>
      <c r="AG16" s="24"/>
      <c r="AH16" s="24"/>
    </row>
    <row r="17" spans="1:34" outlineLevel="1" x14ac:dyDescent="0.2">
      <c r="A17" s="21" t="s">
        <v>10</v>
      </c>
      <c r="B17" s="21"/>
      <c r="C17" s="22"/>
      <c r="D17" s="5" t="str">
        <f>IFERROR(C17/B17*90*0.95*_xlnm.extract,"")</f>
        <v/>
      </c>
      <c r="E17" s="23"/>
      <c r="F17" s="23"/>
      <c r="H17" s="4" t="s">
        <v>18</v>
      </c>
      <c r="I17" s="7">
        <f>CEILING(M21/3,1)</f>
        <v>1</v>
      </c>
      <c r="S17" s="3" t="s">
        <v>98</v>
      </c>
      <c r="T17" s="83" t="s">
        <v>106</v>
      </c>
      <c r="U17" s="83" t="s">
        <v>107</v>
      </c>
      <c r="V17" s="83" t="s">
        <v>108</v>
      </c>
      <c r="W17" s="83" t="s">
        <v>109</v>
      </c>
      <c r="X17" s="83" t="s">
        <v>110</v>
      </c>
      <c r="AA17" s="83" t="s">
        <v>106</v>
      </c>
      <c r="AB17" s="83" t="s">
        <v>107</v>
      </c>
      <c r="AC17" s="83" t="s">
        <v>108</v>
      </c>
      <c r="AD17" s="83" t="s">
        <v>109</v>
      </c>
      <c r="AE17" s="83" t="s">
        <v>110</v>
      </c>
    </row>
    <row r="18" spans="1:34" x14ac:dyDescent="0.2">
      <c r="A18" s="24"/>
      <c r="B18" s="52" t="s">
        <v>27</v>
      </c>
      <c r="C18" s="23"/>
      <c r="D18" s="24"/>
      <c r="G18" s="16"/>
      <c r="S18" s="3" t="s">
        <v>99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4" x14ac:dyDescent="0.2">
      <c r="A19" s="1" t="s">
        <v>8</v>
      </c>
      <c r="B19" s="1" t="s">
        <v>36</v>
      </c>
      <c r="I19" s="3" t="s">
        <v>35</v>
      </c>
      <c r="P19" s="3" t="s">
        <v>34</v>
      </c>
    </row>
    <row r="20" spans="1:34" s="19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25" t="s">
        <v>38</v>
      </c>
      <c r="J20" s="25" t="s">
        <v>39</v>
      </c>
      <c r="K20" s="25" t="s">
        <v>40</v>
      </c>
      <c r="L20" s="25" t="s">
        <v>4</v>
      </c>
      <c r="M20" s="26" t="s">
        <v>5</v>
      </c>
      <c r="N20" s="26" t="s">
        <v>4</v>
      </c>
      <c r="O20" s="81" t="s">
        <v>67</v>
      </c>
      <c r="P20" s="78" t="s">
        <v>9</v>
      </c>
      <c r="Q20" s="10"/>
      <c r="R20" s="10" t="s">
        <v>15</v>
      </c>
    </row>
    <row r="21" spans="1:34" outlineLevel="1" x14ac:dyDescent="0.2">
      <c r="A21" s="27">
        <v>1</v>
      </c>
      <c r="B21" s="28"/>
      <c r="C21" s="45" t="s">
        <v>41</v>
      </c>
      <c r="D21" s="46">
        <v>19</v>
      </c>
      <c r="E21" s="47">
        <v>3202</v>
      </c>
      <c r="F21" s="14">
        <f t="shared" ref="F21:F22" si="0">IFERROR(1/(E21*660/1000000/D21),"")</f>
        <v>8.9905930005867543</v>
      </c>
      <c r="G21" s="47">
        <v>1</v>
      </c>
      <c r="H21" s="47">
        <v>1</v>
      </c>
      <c r="I21" s="36">
        <v>0</v>
      </c>
      <c r="J21" s="72">
        <f>P21*E12</f>
        <v>4.375</v>
      </c>
      <c r="K21" s="72">
        <f>P21*E13</f>
        <v>3.5</v>
      </c>
      <c r="L21" s="72">
        <f>I9-(J21+K21+M21)</f>
        <v>1.4571126315789478</v>
      </c>
      <c r="M21" s="74">
        <f t="shared" ref="M21:M26" si="1">IFERROR((H21/((E21*660/1000000/D21)^-1)*10.5)*G21,"")</f>
        <v>1.1678873684210527</v>
      </c>
      <c r="N21" s="14">
        <f>0</f>
        <v>0</v>
      </c>
      <c r="O21" s="75">
        <f t="shared" ref="O21:O26" si="2">IFERROR(10.5*G21-P21-M21-I21-J21-L21-K21,"")</f>
        <v>-7.875</v>
      </c>
      <c r="P21" s="79">
        <f t="shared" ref="P21:P26" si="3">10.5*G21-((90*0.95 - MM_sum/_xlnm.extract)/(90*0.95))*10.5*G21</f>
        <v>7.875</v>
      </c>
      <c r="Q21" s="61"/>
      <c r="T21" s="3" t="s">
        <v>115</v>
      </c>
    </row>
    <row r="22" spans="1:34" outlineLevel="1" x14ac:dyDescent="0.2">
      <c r="A22" s="29">
        <v>2</v>
      </c>
      <c r="B22" s="30"/>
      <c r="C22" s="39" t="s">
        <v>42</v>
      </c>
      <c r="D22" s="40">
        <v>19</v>
      </c>
      <c r="E22" s="41">
        <v>3203</v>
      </c>
      <c r="F22" s="13">
        <f t="shared" si="0"/>
        <v>8.9877860717698361</v>
      </c>
      <c r="G22" s="41">
        <v>1</v>
      </c>
      <c r="H22" s="41">
        <v>0</v>
      </c>
      <c r="I22" s="42">
        <v>0</v>
      </c>
      <c r="J22" s="43">
        <v>0</v>
      </c>
      <c r="K22" s="73">
        <f>K21</f>
        <v>3.5</v>
      </c>
      <c r="L22" s="73">
        <f>10.5-K22</f>
        <v>7</v>
      </c>
      <c r="M22" s="13">
        <f t="shared" si="1"/>
        <v>0</v>
      </c>
      <c r="N22" s="13">
        <f>0</f>
        <v>0</v>
      </c>
      <c r="O22" s="76">
        <f t="shared" si="2"/>
        <v>-7.875</v>
      </c>
      <c r="P22" s="80">
        <f t="shared" si="3"/>
        <v>7.875</v>
      </c>
      <c r="Q22" s="61"/>
      <c r="T22" s="3" t="s">
        <v>116</v>
      </c>
      <c r="W22" s="3">
        <v>3</v>
      </c>
      <c r="X22" s="3" t="s">
        <v>47</v>
      </c>
    </row>
    <row r="23" spans="1:34" outlineLevel="1" x14ac:dyDescent="0.2">
      <c r="A23" s="31">
        <v>3</v>
      </c>
      <c r="B23" s="32"/>
      <c r="C23" s="33" t="s">
        <v>43</v>
      </c>
      <c r="D23" s="34">
        <v>19</v>
      </c>
      <c r="E23" s="35">
        <v>3202</v>
      </c>
      <c r="F23" s="12">
        <f t="shared" ref="F23" si="4">IFERROR(1/(E23*660/1000000/D23),"")</f>
        <v>8.9905930005867543</v>
      </c>
      <c r="G23" s="35">
        <v>1</v>
      </c>
      <c r="H23" s="35">
        <v>0</v>
      </c>
      <c r="I23" s="36">
        <v>0</v>
      </c>
      <c r="J23" s="72">
        <f>J21</f>
        <v>4.375</v>
      </c>
      <c r="K23" s="72">
        <f>K22</f>
        <v>3.5</v>
      </c>
      <c r="L23" s="72">
        <f>I9-(J23+K23)</f>
        <v>2.625</v>
      </c>
      <c r="M23" s="12">
        <f t="shared" si="1"/>
        <v>0</v>
      </c>
      <c r="N23" s="12">
        <f>0</f>
        <v>0</v>
      </c>
      <c r="O23" s="77">
        <f t="shared" si="2"/>
        <v>-7.875</v>
      </c>
      <c r="P23" s="79">
        <f t="shared" si="3"/>
        <v>7.875</v>
      </c>
      <c r="Q23" s="61"/>
      <c r="R23" s="59"/>
      <c r="T23" s="3" t="s">
        <v>117</v>
      </c>
      <c r="W23" s="3">
        <v>30</v>
      </c>
      <c r="X23" s="3" t="s">
        <v>55</v>
      </c>
    </row>
    <row r="24" spans="1:34" outlineLevel="1" x14ac:dyDescent="0.2">
      <c r="A24" s="29">
        <v>4</v>
      </c>
      <c r="B24" s="38"/>
      <c r="C24" s="39" t="s">
        <v>45</v>
      </c>
      <c r="D24" s="40">
        <v>19</v>
      </c>
      <c r="E24" s="41">
        <v>3202</v>
      </c>
      <c r="F24" s="13">
        <f>IFERROR(1/(E24*660/1000000/D24),"")</f>
        <v>8.9905930005867543</v>
      </c>
      <c r="G24" s="41">
        <v>1</v>
      </c>
      <c r="H24" s="41">
        <v>1</v>
      </c>
      <c r="I24" s="42">
        <v>0</v>
      </c>
      <c r="J24" s="43">
        <v>0</v>
      </c>
      <c r="K24" s="73">
        <f>K23</f>
        <v>3.5</v>
      </c>
      <c r="L24" s="73">
        <f>10.5-(K24+M24)</f>
        <v>5.8321126315789478</v>
      </c>
      <c r="M24" s="73">
        <f t="shared" si="1"/>
        <v>1.1678873684210527</v>
      </c>
      <c r="N24" s="13">
        <f>I9-(K24+L24+M24)</f>
        <v>0</v>
      </c>
      <c r="O24" s="76">
        <f t="shared" si="2"/>
        <v>-7.875</v>
      </c>
      <c r="P24" s="80">
        <f t="shared" si="3"/>
        <v>7.875</v>
      </c>
      <c r="Q24" s="61"/>
      <c r="R24" s="59"/>
      <c r="T24" s="3" t="s">
        <v>118</v>
      </c>
      <c r="W24" s="3">
        <f>W22*W23</f>
        <v>90</v>
      </c>
      <c r="X24" s="3" t="s">
        <v>119</v>
      </c>
    </row>
    <row r="25" spans="1:34" s="48" customFormat="1" outlineLevel="1" x14ac:dyDescent="0.2">
      <c r="A25" s="31">
        <v>5</v>
      </c>
      <c r="B25" s="44"/>
      <c r="C25" s="45" t="s">
        <v>46</v>
      </c>
      <c r="D25" s="46">
        <v>19</v>
      </c>
      <c r="E25" s="47">
        <v>3202</v>
      </c>
      <c r="F25" s="14">
        <f t="shared" ref="F25:F26" si="5">IFERROR(1/(E25*660/1000000/D25),"")</f>
        <v>8.9905930005867543</v>
      </c>
      <c r="G25" s="47">
        <v>1</v>
      </c>
      <c r="H25" s="47">
        <v>1</v>
      </c>
      <c r="I25" s="36">
        <v>0</v>
      </c>
      <c r="J25" s="72">
        <f>J21</f>
        <v>4.375</v>
      </c>
      <c r="K25" s="37">
        <f>0</f>
        <v>0</v>
      </c>
      <c r="L25" s="72">
        <f>10.5-(J25+M25)</f>
        <v>4.9571126315789478</v>
      </c>
      <c r="M25" s="72">
        <f t="shared" si="1"/>
        <v>1.1678873684210527</v>
      </c>
      <c r="N25" s="14">
        <f>0</f>
        <v>0</v>
      </c>
      <c r="O25" s="75">
        <f t="shared" si="2"/>
        <v>-7.875</v>
      </c>
      <c r="P25" s="79">
        <f t="shared" si="3"/>
        <v>7.875</v>
      </c>
      <c r="Q25" s="61"/>
      <c r="T25" s="86" t="s">
        <v>142</v>
      </c>
      <c r="U25" s="86"/>
      <c r="V25" s="86"/>
      <c r="W25" s="86"/>
    </row>
    <row r="26" spans="1:34" outlineLevel="1" x14ac:dyDescent="0.2">
      <c r="A26" s="31">
        <v>6</v>
      </c>
      <c r="B26" s="44"/>
      <c r="C26" s="45"/>
      <c r="D26" s="46"/>
      <c r="E26" s="47"/>
      <c r="F26" s="14" t="str">
        <f t="shared" si="5"/>
        <v/>
      </c>
      <c r="G26" s="47"/>
      <c r="H26" s="47"/>
      <c r="I26" s="36">
        <v>0</v>
      </c>
      <c r="J26" s="37">
        <v>0</v>
      </c>
      <c r="K26" s="37">
        <v>0</v>
      </c>
      <c r="L26" s="37">
        <v>0</v>
      </c>
      <c r="M26" s="14" t="str">
        <f t="shared" si="1"/>
        <v/>
      </c>
      <c r="N26" s="14"/>
      <c r="O26" s="75" t="str">
        <f t="shared" si="2"/>
        <v/>
      </c>
      <c r="P26" s="79">
        <f t="shared" si="3"/>
        <v>0</v>
      </c>
      <c r="Q26" s="61"/>
      <c r="R26" s="60"/>
    </row>
    <row r="27" spans="1:34" outlineLevel="1" x14ac:dyDescent="0.2">
      <c r="A27" s="66"/>
      <c r="B27" s="67"/>
      <c r="C27" s="68"/>
      <c r="D27" s="69"/>
      <c r="E27" s="70"/>
      <c r="F27" s="61"/>
      <c r="G27" s="70"/>
      <c r="H27" s="70"/>
      <c r="I27" s="61"/>
      <c r="J27" s="61"/>
      <c r="K27" s="61"/>
      <c r="L27" s="61"/>
      <c r="M27" s="61"/>
      <c r="N27" s="61"/>
      <c r="O27" s="61"/>
      <c r="P27" s="61"/>
      <c r="Q27" s="61"/>
      <c r="T27" s="3" t="s">
        <v>120</v>
      </c>
    </row>
    <row r="28" spans="1:34" outlineLevel="1" x14ac:dyDescent="0.2">
      <c r="A28" s="66"/>
      <c r="B28" s="67"/>
      <c r="C28" s="68"/>
      <c r="D28" s="70"/>
      <c r="E28" s="70"/>
      <c r="F28" s="61"/>
      <c r="G28" s="70"/>
      <c r="H28" s="70"/>
      <c r="I28" s="61"/>
      <c r="J28" s="61"/>
      <c r="K28" s="61"/>
      <c r="L28" s="61"/>
      <c r="M28" s="61"/>
      <c r="N28" s="61"/>
      <c r="O28" s="61"/>
      <c r="P28" s="61"/>
      <c r="Q28" s="61"/>
      <c r="T28" s="3" t="s">
        <v>121</v>
      </c>
      <c r="W28" s="3">
        <f>5*W23</f>
        <v>150</v>
      </c>
      <c r="X28" s="3" t="s">
        <v>55</v>
      </c>
    </row>
    <row r="29" spans="1:34" outlineLevel="1" x14ac:dyDescent="0.2">
      <c r="A29" s="82" t="s">
        <v>48</v>
      </c>
      <c r="C29" s="16" t="s">
        <v>50</v>
      </c>
      <c r="G29" s="16" t="s">
        <v>77</v>
      </c>
      <c r="K29" s="16" t="s">
        <v>78</v>
      </c>
      <c r="L29" s="61"/>
      <c r="M29" s="61"/>
      <c r="N29" s="61"/>
      <c r="O29" s="61"/>
      <c r="P29" s="61"/>
      <c r="Q29" s="61"/>
      <c r="T29" s="3" t="s">
        <v>122</v>
      </c>
      <c r="W29" s="3">
        <v>30</v>
      </c>
      <c r="X29" s="3" t="s">
        <v>47</v>
      </c>
    </row>
    <row r="30" spans="1:34" outlineLevel="1" x14ac:dyDescent="0.2">
      <c r="A30" s="82" t="s">
        <v>49</v>
      </c>
      <c r="C30" s="2" t="s">
        <v>71</v>
      </c>
      <c r="D30" s="3">
        <v>30</v>
      </c>
      <c r="E30" s="3" t="s">
        <v>47</v>
      </c>
      <c r="G30" s="3" t="s">
        <v>56</v>
      </c>
      <c r="H30" s="60">
        <f>D37</f>
        <v>5</v>
      </c>
      <c r="I30" s="3" t="s">
        <v>52</v>
      </c>
      <c r="K30" s="3" t="s">
        <v>79</v>
      </c>
      <c r="L30" s="16"/>
      <c r="M30" s="3">
        <f>W24</f>
        <v>90</v>
      </c>
      <c r="N30" s="3" t="s">
        <v>47</v>
      </c>
      <c r="O30" s="61"/>
      <c r="P30" s="61"/>
      <c r="Q30" s="61"/>
      <c r="T30" s="3" t="s">
        <v>123</v>
      </c>
      <c r="W30" s="3">
        <f>W28*W29</f>
        <v>4500</v>
      </c>
      <c r="X30" s="3" t="s">
        <v>119</v>
      </c>
    </row>
    <row r="31" spans="1:34" outlineLevel="1" x14ac:dyDescent="0.2">
      <c r="A31" s="82" t="s">
        <v>68</v>
      </c>
      <c r="C31" s="2" t="s">
        <v>72</v>
      </c>
      <c r="D31" s="3">
        <v>5</v>
      </c>
      <c r="E31" s="3" t="s">
        <v>73</v>
      </c>
      <c r="G31" s="3" t="s">
        <v>57</v>
      </c>
      <c r="H31" s="3">
        <f>H30/5</f>
        <v>1</v>
      </c>
      <c r="I31" s="3" t="s">
        <v>52</v>
      </c>
      <c r="K31" s="3" t="s">
        <v>80</v>
      </c>
      <c r="M31" s="63">
        <v>100</v>
      </c>
      <c r="N31" s="63" t="s">
        <v>47</v>
      </c>
      <c r="O31" s="84" t="s">
        <v>143</v>
      </c>
      <c r="P31" s="61"/>
      <c r="Q31" s="61"/>
      <c r="T31" s="24" t="s">
        <v>123</v>
      </c>
      <c r="U31" s="24"/>
      <c r="V31" s="24"/>
      <c r="W31" s="24">
        <f>W30/1000</f>
        <v>4.5</v>
      </c>
      <c r="X31" s="24" t="s">
        <v>52</v>
      </c>
    </row>
    <row r="32" spans="1:34" outlineLevel="1" x14ac:dyDescent="0.2">
      <c r="A32" s="82" t="s">
        <v>69</v>
      </c>
      <c r="C32" s="2" t="s">
        <v>65</v>
      </c>
      <c r="D32" s="3">
        <v>3</v>
      </c>
      <c r="E32" s="3" t="s">
        <v>74</v>
      </c>
      <c r="G32" s="3" t="s">
        <v>58</v>
      </c>
      <c r="H32" s="60">
        <f>H30-H31</f>
        <v>4</v>
      </c>
      <c r="I32" s="3" t="s">
        <v>52</v>
      </c>
      <c r="O32" s="61"/>
      <c r="P32" s="61"/>
      <c r="Q32" s="61"/>
      <c r="T32" s="85" t="s">
        <v>128</v>
      </c>
      <c r="U32" s="85"/>
      <c r="V32" s="85"/>
      <c r="W32" s="85">
        <v>5</v>
      </c>
      <c r="X32" s="85" t="s">
        <v>52</v>
      </c>
    </row>
    <row r="33" spans="1:17" outlineLevel="1" x14ac:dyDescent="0.2">
      <c r="A33" s="89" t="s">
        <v>131</v>
      </c>
      <c r="C33" s="2" t="s">
        <v>66</v>
      </c>
      <c r="D33" s="3">
        <v>10</v>
      </c>
      <c r="E33" s="3" t="s">
        <v>75</v>
      </c>
      <c r="G33" s="63" t="str">
        <f>G31</f>
        <v>5x det assay vol</v>
      </c>
      <c r="H33" s="63">
        <f>H31*1000</f>
        <v>1000</v>
      </c>
      <c r="I33" s="63" t="s">
        <v>47</v>
      </c>
      <c r="O33" s="61"/>
      <c r="P33" s="61"/>
      <c r="Q33" s="61"/>
    </row>
    <row r="34" spans="1:17" outlineLevel="1" x14ac:dyDescent="0.2">
      <c r="A34" s="66" t="s">
        <v>70</v>
      </c>
      <c r="C34" s="2" t="s">
        <v>76</v>
      </c>
      <c r="D34" s="3">
        <f>D30*D31*D32*D33</f>
        <v>4500</v>
      </c>
      <c r="E34" s="3" t="s">
        <v>47</v>
      </c>
      <c r="G34" s="63" t="s">
        <v>58</v>
      </c>
      <c r="H34" s="63">
        <f>H32*1000</f>
        <v>4000</v>
      </c>
      <c r="I34" s="63" t="s">
        <v>47</v>
      </c>
      <c r="O34" s="61"/>
      <c r="P34" s="61"/>
      <c r="Q34" s="61"/>
    </row>
    <row r="35" spans="1:17" outlineLevel="1" x14ac:dyDescent="0.2">
      <c r="A35" s="66"/>
      <c r="C35" s="62" t="s">
        <v>76</v>
      </c>
      <c r="D35" s="63">
        <f>W32</f>
        <v>5</v>
      </c>
      <c r="E35" s="63" t="s">
        <v>52</v>
      </c>
      <c r="G35" s="63" t="s">
        <v>59</v>
      </c>
      <c r="H35" s="62">
        <f>17*H30</f>
        <v>85</v>
      </c>
      <c r="I35" s="63" t="s">
        <v>47</v>
      </c>
      <c r="K35" s="3" t="s">
        <v>74</v>
      </c>
      <c r="L35" s="3">
        <v>10</v>
      </c>
      <c r="O35" s="61"/>
      <c r="P35" s="61"/>
      <c r="Q35" s="61"/>
    </row>
    <row r="36" spans="1:17" outlineLevel="1" x14ac:dyDescent="0.2">
      <c r="A36" s="66"/>
      <c r="F36" s="24"/>
      <c r="G36" s="63" t="s">
        <v>138</v>
      </c>
      <c r="H36" s="2"/>
      <c r="O36" s="61"/>
      <c r="P36" s="61"/>
      <c r="Q36" s="61"/>
    </row>
    <row r="37" spans="1:17" outlineLevel="1" x14ac:dyDescent="0.2">
      <c r="A37" s="66"/>
      <c r="C37" s="3" t="s">
        <v>51</v>
      </c>
      <c r="D37" s="64">
        <f>D35</f>
        <v>5</v>
      </c>
      <c r="E37" s="65" t="s">
        <v>52</v>
      </c>
      <c r="F37" s="24" t="s">
        <v>61</v>
      </c>
      <c r="G37" s="24"/>
      <c r="H37" s="24"/>
      <c r="O37" s="61"/>
      <c r="P37" s="61"/>
      <c r="Q37" s="61"/>
    </row>
    <row r="38" spans="1:17" outlineLevel="1" x14ac:dyDescent="0.2">
      <c r="A38" s="66"/>
      <c r="C38" s="3" t="s">
        <v>53</v>
      </c>
      <c r="D38" s="64">
        <f>D37*5</f>
        <v>25</v>
      </c>
      <c r="E38" s="65" t="s">
        <v>47</v>
      </c>
      <c r="F38" s="24" t="s">
        <v>60</v>
      </c>
      <c r="G38" s="24"/>
      <c r="H38" s="24"/>
      <c r="K38" s="3" t="s">
        <v>81</v>
      </c>
      <c r="L38" s="61"/>
      <c r="M38" s="61">
        <f>M21*L35*3</f>
        <v>35.036621052631574</v>
      </c>
      <c r="N38" s="61" t="s">
        <v>47</v>
      </c>
      <c r="O38" s="61"/>
      <c r="P38" s="61"/>
      <c r="Q38" s="61"/>
    </row>
    <row r="39" spans="1:17" outlineLevel="1" x14ac:dyDescent="0.2">
      <c r="A39" s="66"/>
      <c r="C39" s="59" t="s">
        <v>54</v>
      </c>
      <c r="D39" s="64">
        <f>D37</f>
        <v>5</v>
      </c>
      <c r="E39" s="65" t="s">
        <v>47</v>
      </c>
      <c r="F39" s="24" t="s">
        <v>124</v>
      </c>
      <c r="G39" s="24"/>
      <c r="H39" s="24"/>
      <c r="K39" s="3" t="s">
        <v>125</v>
      </c>
      <c r="M39" s="3">
        <v>3</v>
      </c>
      <c r="N39" s="3" t="s">
        <v>47</v>
      </c>
      <c r="O39" s="61"/>
      <c r="P39" s="61"/>
      <c r="Q39" s="61"/>
    </row>
    <row r="40" spans="1:17" outlineLevel="1" x14ac:dyDescent="0.2">
      <c r="A40" s="66"/>
      <c r="F40" s="24"/>
      <c r="G40" s="24"/>
      <c r="H40" s="24"/>
      <c r="K40" s="3" t="s">
        <v>126</v>
      </c>
      <c r="M40" s="3">
        <f>M38/M39</f>
        <v>11.678873684210524</v>
      </c>
      <c r="N40" s="3" t="s">
        <v>127</v>
      </c>
      <c r="O40" s="61"/>
      <c r="P40" s="61"/>
      <c r="Q40" s="61"/>
    </row>
    <row r="41" spans="1:17" outlineLevel="1" x14ac:dyDescent="0.2">
      <c r="A41" s="66"/>
      <c r="F41" s="24"/>
      <c r="G41" s="24"/>
      <c r="H41" s="24"/>
      <c r="O41" s="61"/>
      <c r="P41" s="61"/>
      <c r="Q41" s="61"/>
    </row>
    <row r="42" spans="1:17" outlineLevel="1" x14ac:dyDescent="0.2">
      <c r="A42" s="66"/>
      <c r="F42" s="24"/>
      <c r="G42" s="71"/>
      <c r="H42" s="24"/>
      <c r="L42" s="61"/>
      <c r="M42" s="61"/>
      <c r="N42" s="61"/>
      <c r="O42" s="61"/>
      <c r="P42" s="61"/>
      <c r="Q42" s="61"/>
    </row>
    <row r="43" spans="1:17" outlineLevel="1" x14ac:dyDescent="0.2">
      <c r="A43" s="66" t="s">
        <v>129</v>
      </c>
      <c r="B43" s="3" t="s">
        <v>130</v>
      </c>
      <c r="C43" s="87"/>
      <c r="F43" s="24"/>
      <c r="G43" s="24"/>
      <c r="H43" s="24"/>
      <c r="K43" s="3" t="s">
        <v>82</v>
      </c>
      <c r="L43" s="61"/>
      <c r="M43" s="61">
        <f>J21*L35*3</f>
        <v>131.25</v>
      </c>
      <c r="N43" s="61" t="s">
        <v>47</v>
      </c>
      <c r="O43" s="61"/>
      <c r="P43" s="61"/>
      <c r="Q43" s="61"/>
    </row>
    <row r="44" spans="1:17" outlineLevel="1" x14ac:dyDescent="0.2">
      <c r="A44" s="66"/>
      <c r="B44" s="3">
        <v>1</v>
      </c>
      <c r="C44" s="87"/>
      <c r="F44" s="24"/>
      <c r="G44" s="24"/>
      <c r="H44" s="24"/>
      <c r="K44" s="3" t="s">
        <v>83</v>
      </c>
      <c r="L44" s="61"/>
      <c r="M44" s="61">
        <f>K21*4*L35</f>
        <v>140</v>
      </c>
      <c r="N44" s="61" t="s">
        <v>47</v>
      </c>
      <c r="O44" s="61"/>
      <c r="P44" s="61"/>
      <c r="Q44" s="61"/>
    </row>
    <row r="45" spans="1:17" outlineLevel="1" x14ac:dyDescent="0.2">
      <c r="A45" s="66"/>
      <c r="B45" s="3">
        <v>2</v>
      </c>
      <c r="C45" s="87"/>
      <c r="F45" s="24"/>
      <c r="G45" s="24"/>
      <c r="H45" s="24"/>
      <c r="L45" s="61"/>
      <c r="M45" s="61"/>
      <c r="N45" s="61"/>
      <c r="O45" s="61"/>
      <c r="P45" s="61"/>
      <c r="Q45" s="61"/>
    </row>
    <row r="46" spans="1:17" outlineLevel="1" x14ac:dyDescent="0.2">
      <c r="A46" s="66"/>
      <c r="B46" s="3">
        <v>3</v>
      </c>
      <c r="C46" s="87"/>
      <c r="L46" s="61"/>
      <c r="M46" s="61"/>
      <c r="N46" s="61"/>
      <c r="O46" s="61"/>
      <c r="P46" s="61"/>
      <c r="Q46" s="61"/>
    </row>
    <row r="47" spans="1:17" outlineLevel="1" x14ac:dyDescent="0.2">
      <c r="A47" s="66"/>
      <c r="B47" s="70">
        <v>4</v>
      </c>
      <c r="C47" s="88"/>
      <c r="D47" s="70"/>
      <c r="E47" s="70"/>
      <c r="F47" s="61"/>
      <c r="G47" s="70"/>
      <c r="H47" s="70"/>
      <c r="I47" s="61"/>
      <c r="J47" s="61"/>
      <c r="K47" s="61"/>
      <c r="L47" s="61"/>
      <c r="M47" s="61"/>
      <c r="N47" s="61"/>
      <c r="O47" s="61"/>
      <c r="P47" s="61"/>
      <c r="Q47" s="61"/>
    </row>
    <row r="48" spans="1:17" outlineLevel="1" x14ac:dyDescent="0.2">
      <c r="A48" s="66"/>
      <c r="B48" s="70">
        <v>5</v>
      </c>
      <c r="C48" s="88"/>
      <c r="D48" s="70"/>
      <c r="E48" s="70"/>
      <c r="F48" s="61"/>
      <c r="G48" s="70"/>
      <c r="H48" s="70"/>
      <c r="I48" s="61"/>
      <c r="J48" s="61"/>
      <c r="K48" s="61"/>
      <c r="L48" s="61"/>
      <c r="M48" s="61"/>
      <c r="N48" s="61"/>
      <c r="O48" s="61"/>
      <c r="P48" s="61"/>
      <c r="Q48" s="61"/>
    </row>
    <row r="49" spans="1:17" outlineLevel="1" x14ac:dyDescent="0.2">
      <c r="A49" s="66"/>
      <c r="B49" s="70">
        <v>6</v>
      </c>
      <c r="C49" s="68"/>
      <c r="D49" s="70"/>
      <c r="E49" s="70"/>
      <c r="F49" s="61"/>
      <c r="G49" s="70"/>
      <c r="H49" s="70"/>
      <c r="I49" s="61"/>
      <c r="J49" s="61"/>
      <c r="K49" s="61"/>
      <c r="L49" s="61"/>
      <c r="M49" s="61"/>
      <c r="N49" s="61"/>
      <c r="O49" s="61"/>
      <c r="P49" s="61"/>
      <c r="Q49" s="61"/>
    </row>
    <row r="50" spans="1:17" outlineLevel="1" x14ac:dyDescent="0.2">
      <c r="A50" s="66"/>
      <c r="B50" s="70">
        <v>7</v>
      </c>
      <c r="C50" s="68"/>
      <c r="D50" s="70"/>
      <c r="E50" s="70"/>
      <c r="F50" s="61"/>
      <c r="G50" s="70"/>
      <c r="H50" s="70"/>
      <c r="I50" s="61"/>
      <c r="J50" s="61"/>
      <c r="K50" s="61"/>
      <c r="L50" s="61"/>
      <c r="M50" s="61"/>
      <c r="N50" s="61"/>
      <c r="O50" s="61"/>
      <c r="P50" s="61"/>
      <c r="Q50" s="61"/>
    </row>
    <row r="51" spans="1:17" ht="16.5" customHeight="1" x14ac:dyDescent="0.2">
      <c r="B51" s="70">
        <v>8</v>
      </c>
    </row>
    <row r="52" spans="1:17" x14ac:dyDescent="0.2">
      <c r="B52" s="70">
        <v>9</v>
      </c>
    </row>
    <row r="53" spans="1:17" x14ac:dyDescent="0.2">
      <c r="B53" s="70">
        <v>10</v>
      </c>
    </row>
  </sheetData>
  <sheetProtection selectLockedCells="1"/>
  <dataConsolidate/>
  <phoneticPr fontId="11" type="noConversion"/>
  <conditionalFormatting sqref="Q21:Q22 I23:Q28 D29:F29 F36:F38 D37:E39 I37:K37 J33:K36 L29:Q30 O31:Q37 G30:I36 I38:Q38 I39:J41 O39:Q41 I42:Q50">
    <cfRule type="cellIs" dxfId="12" priority="21" operator="equal">
      <formula>0</formula>
    </cfRule>
    <cfRule type="cellIs" dxfId="11" priority="22" operator="lessThan">
      <formula>0.5</formula>
    </cfRule>
  </conditionalFormatting>
  <conditionalFormatting sqref="D12:D13">
    <cfRule type="cellIs" dxfId="10" priority="16" operator="equal">
      <formula>0</formula>
    </cfRule>
    <cfRule type="cellIs" dxfId="9" priority="17" operator="lessThan">
      <formula>0.5</formula>
    </cfRule>
  </conditionalFormatting>
  <conditionalFormatting sqref="D12:D13">
    <cfRule type="expression" dxfId="8" priority="15">
      <formula>(MM_sum/_xlnm.extract &gt; 85.5)</formula>
    </cfRule>
  </conditionalFormatting>
  <conditionalFormatting sqref="D14">
    <cfRule type="cellIs" dxfId="7" priority="13" operator="equal">
      <formula>0</formula>
    </cfRule>
    <cfRule type="cellIs" dxfId="6" priority="14" operator="lessThan">
      <formula>0.5</formula>
    </cfRule>
  </conditionalFormatting>
  <conditionalFormatting sqref="D14">
    <cfRule type="expression" dxfId="5" priority="12">
      <formula>(MM_sum/_xlnm.extract &gt; 85.5)</formula>
    </cfRule>
  </conditionalFormatting>
  <conditionalFormatting sqref="D15:D17">
    <cfRule type="cellIs" dxfId="4" priority="4" operator="equal">
      <formula>0</formula>
    </cfRule>
    <cfRule type="cellIs" dxfId="3" priority="5" operator="lessThan">
      <formula>0.5</formula>
    </cfRule>
  </conditionalFormatting>
  <conditionalFormatting sqref="D15:D17">
    <cfRule type="expression" dxfId="2" priority="3">
      <formula>(MM_sum/_xlnm.extract &gt; 85.5)</formula>
    </cfRule>
  </conditionalFormatting>
  <conditionalFormatting sqref="I21:P22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1:Q26 A1:A5 Q28:Q50 Q20:R20" xr:uid="{00000000-0002-0000-0000-000000000000}">
      <formula1>""""""</formula1>
    </dataValidation>
    <dataValidation type="custom" allowBlank="1" showInputMessage="1" sqref="Q27 A12:D12 F12:P12 A13:P28 A29:A32 C29:G29 A33:B38 A47:P50 A39:A46 F36:F38 C37:E39 G38:P38 G37:K37 J33:K36 G30:I36 L29:P30 O31:P37 A9:P9 A11:P11 E43:P46 F42:P42 F39:J41 O39:P41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66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2020-11-03T22:02:36Z</cp:lastPrinted>
  <dcterms:created xsi:type="dcterms:W3CDTF">2012-06-15T21:22:50Z</dcterms:created>
  <dcterms:modified xsi:type="dcterms:W3CDTF">2020-11-03T22:12:04Z</dcterms:modified>
</cp:coreProperties>
</file>