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1_experiment_design/20210208_exp30_AlphaHLVesicleTest_mscarlet_noRhodppe/"/>
    </mc:Choice>
  </mc:AlternateContent>
  <xr:revisionPtr revIDLastSave="0" documentId="13_ncr:1_{E953738D-D3BF-1647-A427-4D7A6B15F928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Outline!$A$10:$V$56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2" l="1"/>
  <c r="K57" i="2"/>
  <c r="M32" i="2"/>
  <c r="I32" i="2"/>
  <c r="M31" i="2"/>
  <c r="I31" i="2"/>
  <c r="I28" i="2"/>
  <c r="I29" i="2" s="1"/>
  <c r="D28" i="2"/>
  <c r="S43" i="2"/>
  <c r="S42" i="2"/>
  <c r="L55" i="2"/>
  <c r="T32" i="2"/>
  <c r="T33" i="2" s="1"/>
  <c r="P6" i="2"/>
  <c r="P5" i="2"/>
  <c r="C13" i="2"/>
  <c r="C12" i="2" s="1"/>
  <c r="M22" i="2" l="1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0" i="2"/>
  <c r="M28" i="2"/>
  <c r="M29" i="2" s="1"/>
  <c r="M26" i="2"/>
  <c r="M25" i="2"/>
  <c r="M24" i="2"/>
  <c r="I15" i="2" l="1"/>
  <c r="I16" i="2"/>
  <c r="I17" i="2"/>
  <c r="D13" i="2" l="1"/>
  <c r="D12" i="2"/>
  <c r="D14" i="2"/>
  <c r="D17" i="2"/>
  <c r="D16" i="2"/>
  <c r="D15" i="2"/>
  <c r="O27" i="2" l="1"/>
  <c r="O21" i="2"/>
  <c r="O22" i="2"/>
  <c r="N22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25" i="2"/>
  <c r="N25" i="2" s="1"/>
  <c r="N21" i="2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0" i="2"/>
  <c r="O28" i="2"/>
  <c r="O29" i="2" s="1"/>
  <c r="O26" i="2"/>
  <c r="N26" i="2" s="1"/>
  <c r="O24" i="2"/>
  <c r="N30" i="2" l="1"/>
  <c r="N31" i="2" s="1"/>
  <c r="O31" i="2"/>
  <c r="O32" i="2" s="1"/>
  <c r="N24" i="2"/>
  <c r="N32" i="2" l="1"/>
  <c r="P31" i="2"/>
  <c r="T39" i="2"/>
  <c r="T40" i="2" l="1"/>
  <c r="N28" i="2" l="1"/>
  <c r="P28" i="2" l="1"/>
  <c r="P29" i="2"/>
</calcChain>
</file>

<file path=xl/sharedStrings.xml><?xml version="1.0" encoding="utf-8"?>
<sst xmlns="http://schemas.openxmlformats.org/spreadsheetml/2006/main" count="117" uniqueCount="88">
  <si>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</si>
  <si>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</si>
  <si>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</si>
  <si>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</si>
  <si>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</si>
  <si>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</si>
  <si>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</si>
  <si>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</si>
  <si>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</si>
  <si>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</si>
  <si>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</si>
  <si>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</si>
  <si>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</si>
  <si>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</si>
  <si>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</si>
  <si>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</si>
  <si>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</si>
  <si>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</si>
  <si>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</si>
  <si>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</si>
  <si>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</si>
  <si>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</si>
  <si>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</si>
  <si>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</si>
  <si>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</si>
  <si>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</si>
  <si>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</si>
  <si>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</si>
  <si>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</si>
  <si>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</si>
  <si>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</si>
  <si>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</si>
  <si>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</si>
  <si>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</si>
  <si>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</si>
  <si>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</si>
  <si>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</si>
  <si>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</si>
  <si>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GamS, inducer,</t>
  </si>
  <si>
    <t>GamS</t>
  </si>
  <si>
    <t>(GamS - 3.5 nM)</t>
  </si>
  <si>
    <t>5 mM: 500 nM</t>
  </si>
  <si>
    <t>stock ratio, conce you wa t</t>
  </si>
  <si>
    <t>add things here (atp, plasmid1/2)</t>
  </si>
  <si>
    <t xml:space="preserve"> making activation</t>
  </si>
  <si>
    <t>aliquote for 7 rxns</t>
  </si>
  <si>
    <t>Ankita Roychoudhury</t>
  </si>
  <si>
    <t>sum</t>
  </si>
  <si>
    <t>uL</t>
  </si>
  <si>
    <t>stock</t>
  </si>
  <si>
    <t>ng/uL</t>
  </si>
  <si>
    <t>desired</t>
  </si>
  <si>
    <t>c1</t>
  </si>
  <si>
    <t>c2</t>
  </si>
  <si>
    <t>desired vol</t>
  </si>
  <si>
    <t>v2</t>
  </si>
  <si>
    <t>needed vol</t>
  </si>
  <si>
    <t>v1</t>
  </si>
  <si>
    <t>water vol</t>
  </si>
  <si>
    <t>mM</t>
  </si>
  <si>
    <t>ws1</t>
  </si>
  <si>
    <t>desired conc</t>
  </si>
  <si>
    <t>vesicle vol</t>
  </si>
  <si>
    <t>ws1 vol</t>
  </si>
  <si>
    <t>iptg for D</t>
  </si>
  <si>
    <t>iptg conc</t>
  </si>
  <si>
    <t>final vol</t>
  </si>
  <si>
    <t>uL IPTG</t>
  </si>
  <si>
    <t>real conc bc vesicle vol is 50 uL</t>
  </si>
  <si>
    <t>*Add higher nM linear dna bc it's old</t>
  </si>
  <si>
    <t>(aux calc)</t>
  </si>
  <si>
    <t>A</t>
  </si>
  <si>
    <t>B</t>
  </si>
  <si>
    <t>IPTG (100 mM)</t>
  </si>
  <si>
    <t>pLac-mScar</t>
  </si>
  <si>
    <t>above x2</t>
  </si>
  <si>
    <t>pbadLacI</t>
  </si>
  <si>
    <t>iptg: 500,100,10 mM</t>
  </si>
  <si>
    <t/>
  </si>
  <si>
    <t xml:space="preserve"> </t>
  </si>
  <si>
    <t>2.08.21</t>
  </si>
  <si>
    <t>pbadlacI with lacImscarlet in vesicles and no rhodppe</t>
  </si>
  <si>
    <t>pbadLacI (linear)</t>
  </si>
  <si>
    <t>pos ctrl</t>
  </si>
  <si>
    <t>pos ctrlx2</t>
  </si>
  <si>
    <t>pbadLacI, pLac-mScar,IPTG</t>
  </si>
  <si>
    <t>placmscar,pbadlacI</t>
  </si>
  <si>
    <t>same as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</si>
</sst>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0" fontId="6" fillId="9" borderId="0" xfId="0" applyFont="1" applyFill="1" applyAlignment="1" applyProtection="1">
      <alignment horizontal="center"/>
    </xf>
    <xf numFmtId="0" fontId="6" fillId="9" borderId="0" xfId="0" applyFont="1" applyFill="1" applyAlignment="1" applyProtection="1"/>
    <xf numFmtId="0" fontId="0" fillId="9" borderId="6" xfId="0" applyFont="1" applyFill="1" applyBorder="1" applyAlignment="1" applyProtection="1">
      <alignment horizontal="center"/>
    </xf>
    <xf numFmtId="0" fontId="0" fillId="9" borderId="6" xfId="0" applyFont="1" applyFill="1" applyBorder="1" applyAlignment="1" applyProtection="1"/>
    <xf numFmtId="0" fontId="0" fillId="9" borderId="3" xfId="0" applyFill="1" applyBorder="1" applyAlignment="1" applyProtection="1">
      <alignment horizontal="center"/>
    </xf>
    <xf numFmtId="0" fontId="0" fillId="9" borderId="3" xfId="0" applyFill="1" applyBorder="1" applyAlignment="1" applyProtection="1"/>
    <xf numFmtId="0" fontId="0" fillId="10" borderId="0" xfId="0" applyFill="1" applyProtection="1"/>
    <xf numFmtId="0" fontId="0" fillId="0" borderId="0" xfId="0" quotePrefix="1" applyProtection="1"/>
    <xf numFmtId="2" fontId="0" fillId="11" borderId="1" xfId="0" applyNumberFormat="1" applyFill="1" applyBorder="1" applyAlignment="1" applyProtection="1">
      <alignment horizontal="right"/>
    </xf>
    <xf numFmtId="2" fontId="0" fillId="11" borderId="6" xfId="0" applyNumberFormat="1" applyFill="1" applyBorder="1" applyAlignment="1" applyProtection="1">
      <alignment horizontal="right"/>
    </xf>
    <xf numFmtId="2" fontId="0" fillId="11" borderId="7" xfId="0" applyNumberFormat="1" applyFill="1" applyBorder="1" applyAlignment="1" applyProtection="1">
      <alignment horizontal="right"/>
    </xf>
    <xf numFmtId="2" fontId="0" fillId="11" borderId="10" xfId="0" applyNumberFormat="1" applyFill="1" applyBorder="1" applyAlignment="1" applyProtection="1">
      <alignment horizontal="right"/>
    </xf>
    <xf numFmtId="0" fontId="0" fillId="12" borderId="12" xfId="0" applyFill="1" applyBorder="1" applyAlignment="1" applyProtection="1">
      <alignment horizontal="center"/>
    </xf>
    <xf numFmtId="0" fontId="6" fillId="12" borderId="3" xfId="0" applyNumberFormat="1" applyFont="1" applyFill="1" applyBorder="1" applyAlignment="1" applyProtection="1">
      <alignment horizontal="center"/>
    </xf>
    <xf numFmtId="0" fontId="6" fillId="12" borderId="3" xfId="0" applyFont="1" applyFill="1" applyBorder="1" applyAlignment="1" applyProtection="1"/>
    <xf numFmtId="0" fontId="0" fillId="12" borderId="3" xfId="0" applyFill="1" applyBorder="1" applyAlignment="1" applyProtection="1">
      <alignment horizontal="right"/>
    </xf>
    <xf numFmtId="2" fontId="0" fillId="12" borderId="3" xfId="0" applyNumberFormat="1" applyFill="1" applyBorder="1" applyAlignment="1" applyProtection="1">
      <alignment horizontal="right"/>
    </xf>
    <xf numFmtId="2" fontId="0" fillId="12" borderId="4" xfId="0" applyNumberFormat="1" applyFill="1" applyBorder="1" applyAlignment="1" applyProtection="1">
      <alignment horizontal="right"/>
    </xf>
    <xf numFmtId="2" fontId="0" fillId="12" borderId="5" xfId="0" applyNumberFormat="1" applyFill="1" applyBorder="1" applyAlignment="1" applyProtection="1">
      <alignment horizontal="right"/>
    </xf>
    <xf numFmtId="2" fontId="0" fillId="12" borderId="9" xfId="0" applyNumberFormat="1" applyFill="1" applyBorder="1" applyAlignment="1" applyProtection="1">
      <alignment horizontal="right"/>
    </xf>
    <xf numFmtId="2" fontId="0" fillId="11" borderId="0" xfId="0" applyNumberFormat="1" applyFill="1" applyBorder="1" applyAlignment="1" applyProtection="1">
      <alignment horizontal="right"/>
    </xf>
    <xf numFmtId="0" fontId="6" fillId="2" borderId="3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/>
    <xf numFmtId="0" fontId="0" fillId="11" borderId="0" xfId="0" applyFill="1" applyAlignment="1" applyProtection="1">
      <alignment horizontal="center"/>
    </xf>
    <xf numFmtId="0" fontId="0" fillId="11" borderId="0" xfId="0" applyFill="1" applyAlignment="1" applyProtection="1"/>
    <xf numFmtId="0" fontId="0" fillId="11" borderId="3" xfId="0" applyFill="1" applyBorder="1" applyAlignment="1" applyProtection="1"/>
    <xf numFmtId="2" fontId="0" fillId="11" borderId="4" xfId="0" applyNumberFormat="1" applyFill="1" applyBorder="1" applyAlignment="1" applyProtection="1">
      <alignment horizontal="right"/>
    </xf>
    <xf numFmtId="2" fontId="0" fillId="11" borderId="3" xfId="0" applyNumberFormat="1" applyFill="1" applyBorder="1" applyAlignment="1" applyProtection="1">
      <alignment horizontal="right"/>
    </xf>
    <xf numFmtId="2" fontId="0" fillId="11" borderId="5" xfId="0" applyNumberFormat="1" applyFill="1" applyBorder="1" applyAlignment="1" applyProtection="1">
      <alignment horizontal="right"/>
    </xf>
    <xf numFmtId="2" fontId="0" fillId="11" borderId="9" xfId="0" applyNumberFormat="1" applyFill="1" applyBorder="1" applyAlignment="1" applyProtection="1">
      <alignment horizontal="right"/>
    </xf>
    <xf numFmtId="0" fontId="0" fillId="11" borderId="3" xfId="0" applyFill="1" applyBorder="1" applyAlignment="1" applyProtection="1">
      <alignment horizontal="center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8"/>
  <sheetViews>
    <sheetView tabSelected="1" topLeftCell="F32" zoomScale="135" zoomScaleNormal="100" workbookViewId="0">
      <selection activeCell="K59" sqref="K59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7" width="8.83203125" style="3"/>
    <col min="18" max="18" width="9.83203125" style="3" bestFit="1" customWidth="1"/>
    <col min="19" max="24" width="8.83203125" style="3"/>
    <col min="25" max="25" width="12.1640625" style="3" bestFit="1" customWidth="1"/>
    <col min="26" max="16384" width="8.83203125" style="3"/>
  </cols>
  <sheetData>
    <row r="1" spans="1:16" x14ac:dyDescent="0.2">
      <c r="A1" s="1" t="s">
        <v>6</v>
      </c>
      <c r="B1" s="1"/>
      <c r="C1" s="73"/>
    </row>
    <row r="2" spans="1:16" s="32" customFormat="1" outlineLevel="1" x14ac:dyDescent="0.2">
      <c r="A2" s="32" t="s">
        <v>1</v>
      </c>
      <c r="C2" s="69" t="s">
        <v>46</v>
      </c>
    </row>
    <row r="3" spans="1:16" outlineLevel="1" x14ac:dyDescent="0.2">
      <c r="A3" s="32" t="s">
        <v>17</v>
      </c>
      <c r="B3" s="32"/>
      <c r="C3" s="70" t="s">
        <v>80</v>
      </c>
    </row>
    <row r="4" spans="1:16" outlineLevel="1" x14ac:dyDescent="0.2">
      <c r="A4" s="32" t="s">
        <v>12</v>
      </c>
      <c r="B4" s="32"/>
      <c r="C4" s="68" t="s">
        <v>81</v>
      </c>
    </row>
    <row r="5" spans="1:16" outlineLevel="1" x14ac:dyDescent="0.2">
      <c r="A5" s="32" t="s">
        <v>13</v>
      </c>
      <c r="B5" s="32"/>
      <c r="C5" s="68"/>
      <c r="P5" s="3">
        <f>2/3</f>
        <v>0.66666666666666663</v>
      </c>
    </row>
    <row r="6" spans="1:16" x14ac:dyDescent="0.2">
      <c r="P6" s="3">
        <f>650*3</f>
        <v>1950</v>
      </c>
    </row>
    <row r="7" spans="1:16" x14ac:dyDescent="0.2">
      <c r="A7" s="1" t="s">
        <v>7</v>
      </c>
      <c r="B7" s="32"/>
    </row>
    <row r="8" spans="1:16" outlineLevel="1" x14ac:dyDescent="0.2">
      <c r="A8" s="33" t="s">
        <v>35</v>
      </c>
      <c r="B8" s="32"/>
    </row>
    <row r="10" spans="1:16" s="34" customFormat="1" ht="15" customHeight="1" x14ac:dyDescent="0.2">
      <c r="A10" s="1" t="s">
        <v>18</v>
      </c>
      <c r="B10" s="1"/>
      <c r="C10" s="2"/>
      <c r="D10" s="3"/>
      <c r="J10" s="35"/>
      <c r="K10" s="35"/>
      <c r="L10" s="35"/>
      <c r="M10" s="35"/>
      <c r="N10" s="35"/>
      <c r="O10" s="35"/>
    </row>
    <row r="11" spans="1:16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34"/>
      <c r="F11" s="34"/>
      <c r="G11" s="34"/>
      <c r="H11" s="34"/>
      <c r="I11" s="9" t="s">
        <v>20</v>
      </c>
    </row>
    <row r="12" spans="1:16" outlineLevel="1" x14ac:dyDescent="0.2">
      <c r="A12" s="75" t="s">
        <v>31</v>
      </c>
      <c r="B12" s="31">
        <v>1</v>
      </c>
      <c r="C12" s="31">
        <f>0.75-C13</f>
        <v>0.41666666666666669</v>
      </c>
      <c r="D12" s="5">
        <f>C12/B12*90*0.95*_xlnm.extract</f>
        <v>35.625</v>
      </c>
      <c r="E12" s="36" t="s">
        <v>36</v>
      </c>
      <c r="F12" s="36"/>
      <c r="I12" s="6">
        <v>6</v>
      </c>
    </row>
    <row r="13" spans="1:16" outlineLevel="1" x14ac:dyDescent="0.2">
      <c r="A13" s="76" t="s">
        <v>32</v>
      </c>
      <c r="B13" s="31">
        <v>1</v>
      </c>
      <c r="C13" s="78">
        <f>1/3</f>
        <v>0.33333333333333331</v>
      </c>
      <c r="D13" s="5">
        <f>C13/B13*90*0.95*_xlnm.extract</f>
        <v>28.5</v>
      </c>
      <c r="E13" s="3" t="s">
        <v>42</v>
      </c>
      <c r="I13" s="3" t="s">
        <v>79</v>
      </c>
      <c r="J13" s="88" t="s">
        <v>78</v>
      </c>
    </row>
    <row r="14" spans="1:16" outlineLevel="1" x14ac:dyDescent="0.2">
      <c r="A14" s="37" t="s">
        <v>39</v>
      </c>
      <c r="B14" s="37">
        <v>31</v>
      </c>
      <c r="C14" s="38">
        <v>1</v>
      </c>
      <c r="D14" s="5">
        <f>IFERROR(C14/B14*90*0.95*_xlnm.extract,"")</f>
        <v>2.758064516129032</v>
      </c>
      <c r="E14" s="3" t="s">
        <v>38</v>
      </c>
      <c r="I14" s="8" t="s">
        <v>21</v>
      </c>
      <c r="N14" s="80"/>
    </row>
    <row r="15" spans="1:16" outlineLevel="1" x14ac:dyDescent="0.2">
      <c r="A15" s="37" t="s">
        <v>11</v>
      </c>
      <c r="B15" s="37"/>
      <c r="C15" s="38"/>
      <c r="D15" s="5" t="str">
        <f>IFERROR(C15/B15*90*0.95*_xlnm.extract,"")</f>
        <v/>
      </c>
      <c r="E15" s="39" t="s">
        <v>40</v>
      </c>
      <c r="F15" s="39"/>
      <c r="H15" s="4" t="s">
        <v>33</v>
      </c>
      <c r="I15" s="74">
        <f>CEILING(I12/(90/10*(0.95)^3),1)</f>
        <v>1</v>
      </c>
    </row>
    <row r="16" spans="1:16" outlineLevel="1" x14ac:dyDescent="0.2">
      <c r="A16" s="37" t="s">
        <v>11</v>
      </c>
      <c r="B16" s="37"/>
      <c r="C16" s="38"/>
      <c r="D16" s="5" t="str">
        <f>IFERROR(C16/B16*90*0.95*_xlnm.extract,"")</f>
        <v/>
      </c>
      <c r="E16" s="39" t="s">
        <v>41</v>
      </c>
      <c r="F16" s="39"/>
      <c r="H16" s="4" t="s">
        <v>34</v>
      </c>
      <c r="I16" s="77">
        <f>CEILING(I12/(90/10*(0.95)^3),1)</f>
        <v>1</v>
      </c>
      <c r="J16" s="3" t="s">
        <v>45</v>
      </c>
    </row>
    <row r="17" spans="1:22" outlineLevel="1" x14ac:dyDescent="0.2">
      <c r="A17" s="37" t="s">
        <v>11</v>
      </c>
      <c r="B17" s="37"/>
      <c r="C17" s="38"/>
      <c r="D17" s="5" t="str">
        <f>IFERROR(C17/B17*90*0.95*_xlnm.extract,"")</f>
        <v/>
      </c>
      <c r="E17" s="39"/>
      <c r="F17" s="39"/>
      <c r="H17" s="4" t="s">
        <v>19</v>
      </c>
      <c r="I17" s="7">
        <f>CEILING(M21/3,1)</f>
        <v>1</v>
      </c>
    </row>
    <row r="18" spans="1:22" x14ac:dyDescent="0.2">
      <c r="A18" s="40"/>
      <c r="B18" s="72" t="s">
        <v>30</v>
      </c>
      <c r="C18" s="39"/>
      <c r="D18" s="40"/>
      <c r="G18" s="32"/>
    </row>
    <row r="19" spans="1:22" x14ac:dyDescent="0.2">
      <c r="A19" s="1" t="s">
        <v>8</v>
      </c>
      <c r="B19" s="1" t="s">
        <v>44</v>
      </c>
      <c r="I19" s="3" t="s">
        <v>43</v>
      </c>
      <c r="O19" s="3" t="s">
        <v>37</v>
      </c>
    </row>
    <row r="20" spans="1:22" s="35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41" t="s">
        <v>76</v>
      </c>
      <c r="J20" s="41" t="s">
        <v>73</v>
      </c>
      <c r="K20" s="41" t="s">
        <v>10</v>
      </c>
      <c r="L20" s="41" t="s">
        <v>10</v>
      </c>
      <c r="M20" s="42" t="s">
        <v>5</v>
      </c>
      <c r="N20" s="42" t="s">
        <v>4</v>
      </c>
      <c r="O20" s="10" t="s">
        <v>9</v>
      </c>
      <c r="P20" s="10" t="s">
        <v>16</v>
      </c>
    </row>
    <row r="21" spans="1:22" ht="16" outlineLevel="1" thickTop="1" x14ac:dyDescent="0.2">
      <c r="A21" s="43">
        <v>1</v>
      </c>
      <c r="B21" s="83"/>
      <c r="C21" s="84" t="s">
        <v>22</v>
      </c>
      <c r="D21" s="12">
        <v>19</v>
      </c>
      <c r="E21" s="13">
        <v>3202</v>
      </c>
      <c r="F21" s="14">
        <f t="shared" ref="F21:F22" si="0">IFERROR(1/(E21*660/1000000/D21),"")</f>
        <v>8.9905930005867543</v>
      </c>
      <c r="G21" s="13">
        <v>1</v>
      </c>
      <c r="H21" s="13">
        <v>1</v>
      </c>
      <c r="I21" s="26"/>
      <c r="J21" s="27"/>
      <c r="K21" s="27"/>
      <c r="L21" s="27"/>
      <c r="M21" s="71">
        <f t="shared" ref="M21:M22" si="1">IFERROR((H21/((E21*660/1000000/D21)^-1)*10.5)*G21,"")</f>
        <v>1.1678873684210527</v>
      </c>
      <c r="N21" s="28">
        <f t="shared" ref="N21:N22" si="2">IFERROR(10.5*G21-O21-M21-I21-J21-L21-K21,"")</f>
        <v>1.1184029541595932</v>
      </c>
      <c r="O21" s="16">
        <f t="shared" ref="O21:O48" si="3">10.5*G21-((90*0.95 - MM_sum/_xlnm.extract)/(90*0.95))*10.5*G21</f>
        <v>8.2137096774193541</v>
      </c>
      <c r="T21" s="3" t="s">
        <v>77</v>
      </c>
    </row>
    <row r="22" spans="1:22" outlineLevel="1" x14ac:dyDescent="0.2">
      <c r="A22" s="44">
        <v>2</v>
      </c>
      <c r="B22" s="85"/>
      <c r="C22" s="86" t="s">
        <v>23</v>
      </c>
      <c r="D22" s="18">
        <v>19</v>
      </c>
      <c r="E22" s="17">
        <v>3202</v>
      </c>
      <c r="F22" s="20">
        <f t="shared" si="0"/>
        <v>8.9905930005867543</v>
      </c>
      <c r="G22" s="17">
        <v>1</v>
      </c>
      <c r="H22" s="17">
        <v>0</v>
      </c>
      <c r="I22" s="19"/>
      <c r="J22" s="20"/>
      <c r="K22" s="20"/>
      <c r="L22" s="20"/>
      <c r="M22" s="20">
        <f t="shared" si="1"/>
        <v>0</v>
      </c>
      <c r="N22" s="21">
        <f t="shared" si="2"/>
        <v>2.2862903225806459</v>
      </c>
      <c r="O22" s="22">
        <f t="shared" si="3"/>
        <v>8.2137096774193541</v>
      </c>
    </row>
    <row r="23" spans="1:22" outlineLevel="1" x14ac:dyDescent="0.2">
      <c r="A23" s="46"/>
      <c r="B23" s="47"/>
      <c r="C23" s="48"/>
      <c r="D23" s="49"/>
      <c r="E23" s="50"/>
      <c r="F23" s="14"/>
      <c r="G23" s="50"/>
      <c r="H23" s="50"/>
      <c r="I23" s="52"/>
      <c r="J23" s="53"/>
      <c r="K23" s="53"/>
      <c r="L23" s="53"/>
      <c r="M23" s="14"/>
      <c r="N23" s="15"/>
      <c r="O23" s="25"/>
      <c r="P23" s="79"/>
    </row>
    <row r="24" spans="1:22" outlineLevel="1" x14ac:dyDescent="0.2">
      <c r="A24" s="44">
        <v>4</v>
      </c>
      <c r="B24" s="54" t="s">
        <v>70</v>
      </c>
      <c r="C24" s="55" t="s">
        <v>82</v>
      </c>
      <c r="D24" s="56">
        <v>34</v>
      </c>
      <c r="E24" s="57">
        <v>1288</v>
      </c>
      <c r="F24" s="20">
        <f>IFERROR(1/(E24*660/1000000/D24),"")</f>
        <v>39.996235648409566</v>
      </c>
      <c r="G24" s="57">
        <v>1</v>
      </c>
      <c r="H24" s="57">
        <v>4</v>
      </c>
      <c r="I24" s="58">
        <v>0</v>
      </c>
      <c r="J24" s="59">
        <v>0</v>
      </c>
      <c r="K24" s="59">
        <v>0</v>
      </c>
      <c r="L24" s="59">
        <v>0</v>
      </c>
      <c r="M24" s="20">
        <f>IFERROR((H24/((E24*660/1000000/D24)^-1)*10.5)*G24,"")</f>
        <v>1.0500988235294118</v>
      </c>
      <c r="N24" s="21">
        <f>IFERROR(10.5*G24-O24-M24-I24-J24-L24-K24,"")</f>
        <v>1.2361914990512342</v>
      </c>
      <c r="O24" s="22">
        <f t="shared" si="3"/>
        <v>8.2137096774193541</v>
      </c>
      <c r="P24" s="79" t="s">
        <v>69</v>
      </c>
    </row>
    <row r="25" spans="1:22" s="64" customFormat="1" outlineLevel="1" x14ac:dyDescent="0.2">
      <c r="A25" s="46">
        <v>5</v>
      </c>
      <c r="B25" s="60"/>
      <c r="C25" s="61"/>
      <c r="D25" s="62"/>
      <c r="E25" s="63"/>
      <c r="F25" s="23" t="str">
        <f t="shared" ref="F25:F48" si="4">IFERROR(1/(E25*660/1000000/D25),"")</f>
        <v/>
      </c>
      <c r="G25" s="63"/>
      <c r="H25" s="63"/>
      <c r="I25" s="52">
        <v>0</v>
      </c>
      <c r="J25" s="53">
        <v>0</v>
      </c>
      <c r="K25" s="53">
        <v>0</v>
      </c>
      <c r="L25" s="53">
        <v>0</v>
      </c>
      <c r="M25" s="23" t="str">
        <f t="shared" ref="M25:M48" si="5">IFERROR((H25/((E25*660/1000000/D25)^-1)*10.5)*G25,"")</f>
        <v/>
      </c>
      <c r="N25" s="24" t="str">
        <f t="shared" ref="N25:N48" si="6">IFERROR(10.5*G25-O25-M25-I25-J25-L25-K25,"")</f>
        <v/>
      </c>
      <c r="O25" s="25">
        <f t="shared" si="3"/>
        <v>0</v>
      </c>
    </row>
    <row r="26" spans="1:22" outlineLevel="1" x14ac:dyDescent="0.2">
      <c r="A26" s="44">
        <v>6</v>
      </c>
      <c r="B26" s="54"/>
      <c r="C26" s="55"/>
      <c r="D26" s="56"/>
      <c r="E26" s="57"/>
      <c r="F26" s="20" t="str">
        <f t="shared" si="4"/>
        <v/>
      </c>
      <c r="G26" s="57"/>
      <c r="H26" s="57"/>
      <c r="I26" s="58">
        <v>0</v>
      </c>
      <c r="J26" s="59">
        <v>0</v>
      </c>
      <c r="K26" s="59">
        <v>0</v>
      </c>
      <c r="L26" s="59">
        <v>0</v>
      </c>
      <c r="M26" s="20" t="str">
        <f t="shared" si="5"/>
        <v/>
      </c>
      <c r="N26" s="21" t="str">
        <f t="shared" si="6"/>
        <v/>
      </c>
      <c r="O26" s="22">
        <f t="shared" si="3"/>
        <v>0</v>
      </c>
    </row>
    <row r="27" spans="1:22" outlineLevel="1" x14ac:dyDescent="0.2">
      <c r="A27" s="46">
        <v>7</v>
      </c>
      <c r="B27" s="47"/>
      <c r="C27" s="48"/>
      <c r="D27" s="49"/>
      <c r="E27" s="50"/>
      <c r="F27" s="51" t="str">
        <f t="shared" si="4"/>
        <v/>
      </c>
      <c r="G27" s="50"/>
      <c r="H27" s="50"/>
      <c r="I27" s="52">
        <v>0</v>
      </c>
      <c r="J27" s="53">
        <v>0</v>
      </c>
      <c r="K27" s="53">
        <v>0</v>
      </c>
      <c r="L27" s="53">
        <v>0</v>
      </c>
      <c r="M27" s="14"/>
      <c r="N27" s="15"/>
      <c r="O27" s="25">
        <f t="shared" si="3"/>
        <v>0</v>
      </c>
      <c r="P27" s="80" t="s">
        <v>47</v>
      </c>
    </row>
    <row r="28" spans="1:22" outlineLevel="1" x14ac:dyDescent="0.2">
      <c r="A28" s="93">
        <v>8</v>
      </c>
      <c r="B28" s="94" t="s">
        <v>83</v>
      </c>
      <c r="C28" s="95" t="s">
        <v>85</v>
      </c>
      <c r="D28" s="96">
        <f>T30</f>
        <v>30</v>
      </c>
      <c r="E28" s="96">
        <v>3128</v>
      </c>
      <c r="F28" s="97">
        <f t="shared" si="4"/>
        <v>14.531504301325272</v>
      </c>
      <c r="G28" s="96">
        <v>1</v>
      </c>
      <c r="H28" s="96">
        <v>1</v>
      </c>
      <c r="I28" s="98">
        <f>M24</f>
        <v>1.0500988235294118</v>
      </c>
      <c r="J28" s="97">
        <v>0</v>
      </c>
      <c r="K28" s="97">
        <v>0</v>
      </c>
      <c r="L28" s="97">
        <v>0</v>
      </c>
      <c r="M28" s="97">
        <f t="shared" si="5"/>
        <v>0.72256799999999999</v>
      </c>
      <c r="N28" s="99">
        <f t="shared" si="6"/>
        <v>0.51362349905123428</v>
      </c>
      <c r="O28" s="100">
        <f t="shared" si="3"/>
        <v>8.2137096774193541</v>
      </c>
      <c r="P28" s="80">
        <f>SUM(I28:O28)</f>
        <v>10.5</v>
      </c>
      <c r="Q28" s="3" t="s">
        <v>48</v>
      </c>
    </row>
    <row r="29" spans="1:22" outlineLevel="1" x14ac:dyDescent="0.2">
      <c r="A29" s="46">
        <v>9</v>
      </c>
      <c r="B29" s="81" t="s">
        <v>84</v>
      </c>
      <c r="C29" s="82" t="s">
        <v>75</v>
      </c>
      <c r="D29" s="50">
        <v>30</v>
      </c>
      <c r="E29" s="50">
        <v>3128</v>
      </c>
      <c r="F29" s="51">
        <f t="shared" si="4"/>
        <v>14.531504301325272</v>
      </c>
      <c r="G29" s="50">
        <v>1</v>
      </c>
      <c r="H29" s="50">
        <v>1</v>
      </c>
      <c r="I29" s="89">
        <f>I28*2</f>
        <v>2.1001976470588235</v>
      </c>
      <c r="J29" s="101">
        <v>1.03</v>
      </c>
      <c r="K29" s="101">
        <v>0</v>
      </c>
      <c r="L29" s="101">
        <v>0</v>
      </c>
      <c r="M29" s="90">
        <f>M28*2</f>
        <v>1.445136</v>
      </c>
      <c r="N29" s="91">
        <v>0</v>
      </c>
      <c r="O29" s="92">
        <f>O28*2</f>
        <v>16.427419354838708</v>
      </c>
      <c r="P29" s="80">
        <f>SUM(I29:O29)</f>
        <v>21.002753001897531</v>
      </c>
      <c r="Q29" s="3" t="s">
        <v>48</v>
      </c>
      <c r="R29" s="87" t="s">
        <v>74</v>
      </c>
      <c r="S29" s="87" t="s">
        <v>49</v>
      </c>
      <c r="T29" s="87">
        <v>378.8</v>
      </c>
      <c r="U29" s="87" t="s">
        <v>50</v>
      </c>
      <c r="V29" s="87" t="s">
        <v>52</v>
      </c>
    </row>
    <row r="30" spans="1:22" outlineLevel="1" x14ac:dyDescent="0.2">
      <c r="A30" s="44">
        <v>10</v>
      </c>
      <c r="B30" s="102" t="s">
        <v>71</v>
      </c>
      <c r="C30" s="103" t="s">
        <v>86</v>
      </c>
      <c r="D30" s="57">
        <v>30</v>
      </c>
      <c r="E30" s="57">
        <v>3128</v>
      </c>
      <c r="F30" s="20">
        <f t="shared" si="4"/>
        <v>14.531504301325272</v>
      </c>
      <c r="G30" s="57">
        <v>1</v>
      </c>
      <c r="H30" s="57">
        <v>1</v>
      </c>
      <c r="I30" s="58">
        <v>1.05</v>
      </c>
      <c r="J30" s="59">
        <v>0</v>
      </c>
      <c r="K30" s="59">
        <v>0</v>
      </c>
      <c r="L30" s="59">
        <v>0</v>
      </c>
      <c r="M30" s="20">
        <f t="shared" si="5"/>
        <v>0.72256799999999999</v>
      </c>
      <c r="N30" s="21">
        <f t="shared" si="6"/>
        <v>0.51372232258064598</v>
      </c>
      <c r="O30" s="22">
        <f t="shared" si="3"/>
        <v>8.2137096774193541</v>
      </c>
      <c r="R30" s="87"/>
      <c r="S30" s="87" t="s">
        <v>51</v>
      </c>
      <c r="T30" s="87">
        <v>30</v>
      </c>
      <c r="U30" s="87" t="s">
        <v>50</v>
      </c>
      <c r="V30" s="87" t="s">
        <v>53</v>
      </c>
    </row>
    <row r="31" spans="1:22" outlineLevel="1" x14ac:dyDescent="0.2">
      <c r="A31" s="46"/>
      <c r="B31" s="104" t="s">
        <v>71</v>
      </c>
      <c r="C31" s="105" t="s">
        <v>75</v>
      </c>
      <c r="D31" s="50"/>
      <c r="E31" s="50"/>
      <c r="F31" s="51" t="str">
        <f t="shared" si="4"/>
        <v/>
      </c>
      <c r="G31" s="50"/>
      <c r="H31" s="50"/>
      <c r="I31" s="89">
        <f>I30*2</f>
        <v>2.1</v>
      </c>
      <c r="J31" s="101">
        <v>0</v>
      </c>
      <c r="K31" s="101">
        <v>0</v>
      </c>
      <c r="L31" s="101">
        <v>0</v>
      </c>
      <c r="M31" s="90">
        <f>M30*2</f>
        <v>1.445136</v>
      </c>
      <c r="N31" s="91">
        <f>N30*2</f>
        <v>1.027444645161292</v>
      </c>
      <c r="O31" s="92">
        <f>O30*2</f>
        <v>16.427419354838708</v>
      </c>
      <c r="P31" s="80">
        <f>SUM(I31:O31)</f>
        <v>21</v>
      </c>
      <c r="Q31" s="3" t="s">
        <v>48</v>
      </c>
      <c r="R31" s="87"/>
      <c r="S31" s="87" t="s">
        <v>54</v>
      </c>
      <c r="T31" s="87">
        <v>10</v>
      </c>
      <c r="U31" s="87" t="s">
        <v>48</v>
      </c>
      <c r="V31" s="87" t="s">
        <v>55</v>
      </c>
    </row>
    <row r="32" spans="1:22" outlineLevel="1" x14ac:dyDescent="0.2">
      <c r="A32" s="44"/>
      <c r="B32" s="111" t="s">
        <v>72</v>
      </c>
      <c r="C32" s="106" t="s">
        <v>87</v>
      </c>
      <c r="D32" s="57"/>
      <c r="E32" s="57"/>
      <c r="F32" s="20" t="str">
        <f t="shared" si="4"/>
        <v/>
      </c>
      <c r="G32" s="57"/>
      <c r="H32" s="57"/>
      <c r="I32" s="107">
        <f>I31</f>
        <v>2.1</v>
      </c>
      <c r="J32" s="108">
        <v>0</v>
      </c>
      <c r="K32" s="108">
        <v>0</v>
      </c>
      <c r="L32" s="108">
        <v>0</v>
      </c>
      <c r="M32" s="108">
        <f>M31</f>
        <v>1.445136</v>
      </c>
      <c r="N32" s="109">
        <f>N31</f>
        <v>1.027444645161292</v>
      </c>
      <c r="O32" s="110">
        <f>O31</f>
        <v>16.427419354838708</v>
      </c>
      <c r="R32" s="87"/>
      <c r="S32" s="87" t="s">
        <v>56</v>
      </c>
      <c r="T32" s="87">
        <f>T30*T31/T29</f>
        <v>0.791974656810982</v>
      </c>
      <c r="U32" s="87" t="s">
        <v>48</v>
      </c>
      <c r="V32" s="87" t="s">
        <v>57</v>
      </c>
    </row>
    <row r="33" spans="1:22" outlineLevel="1" x14ac:dyDescent="0.2">
      <c r="A33" s="46">
        <v>15</v>
      </c>
      <c r="B33" s="65"/>
      <c r="C33" s="48"/>
      <c r="D33" s="50"/>
      <c r="E33" s="50"/>
      <c r="F33" s="51" t="str">
        <f t="shared" si="4"/>
        <v/>
      </c>
      <c r="G33" s="50"/>
      <c r="H33" s="50"/>
      <c r="I33" s="52">
        <v>0</v>
      </c>
      <c r="J33" s="53">
        <v>0</v>
      </c>
      <c r="K33" s="53">
        <v>0</v>
      </c>
      <c r="L33" s="53">
        <v>0</v>
      </c>
      <c r="M33" s="14" t="str">
        <f t="shared" si="5"/>
        <v/>
      </c>
      <c r="N33" s="15" t="str">
        <f t="shared" si="6"/>
        <v/>
      </c>
      <c r="O33" s="25">
        <f t="shared" si="3"/>
        <v>0</v>
      </c>
      <c r="R33" s="87"/>
      <c r="S33" s="87" t="s">
        <v>58</v>
      </c>
      <c r="T33" s="87">
        <f>T31-T32</f>
        <v>9.2080253431890178</v>
      </c>
      <c r="U33" s="87" t="s">
        <v>48</v>
      </c>
      <c r="V33" s="87"/>
    </row>
    <row r="34" spans="1:22" outlineLevel="1" x14ac:dyDescent="0.2">
      <c r="A34" s="44">
        <v>16</v>
      </c>
      <c r="B34" s="45"/>
      <c r="C34" s="55"/>
      <c r="D34" s="57"/>
      <c r="E34" s="57"/>
      <c r="F34" s="20" t="str">
        <f t="shared" si="4"/>
        <v/>
      </c>
      <c r="G34" s="57"/>
      <c r="H34" s="57"/>
      <c r="I34" s="58">
        <v>0</v>
      </c>
      <c r="J34" s="59">
        <v>0</v>
      </c>
      <c r="K34" s="59">
        <v>0</v>
      </c>
      <c r="L34" s="59">
        <v>0</v>
      </c>
      <c r="M34" s="20" t="str">
        <f t="shared" si="5"/>
        <v/>
      </c>
      <c r="N34" s="21" t="str">
        <f t="shared" si="6"/>
        <v/>
      </c>
      <c r="O34" s="22">
        <f t="shared" si="3"/>
        <v>0</v>
      </c>
    </row>
    <row r="35" spans="1:22" outlineLevel="1" x14ac:dyDescent="0.2">
      <c r="A35" s="46">
        <v>17</v>
      </c>
      <c r="B35" s="65"/>
      <c r="C35" s="48"/>
      <c r="D35" s="50"/>
      <c r="E35" s="50"/>
      <c r="F35" s="51" t="str">
        <f t="shared" si="4"/>
        <v/>
      </c>
      <c r="G35" s="50"/>
      <c r="H35" s="50"/>
      <c r="I35" s="52">
        <v>0</v>
      </c>
      <c r="J35" s="53">
        <v>0</v>
      </c>
      <c r="K35" s="53">
        <v>0</v>
      </c>
      <c r="L35" s="53">
        <v>0</v>
      </c>
      <c r="M35" s="14" t="str">
        <f t="shared" si="5"/>
        <v/>
      </c>
      <c r="N35" s="15" t="str">
        <f t="shared" si="6"/>
        <v/>
      </c>
      <c r="O35" s="25">
        <f t="shared" si="3"/>
        <v>0</v>
      </c>
    </row>
    <row r="36" spans="1:22" outlineLevel="1" x14ac:dyDescent="0.2">
      <c r="A36" s="44">
        <v>18</v>
      </c>
      <c r="B36" s="45"/>
      <c r="C36" s="55"/>
      <c r="D36" s="57"/>
      <c r="E36" s="57"/>
      <c r="F36" s="20" t="str">
        <f t="shared" si="4"/>
        <v/>
      </c>
      <c r="G36" s="57"/>
      <c r="H36" s="57"/>
      <c r="I36" s="58">
        <v>0</v>
      </c>
      <c r="J36" s="59">
        <v>0</v>
      </c>
      <c r="K36" s="59">
        <v>0</v>
      </c>
      <c r="L36" s="59">
        <v>0</v>
      </c>
      <c r="M36" s="20" t="str">
        <f t="shared" si="5"/>
        <v/>
      </c>
      <c r="N36" s="21" t="str">
        <f t="shared" si="6"/>
        <v/>
      </c>
      <c r="O36" s="22">
        <f t="shared" si="3"/>
        <v>0</v>
      </c>
      <c r="S36" s="87" t="s">
        <v>60</v>
      </c>
      <c r="T36" s="87">
        <v>100</v>
      </c>
      <c r="U36" s="87" t="s">
        <v>59</v>
      </c>
      <c r="V36" s="87" t="s">
        <v>52</v>
      </c>
    </row>
    <row r="37" spans="1:22" outlineLevel="1" x14ac:dyDescent="0.2">
      <c r="A37" s="46">
        <v>19</v>
      </c>
      <c r="B37" s="65"/>
      <c r="C37" s="48"/>
      <c r="D37" s="50"/>
      <c r="E37" s="50"/>
      <c r="F37" s="51" t="str">
        <f t="shared" si="4"/>
        <v/>
      </c>
      <c r="G37" s="50"/>
      <c r="H37" s="50"/>
      <c r="I37" s="52">
        <v>0</v>
      </c>
      <c r="J37" s="53">
        <v>0</v>
      </c>
      <c r="K37" s="53">
        <v>0</v>
      </c>
      <c r="L37" s="53">
        <v>0</v>
      </c>
      <c r="M37" s="14" t="str">
        <f t="shared" si="5"/>
        <v/>
      </c>
      <c r="N37" s="15" t="str">
        <f t="shared" si="6"/>
        <v/>
      </c>
      <c r="O37" s="25">
        <f t="shared" si="3"/>
        <v>0</v>
      </c>
      <c r="S37" s="87" t="s">
        <v>61</v>
      </c>
      <c r="T37" s="87">
        <v>5</v>
      </c>
      <c r="U37" s="87" t="s">
        <v>59</v>
      </c>
      <c r="V37" s="87" t="s">
        <v>53</v>
      </c>
    </row>
    <row r="38" spans="1:22" outlineLevel="1" x14ac:dyDescent="0.2">
      <c r="A38" s="44">
        <v>20</v>
      </c>
      <c r="B38" s="45"/>
      <c r="C38" s="55"/>
      <c r="D38" s="57"/>
      <c r="E38" s="57"/>
      <c r="F38" s="20" t="str">
        <f t="shared" si="4"/>
        <v/>
      </c>
      <c r="G38" s="57"/>
      <c r="H38" s="57"/>
      <c r="I38" s="58">
        <v>0</v>
      </c>
      <c r="J38" s="59">
        <v>0</v>
      </c>
      <c r="K38" s="59">
        <v>0</v>
      </c>
      <c r="L38" s="59">
        <v>0</v>
      </c>
      <c r="M38" s="20" t="str">
        <f t="shared" si="5"/>
        <v/>
      </c>
      <c r="N38" s="21" t="str">
        <f t="shared" si="6"/>
        <v/>
      </c>
      <c r="O38" s="22">
        <f t="shared" si="3"/>
        <v>0</v>
      </c>
      <c r="S38" s="87" t="s">
        <v>54</v>
      </c>
      <c r="T38" s="87">
        <v>50</v>
      </c>
      <c r="U38" s="87" t="s">
        <v>48</v>
      </c>
      <c r="V38" s="87" t="s">
        <v>55</v>
      </c>
    </row>
    <row r="39" spans="1:22" outlineLevel="1" x14ac:dyDescent="0.2">
      <c r="A39" s="46">
        <v>21</v>
      </c>
      <c r="B39" s="65"/>
      <c r="C39" s="48"/>
      <c r="D39" s="50"/>
      <c r="E39" s="50"/>
      <c r="F39" s="51" t="str">
        <f t="shared" si="4"/>
        <v/>
      </c>
      <c r="G39" s="50"/>
      <c r="H39" s="50"/>
      <c r="I39" s="52">
        <v>0</v>
      </c>
      <c r="J39" s="53">
        <v>0</v>
      </c>
      <c r="K39" s="53">
        <v>0</v>
      </c>
      <c r="L39" s="53">
        <v>0</v>
      </c>
      <c r="M39" s="14" t="str">
        <f t="shared" si="5"/>
        <v/>
      </c>
      <c r="N39" s="15" t="str">
        <f t="shared" si="6"/>
        <v/>
      </c>
      <c r="O39" s="25">
        <f t="shared" si="3"/>
        <v>0</v>
      </c>
      <c r="S39" s="87" t="s">
        <v>63</v>
      </c>
      <c r="T39" s="87">
        <f>T37*T38/T36</f>
        <v>2.5</v>
      </c>
      <c r="U39" s="87" t="s">
        <v>48</v>
      </c>
      <c r="V39" s="87"/>
    </row>
    <row r="40" spans="1:22" outlineLevel="1" x14ac:dyDescent="0.2">
      <c r="A40" s="44">
        <v>22</v>
      </c>
      <c r="B40" s="45"/>
      <c r="C40" s="55"/>
      <c r="D40" s="57"/>
      <c r="E40" s="57"/>
      <c r="F40" s="20" t="str">
        <f t="shared" si="4"/>
        <v/>
      </c>
      <c r="G40" s="57"/>
      <c r="H40" s="57"/>
      <c r="I40" s="58">
        <v>0</v>
      </c>
      <c r="J40" s="59">
        <v>0</v>
      </c>
      <c r="K40" s="59">
        <v>0</v>
      </c>
      <c r="L40" s="59">
        <v>0</v>
      </c>
      <c r="M40" s="20" t="str">
        <f t="shared" si="5"/>
        <v/>
      </c>
      <c r="N40" s="21" t="str">
        <f t="shared" si="6"/>
        <v/>
      </c>
      <c r="O40" s="22">
        <f t="shared" si="3"/>
        <v>0</v>
      </c>
      <c r="S40" s="87" t="s">
        <v>62</v>
      </c>
      <c r="T40" s="87">
        <f>T38-T39</f>
        <v>47.5</v>
      </c>
      <c r="U40" s="87" t="s">
        <v>48</v>
      </c>
      <c r="V40" s="87"/>
    </row>
    <row r="41" spans="1:22" outlineLevel="1" x14ac:dyDescent="0.2">
      <c r="A41" s="46">
        <v>23</v>
      </c>
      <c r="B41" s="65"/>
      <c r="C41" s="48"/>
      <c r="D41" s="50"/>
      <c r="E41" s="50"/>
      <c r="F41" s="51" t="str">
        <f t="shared" si="4"/>
        <v/>
      </c>
      <c r="G41" s="50"/>
      <c r="H41" s="50"/>
      <c r="I41" s="52">
        <v>0</v>
      </c>
      <c r="J41" s="53">
        <v>0</v>
      </c>
      <c r="K41" s="53">
        <v>0</v>
      </c>
      <c r="L41" s="53">
        <v>0</v>
      </c>
      <c r="M41" s="14" t="str">
        <f t="shared" si="5"/>
        <v/>
      </c>
      <c r="N41" s="15" t="str">
        <f t="shared" si="6"/>
        <v/>
      </c>
      <c r="O41" s="25">
        <f t="shared" si="3"/>
        <v>0</v>
      </c>
      <c r="S41" s="40"/>
      <c r="T41" s="40"/>
      <c r="U41" s="40"/>
      <c r="V41" s="40"/>
    </row>
    <row r="42" spans="1:22" outlineLevel="1" x14ac:dyDescent="0.2">
      <c r="A42" s="44">
        <v>24</v>
      </c>
      <c r="B42" s="45"/>
      <c r="C42" s="55"/>
      <c r="D42" s="57"/>
      <c r="E42" s="57"/>
      <c r="F42" s="20" t="str">
        <f t="shared" si="4"/>
        <v/>
      </c>
      <c r="G42" s="57"/>
      <c r="H42" s="57"/>
      <c r="I42" s="58">
        <v>0</v>
      </c>
      <c r="J42" s="59">
        <v>0</v>
      </c>
      <c r="K42" s="59">
        <v>0</v>
      </c>
      <c r="L42" s="59">
        <v>0</v>
      </c>
      <c r="M42" s="20" t="str">
        <f t="shared" si="5"/>
        <v/>
      </c>
      <c r="N42" s="21" t="str">
        <f t="shared" si="6"/>
        <v/>
      </c>
      <c r="O42" s="22">
        <f t="shared" si="3"/>
        <v>0</v>
      </c>
      <c r="S42" s="3">
        <f>2.5/50</f>
        <v>0.05</v>
      </c>
      <c r="T42" s="3" t="s">
        <v>61</v>
      </c>
    </row>
    <row r="43" spans="1:22" outlineLevel="1" x14ac:dyDescent="0.2">
      <c r="A43" s="46">
        <v>25</v>
      </c>
      <c r="B43" s="65"/>
      <c r="C43" s="48"/>
      <c r="D43" s="50"/>
      <c r="E43" s="50"/>
      <c r="F43" s="51" t="str">
        <f t="shared" si="4"/>
        <v/>
      </c>
      <c r="G43" s="50"/>
      <c r="H43" s="50"/>
      <c r="I43" s="52">
        <v>0</v>
      </c>
      <c r="J43" s="53">
        <v>0</v>
      </c>
      <c r="K43" s="53">
        <v>0</v>
      </c>
      <c r="L43" s="53">
        <v>0</v>
      </c>
      <c r="M43" s="14" t="str">
        <f t="shared" si="5"/>
        <v/>
      </c>
      <c r="N43" s="15" t="str">
        <f t="shared" si="6"/>
        <v/>
      </c>
      <c r="O43" s="25">
        <f t="shared" si="3"/>
        <v>0</v>
      </c>
      <c r="S43" s="3">
        <f>2.5/52.5</f>
        <v>4.7619047619047616E-2</v>
      </c>
      <c r="T43" s="3" t="s">
        <v>68</v>
      </c>
    </row>
    <row r="44" spans="1:22" outlineLevel="1" x14ac:dyDescent="0.2">
      <c r="A44" s="44">
        <v>26</v>
      </c>
      <c r="B44" s="45"/>
      <c r="C44" s="55"/>
      <c r="D44" s="57"/>
      <c r="E44" s="57"/>
      <c r="F44" s="20" t="str">
        <f t="shared" si="4"/>
        <v/>
      </c>
      <c r="G44" s="57"/>
      <c r="H44" s="57"/>
      <c r="I44" s="58">
        <v>0</v>
      </c>
      <c r="J44" s="59">
        <v>0</v>
      </c>
      <c r="K44" s="59">
        <v>0</v>
      </c>
      <c r="L44" s="59">
        <v>0</v>
      </c>
      <c r="M44" s="20" t="str">
        <f t="shared" si="5"/>
        <v/>
      </c>
      <c r="N44" s="21" t="str">
        <f t="shared" si="6"/>
        <v/>
      </c>
      <c r="O44" s="22">
        <f t="shared" si="3"/>
        <v>0</v>
      </c>
    </row>
    <row r="45" spans="1:22" outlineLevel="1" x14ac:dyDescent="0.2">
      <c r="A45" s="46">
        <v>27</v>
      </c>
      <c r="B45" s="65"/>
      <c r="C45" s="48"/>
      <c r="D45" s="50"/>
      <c r="E45" s="50"/>
      <c r="F45" s="51" t="str">
        <f t="shared" si="4"/>
        <v/>
      </c>
      <c r="G45" s="50"/>
      <c r="H45" s="50"/>
      <c r="I45" s="52">
        <v>0</v>
      </c>
      <c r="J45" s="53">
        <v>0</v>
      </c>
      <c r="K45" s="53">
        <v>0</v>
      </c>
      <c r="L45" s="53">
        <v>0</v>
      </c>
      <c r="M45" s="14" t="str">
        <f t="shared" si="5"/>
        <v/>
      </c>
      <c r="N45" s="15" t="str">
        <f t="shared" si="6"/>
        <v/>
      </c>
      <c r="O45" s="25">
        <f t="shared" si="3"/>
        <v>0</v>
      </c>
    </row>
    <row r="46" spans="1:22" outlineLevel="1" x14ac:dyDescent="0.2">
      <c r="A46" s="44">
        <v>28</v>
      </c>
      <c r="B46" s="45"/>
      <c r="C46" s="55"/>
      <c r="D46" s="57"/>
      <c r="E46" s="57"/>
      <c r="F46" s="20" t="str">
        <f t="shared" si="4"/>
        <v/>
      </c>
      <c r="G46" s="57"/>
      <c r="H46" s="57"/>
      <c r="I46" s="58">
        <v>0</v>
      </c>
      <c r="J46" s="59">
        <v>0</v>
      </c>
      <c r="K46" s="59">
        <v>0</v>
      </c>
      <c r="L46" s="59">
        <v>0</v>
      </c>
      <c r="M46" s="20" t="str">
        <f t="shared" si="5"/>
        <v/>
      </c>
      <c r="N46" s="21" t="str">
        <f t="shared" si="6"/>
        <v/>
      </c>
      <c r="O46" s="22">
        <f t="shared" si="3"/>
        <v>0</v>
      </c>
    </row>
    <row r="47" spans="1:22" outlineLevel="1" x14ac:dyDescent="0.2">
      <c r="A47" s="46">
        <v>29</v>
      </c>
      <c r="B47" s="65"/>
      <c r="C47" s="48"/>
      <c r="D47" s="50"/>
      <c r="E47" s="50"/>
      <c r="F47" s="51" t="str">
        <f t="shared" si="4"/>
        <v/>
      </c>
      <c r="G47" s="50"/>
      <c r="H47" s="50"/>
      <c r="I47" s="52">
        <v>0</v>
      </c>
      <c r="J47" s="53">
        <v>0</v>
      </c>
      <c r="K47" s="53">
        <v>0</v>
      </c>
      <c r="L47" s="53">
        <v>0</v>
      </c>
      <c r="M47" s="14" t="str">
        <f t="shared" si="5"/>
        <v/>
      </c>
      <c r="N47" s="15" t="str">
        <f t="shared" si="6"/>
        <v/>
      </c>
      <c r="O47" s="25">
        <f t="shared" si="3"/>
        <v>0</v>
      </c>
    </row>
    <row r="48" spans="1:22" ht="16" outlineLevel="1" thickBot="1" x14ac:dyDescent="0.25">
      <c r="A48" s="44">
        <v>30</v>
      </c>
      <c r="B48" s="45"/>
      <c r="C48" s="55"/>
      <c r="D48" s="57"/>
      <c r="E48" s="57"/>
      <c r="F48" s="20" t="str">
        <f t="shared" si="4"/>
        <v/>
      </c>
      <c r="G48" s="57"/>
      <c r="H48" s="57"/>
      <c r="I48" s="66">
        <v>0</v>
      </c>
      <c r="J48" s="67">
        <v>0</v>
      </c>
      <c r="K48" s="67">
        <v>0</v>
      </c>
      <c r="L48" s="67">
        <v>0</v>
      </c>
      <c r="M48" s="29" t="str">
        <f t="shared" si="5"/>
        <v/>
      </c>
      <c r="N48" s="30" t="str">
        <f t="shared" si="6"/>
        <v/>
      </c>
      <c r="O48" s="22">
        <f t="shared" si="3"/>
        <v>0</v>
      </c>
    </row>
    <row r="49" spans="11:14" ht="16.5" customHeight="1" thickTop="1" x14ac:dyDescent="0.2"/>
    <row r="51" spans="11:14" x14ac:dyDescent="0.2">
      <c r="K51" s="3" t="s">
        <v>64</v>
      </c>
    </row>
    <row r="52" spans="11:14" x14ac:dyDescent="0.2">
      <c r="K52" s="3" t="s">
        <v>65</v>
      </c>
      <c r="L52" s="3">
        <v>100</v>
      </c>
      <c r="M52" s="3" t="s">
        <v>59</v>
      </c>
      <c r="N52" s="3" t="s">
        <v>52</v>
      </c>
    </row>
    <row r="53" spans="11:14" x14ac:dyDescent="0.2">
      <c r="K53" s="3" t="s">
        <v>61</v>
      </c>
      <c r="L53" s="3">
        <v>5</v>
      </c>
      <c r="M53" s="3" t="s">
        <v>59</v>
      </c>
      <c r="N53" s="3" t="s">
        <v>53</v>
      </c>
    </row>
    <row r="54" spans="11:14" x14ac:dyDescent="0.2">
      <c r="K54" s="3" t="s">
        <v>66</v>
      </c>
      <c r="L54" s="3">
        <v>100</v>
      </c>
      <c r="M54" s="3" t="s">
        <v>48</v>
      </c>
      <c r="N54" s="3" t="s">
        <v>55</v>
      </c>
    </row>
    <row r="55" spans="11:14" x14ac:dyDescent="0.2">
      <c r="K55" s="3" t="s">
        <v>56</v>
      </c>
      <c r="L55" s="3">
        <f>L53*L54/L52</f>
        <v>5</v>
      </c>
      <c r="M55" s="3" t="s">
        <v>67</v>
      </c>
    </row>
    <row r="57" spans="11:14" x14ac:dyDescent="0.2">
      <c r="K57" s="3">
        <f>1.05/(1.05+21)</f>
        <v>4.7619047619047616E-2</v>
      </c>
    </row>
    <row r="58" spans="11:14" x14ac:dyDescent="0.2">
      <c r="K58" s="3">
        <f>L55/(105)</f>
        <v>4.7619047619047616E-2</v>
      </c>
    </row>
  </sheetData>
  <sheetProtection selectLockedCells="1"/>
  <dataConsolidate/>
  <conditionalFormatting sqref="I21:O48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A1:A5 A20:H20 B18 M33:O48 M21:M26 M28 N21:O28 F21:F28 F30 M30:O30 F33:F48" xr:uid="{00000000-0002-0000-0000-000000000000}">
      <formula1>""""""</formula1>
    </dataValidation>
  </dataValidations>
  <pageMargins left="0.7" right="0.7" top="0.75" bottom="0.75" header="0.3" footer="0.3"/>
  <pageSetup scale="56" orientation="landscape" horizontalDpi="4294967295" verticalDpi="4294967295" r:id="rId1"/>
  <ignoredErrors>
    <ignoredError sqref="F24:F28 F21:F22 F30 F33:F48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2021-02-11T00:56:03Z</dcterms:modified>
</cp:coreProperties>
</file>