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nkur\Desktop\"/>
    </mc:Choice>
  </mc:AlternateContent>
  <xr:revisionPtr revIDLastSave="0" documentId="13_ncr:1_{C59AF390-5FD0-4E68-9DC1-164FA5610B36}" xr6:coauthVersionLast="47" xr6:coauthVersionMax="47" xr10:uidLastSave="{00000000-0000-0000-0000-000000000000}"/>
  <bookViews>
    <workbookView xWindow="-108" yWindow="-108" windowWidth="23256" windowHeight="12456" tabRatio="723" xr2:uid="{00000000-000D-0000-FFFF-FFFF00000000}"/>
  </bookViews>
  <sheets>
    <sheet name="INVENTORY" sheetId="19" r:id="rId1"/>
    <sheet name="INDICATORS" sheetId="20" r:id="rId2"/>
    <sheet name="INTERPRETATION" sheetId="21" r:id="rId3"/>
  </sheets>
  <definedNames>
    <definedName name="Adjust1" localSheetId="1">#REF!</definedName>
    <definedName name="Adjust1" localSheetId="2">#REF!</definedName>
    <definedName name="Adjust1">#REF!</definedName>
    <definedName name="adjust2" localSheetId="1">#REF!</definedName>
    <definedName name="adjust2" localSheetId="2">#REF!</definedName>
    <definedName name="adjust2">#REF!</definedName>
    <definedName name="adjust3" localSheetId="1">#REF!</definedName>
    <definedName name="adjust3" localSheetId="2">#REF!</definedName>
    <definedName name="adjust3">#REF!</definedName>
    <definedName name="adjust3\" localSheetId="1">#REF!</definedName>
    <definedName name="adjust3\" localSheetId="2">#REF!</definedName>
    <definedName name="adjust3\">#REF!</definedName>
    <definedName name="adjust4" localSheetId="1">#REF!</definedName>
    <definedName name="adjust4" localSheetId="2">#REF!</definedName>
    <definedName name="adjust4">#REF!</definedName>
    <definedName name="Choice" localSheetId="1">#REF!</definedName>
    <definedName name="Choice" localSheetId="2">#REF!</definedName>
    <definedName name="Choice" localSheetId="0">#REF!</definedName>
    <definedName name="Choice">#REF!</definedName>
    <definedName name="Pi" localSheetId="1">#REF!</definedName>
    <definedName name="Pi" localSheetId="2">#REF!</definedName>
    <definedName name="Pi" localSheetId="0">#REF!</definedName>
    <definedName name="P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 i="20" l="1"/>
  <c r="Q13" i="20"/>
  <c r="Q12" i="20"/>
  <c r="R12" i="20" s="1"/>
  <c r="Q11" i="20"/>
  <c r="Q10" i="20"/>
  <c r="C31" i="20" l="1"/>
  <c r="D19" i="19" l="1"/>
  <c r="D18" i="19"/>
  <c r="C37" i="20"/>
  <c r="C41" i="20" s="1"/>
  <c r="C43" i="20" l="1"/>
  <c r="C47" i="20" s="1"/>
  <c r="C38" i="20"/>
  <c r="C45" i="20"/>
  <c r="C42" i="20"/>
  <c r="C46" i="20" s="1"/>
  <c r="C49" i="20" l="1"/>
  <c r="R17" i="20"/>
  <c r="D16" i="20" s="1"/>
  <c r="R11" i="20"/>
  <c r="D11" i="20" s="1"/>
  <c r="C11" i="20" s="1"/>
  <c r="C64" i="20" l="1"/>
  <c r="C52" i="20"/>
  <c r="C56" i="20" s="1"/>
  <c r="R13" i="20"/>
  <c r="C65" i="20"/>
  <c r="C66" i="20"/>
  <c r="R10" i="20"/>
  <c r="D10" i="20" s="1"/>
  <c r="D12" i="20"/>
  <c r="C12" i="20" s="1"/>
  <c r="C68" i="20" l="1"/>
  <c r="R23" i="20" s="1"/>
  <c r="Q14" i="20"/>
  <c r="R14" i="20"/>
  <c r="C10" i="20"/>
  <c r="D13" i="20"/>
  <c r="C13" i="20" s="1"/>
  <c r="C54" i="20"/>
  <c r="C58" i="20" s="1"/>
  <c r="C61" i="20" s="1"/>
  <c r="R28" i="20" s="1"/>
  <c r="C53" i="20"/>
  <c r="C57" i="20" s="1"/>
  <c r="C60" i="20" s="1"/>
  <c r="R27" i="20" s="1"/>
  <c r="Q34" i="20" l="1"/>
  <c r="Q35" i="20" s="1"/>
  <c r="Q36" i="20" s="1"/>
  <c r="C9" i="20"/>
  <c r="R18" i="20"/>
  <c r="D17" i="20" s="1"/>
  <c r="Q17" i="20"/>
  <c r="D9" i="20"/>
  <c r="R26" i="20" l="1"/>
  <c r="R25" i="20"/>
  <c r="Q28" i="20"/>
  <c r="D26" i="20"/>
  <c r="C26" i="20" s="1"/>
  <c r="Q27" i="20"/>
  <c r="D25" i="20"/>
  <c r="C25" i="20" s="1"/>
  <c r="Q23" i="20"/>
  <c r="D21" i="20"/>
  <c r="C21" i="20" s="1"/>
  <c r="Q37" i="20"/>
  <c r="Q38" i="20" s="1"/>
  <c r="R24" i="20" s="1"/>
  <c r="C16" i="20"/>
  <c r="R19" i="20"/>
  <c r="D18" i="20" s="1"/>
  <c r="C17" i="20"/>
  <c r="Q18" i="20"/>
  <c r="Q24" i="20" l="1"/>
  <c r="D22" i="20"/>
  <c r="Q26" i="20"/>
  <c r="D24" i="20"/>
  <c r="C24" i="20" s="1"/>
  <c r="Q25" i="20"/>
  <c r="D23" i="20"/>
  <c r="C23" i="20" s="1"/>
  <c r="R29" i="20"/>
  <c r="C18" i="20"/>
  <c r="C15" i="20" s="1"/>
  <c r="Q19" i="20"/>
  <c r="Q20" i="20" s="1"/>
  <c r="R20" i="20"/>
  <c r="Q29" i="20" l="1"/>
  <c r="D15" i="20"/>
  <c r="C22" i="20"/>
  <c r="C20" i="20" s="1"/>
  <c r="C28" i="20" s="1"/>
  <c r="C177" i="19" s="1"/>
  <c r="D20" i="20"/>
  <c r="C166" i="19" l="1"/>
  <c r="D28" i="20"/>
  <c r="C138" i="19"/>
  <c r="C146" i="19"/>
  <c r="E22" i="20"/>
  <c r="C117" i="19"/>
  <c r="E25" i="20"/>
  <c r="E13" i="20"/>
  <c r="E18" i="20"/>
  <c r="E17" i="20"/>
  <c r="E10" i="20"/>
  <c r="E11" i="20"/>
  <c r="E16" i="20"/>
  <c r="E26" i="20"/>
  <c r="E12" i="20"/>
  <c r="E21" i="20"/>
  <c r="E23" i="20"/>
  <c r="E24" i="20"/>
  <c r="E15" i="20" l="1"/>
  <c r="E20" i="20"/>
  <c r="E9" i="20"/>
  <c r="E28" i="20" l="1"/>
  <c r="Q31" i="20"/>
  <c r="R31"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author>
    <author>Grant Faber</author>
  </authors>
  <commentList>
    <comment ref="C10" authorId="0" shapeId="0" xr:uid="{00000000-0006-0000-0300-000001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1" authorId="0" shapeId="0" xr:uid="{00000000-0006-0000-0300-000002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2" authorId="0" shapeId="0" xr:uid="{00000000-0006-0000-0300-000003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26" authorId="0" shapeId="0" xr:uid="{00000000-0006-0000-0300-000004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27" authorId="0" shapeId="0" xr:uid="{00000000-0006-0000-0300-000005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28" authorId="0" shapeId="0" xr:uid="{00000000-0006-0000-0300-000006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29" authorId="0" shapeId="0" xr:uid="{00000000-0006-0000-0300-000007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32" authorId="0" shapeId="0" xr:uid="{00000000-0006-0000-0300-000008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38" authorId="0" shapeId="0" xr:uid="{00000000-0006-0000-0300-000009000000}">
      <text>
        <r>
          <rPr>
            <b/>
            <sz val="10"/>
            <color rgb="FF000000"/>
            <rFont val="Tahoma"/>
            <family val="2"/>
          </rPr>
          <t>User:</t>
        </r>
        <r>
          <rPr>
            <sz val="10"/>
            <color rgb="FF000000"/>
            <rFont val="Tahoma"/>
            <family val="2"/>
          </rPr>
          <t xml:space="preserve">
</t>
        </r>
        <r>
          <rPr>
            <sz val="10"/>
            <color rgb="FF000000"/>
            <rFont val="Tahoma"/>
            <family val="2"/>
          </rPr>
          <t>https://www.bls.gov/data/inflation_calculator.htm and https://www.usinflationcalculator.com/ are useful resources for inflating cost data</t>
        </r>
      </text>
    </comment>
    <comment ref="C42" authorId="0" shapeId="0" xr:uid="{00000000-0006-0000-0300-00000A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43" authorId="0" shapeId="0" xr:uid="{00000000-0006-0000-0300-00000B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44" authorId="0" shapeId="0" xr:uid="{00000000-0006-0000-0300-00000C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45" authorId="0" shapeId="0" xr:uid="{00000000-0006-0000-0300-00000D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46" authorId="0" shapeId="0" xr:uid="{00000000-0006-0000-0300-00000E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49" authorId="0" shapeId="0" xr:uid="{00000000-0006-0000-0300-00000F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50" authorId="0" shapeId="0" xr:uid="{00000000-0006-0000-0300-000010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51" authorId="0" shapeId="0" xr:uid="{00000000-0006-0000-0300-000011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54" authorId="0" shapeId="0" xr:uid="{00000000-0006-0000-0300-000012000000}">
      <text>
        <r>
          <rPr>
            <b/>
            <sz val="10"/>
            <color rgb="FF000000"/>
            <rFont val="Tahoma"/>
            <family val="2"/>
          </rPr>
          <t>User:</t>
        </r>
        <r>
          <rPr>
            <sz val="10"/>
            <color rgb="FF000000"/>
            <rFont val="Tahoma"/>
            <family val="2"/>
          </rPr>
          <t xml:space="preserve">
</t>
        </r>
        <r>
          <rPr>
            <sz val="10"/>
            <color rgb="FF000000"/>
            <rFont val="Tahoma"/>
            <family val="2"/>
          </rPr>
          <t>Write source here (the Bureau of Labor Statistics is a useful place to start for this value: https://www.bls.gov/)</t>
        </r>
      </text>
    </comment>
    <comment ref="C55" authorId="0" shapeId="0" xr:uid="{00000000-0006-0000-0300-000013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56" authorId="0" shapeId="0" xr:uid="{00000000-0006-0000-0300-000014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59" authorId="0" shapeId="0" xr:uid="{A863D66C-1DA6-BC49-8E71-6DE7AF32BB54}">
      <text>
        <r>
          <rPr>
            <b/>
            <sz val="10"/>
            <color rgb="FF000000"/>
            <rFont val="Tahoma"/>
            <family val="2"/>
          </rPr>
          <t>User:</t>
        </r>
        <r>
          <rPr>
            <sz val="10"/>
            <color rgb="FF000000"/>
            <rFont val="Tahoma"/>
            <family val="2"/>
          </rPr>
          <t xml:space="preserve">
</t>
        </r>
        <r>
          <rPr>
            <sz val="10"/>
            <color rgb="FF000000"/>
            <rFont val="Tahoma"/>
            <family val="2"/>
          </rPr>
          <t>Write source here (http://pages.stern.nyu.edu/~adamodar/New_Home_Page/datafile/wacc.html is a good source for US values by sector)</t>
        </r>
      </text>
    </comment>
    <comment ref="C60" authorId="0" shapeId="0" xr:uid="{EA81A829-06CE-1148-B309-980E47CAE707}">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1" authorId="0" shapeId="0" xr:uid="{5607468B-F07C-4940-9F0B-CB5E960EC2D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2" authorId="0" shapeId="0" xr:uid="{DBBEAA7A-57DA-5640-8261-DDF9A65C1C21}">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3" authorId="0" shapeId="0" xr:uid="{7B5C0B30-50AE-5B4F-B27C-0372AD92C6E3}">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4" authorId="0" shapeId="0" xr:uid="{C80774FB-DF9B-7648-A815-03490E557E29}">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5" authorId="0" shapeId="0" xr:uid="{7B0F49C6-3189-FF4A-969C-CF65E5D375D7}">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6" authorId="0" shapeId="0" xr:uid="{B24F67F1-D5EB-4540-ACE0-A597AD29C9EB}">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7" authorId="0" shapeId="0" xr:uid="{6F40D84F-0C7E-8B4C-806E-AF2478439AA6}">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68" authorId="0" shapeId="0" xr:uid="{A2A31726-8B77-4548-A5C2-C12F94ABDD17}">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79" authorId="0" shapeId="0" xr:uid="{00000000-0006-0000-0300-00001F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0" authorId="0" shapeId="0" xr:uid="{00000000-0006-0000-0300-000020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1" authorId="0" shapeId="0" xr:uid="{00000000-0006-0000-0300-000021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4" authorId="0" shapeId="0" xr:uid="{00000000-0006-0000-0300-000022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5" authorId="0" shapeId="0" xr:uid="{00000000-0006-0000-0300-000023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6" authorId="0" shapeId="0" xr:uid="{00000000-0006-0000-0300-000024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89" authorId="1" shapeId="0" xr:uid="{F26C7FC0-5A22-1542-8282-F1A13ACC077A}">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0" authorId="1" shapeId="0" xr:uid="{A4940717-0D82-D74B-BE32-DE0AF59E9258}">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1" authorId="1" shapeId="0" xr:uid="{98FAF329-5855-7340-B468-03419D06D8E6}">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4" authorId="0" shapeId="0" xr:uid="{00000000-0006-0000-0300-000025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5" authorId="0" shapeId="0" xr:uid="{00000000-0006-0000-0300-000026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6" authorId="0" shapeId="0" xr:uid="{00000000-0006-0000-0300-000027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99" authorId="0" shapeId="0" xr:uid="{00000000-0006-0000-0300-000028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00" authorId="0" shapeId="0" xr:uid="{00000000-0006-0000-0300-000029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01" authorId="0" shapeId="0" xr:uid="{00000000-0006-0000-0300-00002A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05" authorId="0" shapeId="0" xr:uid="{00000000-0006-0000-0300-00002B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06" authorId="0" shapeId="0" xr:uid="{00000000-0006-0000-0300-00002C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 ref="C107" authorId="0" shapeId="0" xr:uid="{00000000-0006-0000-0300-00002D000000}">
      <text>
        <r>
          <rPr>
            <b/>
            <sz val="10"/>
            <color rgb="FF000000"/>
            <rFont val="Tahoma"/>
            <family val="2"/>
          </rPr>
          <t>User:</t>
        </r>
        <r>
          <rPr>
            <sz val="10"/>
            <color rgb="FF000000"/>
            <rFont val="Tahoma"/>
            <family val="2"/>
          </rPr>
          <t xml:space="preserve">
</t>
        </r>
        <r>
          <rPr>
            <sz val="10"/>
            <color rgb="FF000000"/>
            <rFont val="Tahoma"/>
            <family val="2"/>
          </rPr>
          <t>Write source here</t>
        </r>
      </text>
    </comment>
  </commentList>
</comments>
</file>

<file path=xl/sharedStrings.xml><?xml version="1.0" encoding="utf-8"?>
<sst xmlns="http://schemas.openxmlformats.org/spreadsheetml/2006/main" count="423" uniqueCount="253">
  <si>
    <t>$/unit</t>
  </si>
  <si>
    <t>Raw Materials</t>
  </si>
  <si>
    <t>Currency</t>
  </si>
  <si>
    <t>%</t>
  </si>
  <si>
    <t>Total</t>
  </si>
  <si>
    <t>Production Labor</t>
  </si>
  <si>
    <t>Direct labor</t>
  </si>
  <si>
    <t>Indirect labor</t>
  </si>
  <si>
    <t>Fringe</t>
  </si>
  <si>
    <t>Manufacturing Overhead</t>
  </si>
  <si>
    <t>Insurance</t>
  </si>
  <si>
    <t>Total Manufacturing Cost</t>
  </si>
  <si>
    <t>Energy</t>
  </si>
  <si>
    <t>Labor</t>
  </si>
  <si>
    <t>Indirect labor coefficient</t>
  </si>
  <si>
    <t>Fringe coefficient</t>
  </si>
  <si>
    <t>Years to recover equipment investment</t>
  </si>
  <si>
    <t>Utilities - electricity</t>
  </si>
  <si>
    <t>Electricity</t>
  </si>
  <si>
    <t>$/kWh</t>
  </si>
  <si>
    <t>Equipment occupancy markup</t>
  </si>
  <si>
    <t>kg/kg</t>
  </si>
  <si>
    <t>Maintenance</t>
  </si>
  <si>
    <t>$/person-hour</t>
  </si>
  <si>
    <t>$/plant</t>
  </si>
  <si>
    <t>Unit</t>
  </si>
  <si>
    <t>Factory floor space cost</t>
  </si>
  <si>
    <t>Years to recover factory investment</t>
  </si>
  <si>
    <t>Annual operating time</t>
  </si>
  <si>
    <t>Annual operating hours</t>
  </si>
  <si>
    <t>position</t>
  </si>
  <si>
    <t>exp</t>
  </si>
  <si>
    <t>Capital equipment</t>
  </si>
  <si>
    <t>Engineering</t>
  </si>
  <si>
    <t>Contingency</t>
  </si>
  <si>
    <t>Factory floor space</t>
  </si>
  <si>
    <t>Property, Plant, and Equipment</t>
  </si>
  <si>
    <t>Cost of capital</t>
  </si>
  <si>
    <t>Offsite/Outside Battery Limits (OSBL)</t>
  </si>
  <si>
    <t>Scenario #1: Low Carbon Electricity</t>
  </si>
  <si>
    <t>Scenario #2: Raw Material Replacement</t>
  </si>
  <si>
    <t>INVENTORY</t>
  </si>
  <si>
    <t>Material Flow</t>
  </si>
  <si>
    <t>Value</t>
  </si>
  <si>
    <t>Raw Material</t>
  </si>
  <si>
    <t>Process 1</t>
  </si>
  <si>
    <t>Process 2</t>
  </si>
  <si>
    <t>Notes</t>
  </si>
  <si>
    <t>On/Off</t>
  </si>
  <si>
    <t>Process 3</t>
  </si>
  <si>
    <t>$/kg</t>
  </si>
  <si>
    <t>dollars per kilogram for RM 1</t>
  </si>
  <si>
    <t>dollars per liter for RM2</t>
  </si>
  <si>
    <t>dollars per kilogram for RM 3</t>
  </si>
  <si>
    <t>dollars per liter for RM 4</t>
  </si>
  <si>
    <t>Natural gas</t>
  </si>
  <si>
    <t>$/Mcf</t>
  </si>
  <si>
    <t>dollars per kilowatt-hour for industrial buyer in study location</t>
  </si>
  <si>
    <t>Raw material 1</t>
  </si>
  <si>
    <t>Raw material 2</t>
  </si>
  <si>
    <t>Raw material 4</t>
  </si>
  <si>
    <t>Direct labor cost</t>
  </si>
  <si>
    <t>average dollars per hour paid in wages/salary to employees</t>
  </si>
  <si>
    <t>percentage of direct labor going to supervision and overhead employees</t>
  </si>
  <si>
    <t>percentage of both direct and indirect labor costs that covers benefits and other costs</t>
  </si>
  <si>
    <r>
      <t>$/m</t>
    </r>
    <r>
      <rPr>
        <vertAlign val="superscript"/>
        <sz val="12"/>
        <color theme="1"/>
        <rFont val="Calibri"/>
        <family val="2"/>
        <scheme val="minor"/>
      </rPr>
      <t>2</t>
    </r>
  </si>
  <si>
    <t>year</t>
  </si>
  <si>
    <t>average cost of borrowed money to pay for equipment and factory</t>
  </si>
  <si>
    <t>annual percentage of equipment and offsite costs for maintaining</t>
  </si>
  <si>
    <t>annual percentage of equipment and offsite costs for insuring</t>
  </si>
  <si>
    <t>percentage of equipment, OSBL, and floor space costs for engineering/design</t>
  </si>
  <si>
    <t>percentage of equipment, OSBL, and floor space costs for possible overruns</t>
  </si>
  <si>
    <t>Parameter</t>
  </si>
  <si>
    <t>Annual production volume</t>
  </si>
  <si>
    <t>1 or 0</t>
  </si>
  <si>
    <t>dollars per square meter for initial factory construction</t>
  </si>
  <si>
    <t>percentage used to increase equipment space to allow for workers, connections, etc.</t>
  </si>
  <si>
    <t>years used to repay debt taken on for equipment</t>
  </si>
  <si>
    <t>years used to repay debt taken on for floor space</t>
  </si>
  <si>
    <t>Shift positions in plant</t>
  </si>
  <si>
    <t>percentage of hours throughout year when plant is operating</t>
  </si>
  <si>
    <t>total number of employees directly managing plant at any given time</t>
  </si>
  <si>
    <t>Year of analysis for inflation</t>
  </si>
  <si>
    <t>Inflation Data</t>
  </si>
  <si>
    <t>USD</t>
  </si>
  <si>
    <t>all cost parameters should be inflated to this year if not current</t>
  </si>
  <si>
    <t>$</t>
  </si>
  <si>
    <t>Reference Machine Throughput</t>
  </si>
  <si>
    <t>Machine 1</t>
  </si>
  <si>
    <t>Machine 2</t>
  </si>
  <si>
    <t>Machine 3</t>
  </si>
  <si>
    <t>Reference Machine Cost</t>
  </si>
  <si>
    <t>Reference Machine Scaling Exponents</t>
  </si>
  <si>
    <t>Reference Machine Floor Space</t>
  </si>
  <si>
    <r>
      <t>m</t>
    </r>
    <r>
      <rPr>
        <vertAlign val="superscript"/>
        <sz val="12"/>
        <color theme="1"/>
        <rFont val="Calibri"/>
        <family val="2"/>
        <scheme val="minor"/>
      </rPr>
      <t>2</t>
    </r>
  </si>
  <si>
    <t>Raw material 1 replacement</t>
  </si>
  <si>
    <t>dollars per kilogram for RM 1 replacement for use in study scenario</t>
  </si>
  <si>
    <t>Low carbon electricity</t>
  </si>
  <si>
    <t>replacement material consumption for use in study scenario</t>
  </si>
  <si>
    <t>INDICATORS</t>
  </si>
  <si>
    <t>Intermediate Calculations</t>
  </si>
  <si>
    <t>Indicator Summary</t>
  </si>
  <si>
    <r>
      <t>Raw material 3 (CO</t>
    </r>
    <r>
      <rPr>
        <vertAlign val="subscript"/>
        <sz val="12"/>
        <color theme="1"/>
        <rFont val="Calibri"/>
        <family val="2"/>
        <scheme val="minor"/>
      </rPr>
      <t>2</t>
    </r>
    <r>
      <rPr>
        <sz val="12"/>
        <color theme="1"/>
        <rFont val="Calibri"/>
        <family val="2"/>
        <scheme val="minor"/>
      </rPr>
      <t>)</t>
    </r>
  </si>
  <si>
    <t>Process Costs</t>
  </si>
  <si>
    <t>% of Total</t>
  </si>
  <si>
    <t>$/year</t>
  </si>
  <si>
    <t>Utilities - natural gas</t>
  </si>
  <si>
    <r>
      <t>kg CO</t>
    </r>
    <r>
      <rPr>
        <vertAlign val="subscript"/>
        <sz val="12"/>
        <color theme="1"/>
        <rFont val="Calibri"/>
        <family val="2"/>
        <scheme val="minor"/>
      </rPr>
      <t>2</t>
    </r>
    <r>
      <rPr>
        <sz val="12"/>
        <color theme="1"/>
        <rFont val="Calibri"/>
        <family val="2"/>
        <scheme val="minor"/>
      </rPr>
      <t>/kg</t>
    </r>
  </si>
  <si>
    <r>
      <t>CO</t>
    </r>
    <r>
      <rPr>
        <b/>
        <vertAlign val="subscript"/>
        <sz val="12"/>
        <color theme="1"/>
        <rFont val="Calibri"/>
        <family val="2"/>
        <scheme val="minor"/>
      </rPr>
      <t>2</t>
    </r>
    <r>
      <rPr>
        <b/>
        <sz val="12"/>
        <color theme="1"/>
        <rFont val="Calibri"/>
        <family val="2"/>
        <scheme val="minor"/>
      </rPr>
      <t xml:space="preserve"> Utilization</t>
    </r>
  </si>
  <si>
    <r>
      <t>Direct CO</t>
    </r>
    <r>
      <rPr>
        <vertAlign val="subscript"/>
        <sz val="12"/>
        <color theme="1"/>
        <rFont val="Calibri"/>
        <family val="2"/>
        <scheme val="minor"/>
      </rPr>
      <t>2</t>
    </r>
    <r>
      <rPr>
        <sz val="12"/>
        <color theme="1"/>
        <rFont val="Calibri"/>
        <family val="2"/>
        <scheme val="minor"/>
      </rPr>
      <t xml:space="preserve"> utilized per functional unit</t>
    </r>
  </si>
  <si>
    <r>
      <t>CO</t>
    </r>
    <r>
      <rPr>
        <vertAlign val="subscript"/>
        <sz val="12"/>
        <color theme="1"/>
        <rFont val="Calibri"/>
        <family val="2"/>
        <scheme val="minor"/>
      </rPr>
      <t>2</t>
    </r>
    <r>
      <rPr>
        <sz val="12"/>
        <color theme="1"/>
        <rFont val="Calibri"/>
        <family val="2"/>
        <scheme val="minor"/>
      </rPr>
      <t xml:space="preserve"> directly used in product. Does NOT account for process emissions. See LCA</t>
    </r>
  </si>
  <si>
    <t>Machine 1 hourly throughput needs</t>
  </si>
  <si>
    <t>Machine 2 hourly throughput needs</t>
  </si>
  <si>
    <t>Machine 3 hourly throughput needs</t>
  </si>
  <si>
    <t>Scaled machine 1 cost</t>
  </si>
  <si>
    <t>Scaled machine 2 cost</t>
  </si>
  <si>
    <t>Scaled machine 3 cost</t>
  </si>
  <si>
    <t>Scaled machine 1 power rating</t>
  </si>
  <si>
    <t>Scaled machine 2 power rating</t>
  </si>
  <si>
    <t>Scaled machine 3 power rating</t>
  </si>
  <si>
    <t>Annual machine 1 energy use</t>
  </si>
  <si>
    <t>Annual machine 2 energy use</t>
  </si>
  <si>
    <t>Annual machine 3 energy use</t>
  </si>
  <si>
    <t>Scaled machine 1 floor space</t>
  </si>
  <si>
    <t>Scaled machine 2 floor space</t>
  </si>
  <si>
    <t>Scaled machine 3 floor space</t>
  </si>
  <si>
    <t>INTERPRETATION</t>
  </si>
  <si>
    <t>power rating scaled linearly with throughput</t>
  </si>
  <si>
    <t>Floor space scaling exponent</t>
  </si>
  <si>
    <t>area scaling found using 2/3 exponent on volume scaling</t>
  </si>
  <si>
    <t>total hours of plant uptime throughout a 365.25 day year (accounts for leap years)</t>
  </si>
  <si>
    <t>Annual direct hours worked by employees</t>
  </si>
  <si>
    <t>number of person-hours worked by various employees across shifts</t>
  </si>
  <si>
    <t>Offsite/OSBL</t>
  </si>
  <si>
    <t>reference processing capacity for machine 1</t>
  </si>
  <si>
    <t>reference processing capacity for machine 2</t>
  </si>
  <si>
    <t>reference processing capacity for machine 3</t>
  </si>
  <si>
    <t>cost for machine 1 sized to handle reference throughput value above</t>
  </si>
  <si>
    <t>cost for machine 2 sized to handle reference throughput value above</t>
  </si>
  <si>
    <t>cost for machine 3 sized to handle reference throughput value above</t>
  </si>
  <si>
    <r>
      <t>exponent used to scale base costs with formula cost=cost</t>
    </r>
    <r>
      <rPr>
        <vertAlign val="subscript"/>
        <sz val="12"/>
        <color theme="1"/>
        <rFont val="Calibri"/>
        <family val="2"/>
        <scheme val="minor"/>
      </rPr>
      <t>ref</t>
    </r>
    <r>
      <rPr>
        <sz val="12"/>
        <color theme="1"/>
        <rFont val="Calibri"/>
        <family val="2"/>
        <scheme val="minor"/>
      </rPr>
      <t>*(thruput/thruput</t>
    </r>
    <r>
      <rPr>
        <vertAlign val="subscript"/>
        <sz val="12"/>
        <color theme="1"/>
        <rFont val="Calibri"/>
        <family val="2"/>
        <scheme val="minor"/>
      </rPr>
      <t>ref</t>
    </r>
    <r>
      <rPr>
        <sz val="12"/>
        <color theme="1"/>
        <rFont val="Calibri"/>
        <family val="2"/>
        <scheme val="minor"/>
      </rPr>
      <t>)</t>
    </r>
    <r>
      <rPr>
        <vertAlign val="superscript"/>
        <sz val="12"/>
        <color theme="1"/>
        <rFont val="Calibri"/>
        <family val="2"/>
        <scheme val="minor"/>
      </rPr>
      <t>exp</t>
    </r>
  </si>
  <si>
    <t>kilowatt rating for machine 1</t>
  </si>
  <si>
    <t>kilowatt rating for machine 2</t>
  </si>
  <si>
    <t>thousands of cubic feet used per hour by machine 3</t>
  </si>
  <si>
    <t>square meters taken up by each machine 1</t>
  </si>
  <si>
    <t>square meters taken up by each machine 2</t>
  </si>
  <si>
    <t>square meters taken up by each machine 3</t>
  </si>
  <si>
    <t>kilograms of RM 1 needed in process 1 per 1 kilogram output of final product</t>
  </si>
  <si>
    <t>liters of RM 2 needed in process 1 per 1 kilogram output of final product</t>
  </si>
  <si>
    <t>kilograms of RM 3 needed in process 1 per 1 kilogram output of final product</t>
  </si>
  <si>
    <t>liters of RM 4 needed in process 2 per 1 kilogram output of final product</t>
  </si>
  <si>
    <t>Scenario Analysis</t>
  </si>
  <si>
    <t>Sensitivity Analysis</t>
  </si>
  <si>
    <t>Uncertainty Analysis</t>
  </si>
  <si>
    <t>Insights and Recommendations</t>
  </si>
  <si>
    <t>Insight #1</t>
  </si>
  <si>
    <t>Insight #2</t>
  </si>
  <si>
    <t>Recommendation #1</t>
  </si>
  <si>
    <t>Recommendation #2</t>
  </si>
  <si>
    <t>Number of Machines Per Step</t>
  </si>
  <si>
    <t>unit</t>
  </si>
  <si>
    <t>number of machines to be used in process 1</t>
  </si>
  <si>
    <t>number of machines to be used in process 2</t>
  </si>
  <si>
    <t>number of machines to be used in process 3</t>
  </si>
  <si>
    <t>based on fluid needs in process 1 and number of machines</t>
  </si>
  <si>
    <t>based on fluid needs in process 2 only and number of machines</t>
  </si>
  <si>
    <t>based on fluid needs carried over from process 2 and number of machines</t>
  </si>
  <si>
    <t>total kilowatt-hours used per machine 1 in 1 year</t>
  </si>
  <si>
    <t>total kilowatt-hours used per machine 2 in 1 year</t>
  </si>
  <si>
    <t>total thousands of cubic feet of natural gas used per machine 3 in 1 year</t>
  </si>
  <si>
    <t>whether scenario 1 is turned on or not</t>
  </si>
  <si>
    <t>whether scenario 2 is turned on or not</t>
  </si>
  <si>
    <t>Sensitivity Analysis Working Section</t>
  </si>
  <si>
    <t>Note: this section contains data tables for sensitivity analysis because Excel requires data tables in the same sheet as the variables being modified. Generally, this analysis is conducted as part of the Interpretation phase. Thus, while the tables are here, conclusions are discussed in that section.</t>
  </si>
  <si>
    <t>Production volume (kg/year)</t>
  </si>
  <si>
    <t>Cost Parameters</t>
  </si>
  <si>
    <t>Annual operating time (%)</t>
  </si>
  <si>
    <t>Note: only a few variables were tested to analyze the results' sensitivity to them for demonstration purposes. A full study may assess many more.</t>
  </si>
  <si>
    <t>Note: only a couple variables were tested to analyze parameter uncertainty for demonstration purposes. A full study may assess many more.</t>
  </si>
  <si>
    <t>Uncertainty Analysis Working Section</t>
  </si>
  <si>
    <t>Note: this section contains data tables for uncertainty analysis because Excel requires data tables in the same sheet as the variables being modified. Generally, this analysis is conducted as part of the Interpretation phase. Thus, while the tables are here, conclusions are discussed in that section.</t>
  </si>
  <si>
    <t>Final product market price</t>
  </si>
  <si>
    <t>current market price for final product produced by process</t>
  </si>
  <si>
    <t>dollars per thousand cubic feet of natural gas for industrial buyer in study location</t>
  </si>
  <si>
    <t>total amount of final product manufactured by plant in 1 year</t>
  </si>
  <si>
    <t>When the switch in the Inventory worksheet for low carbon electricity is turned on, there is a nearly negligible change to the final dollar per kilogram indicator for the final product. This is due to energy being an insignificant component of overall costs.</t>
  </si>
  <si>
    <t>Total floor space needs</t>
  </si>
  <si>
    <t>total floor space requirement factoring in number of machines</t>
  </si>
  <si>
    <t>Annual electricity usage</t>
  </si>
  <si>
    <t>Annual natural gas usage</t>
  </si>
  <si>
    <t>kWh/year</t>
  </si>
  <si>
    <t>Mcf/year</t>
  </si>
  <si>
    <t>total kilowatt-hours used by process in 1 year</t>
  </si>
  <si>
    <t>total thousands of cubic feet of natural gas used by process in 1 year</t>
  </si>
  <si>
    <t>Cost Model</t>
  </si>
  <si>
    <t>Scenario</t>
  </si>
  <si>
    <t>Scenario Specifications</t>
  </si>
  <si>
    <t xml:space="preserve">As energy costs are a very small component of the overall cost, the researchers should plan to use low carbon electricity in the pilot plant despite its slightly higher cost. This will help improve the climate benefits of this technology, which can be fully explored with a life cycle assessment. Also, given the lower costs from using the alternative for raw material 1, it is recommended that the research team use it for the process going forward. </t>
  </si>
  <si>
    <t>MANUFACTURING COST: ALL PROCESSES</t>
  </si>
  <si>
    <t>Note: A potential expansion of this model involves creating one of the boxes on the left for each individual process in the system. This would increase the granularity of results.</t>
  </si>
  <si>
    <t>Production Parameters</t>
  </si>
  <si>
    <t>L/kg</t>
  </si>
  <si>
    <t>$/L</t>
  </si>
  <si>
    <t>Capital Equipment Cost</t>
  </si>
  <si>
    <t>Machine Parameters</t>
  </si>
  <si>
    <t>Machine Cost</t>
  </si>
  <si>
    <t>Machine Energy Use</t>
  </si>
  <si>
    <t>Machine Floor Space</t>
  </si>
  <si>
    <t>Machinery</t>
  </si>
  <si>
    <t>The cost curve above demonstrates that a manufacturing cost floor is hit around a production volume of 20,000 kilograms per year. The manufacturing cost is highly sensitive to production volume at first before hitting this floor. As more units are produced, there are economies of scale arising from distributing constant labor costs over more units (it is assumed the same number of employees can easily operate larger, automated plants) and from using machines whose costs and floor space needs scale sublinearly with production volume.</t>
  </si>
  <si>
    <t>dollars per kilowatt-hour for low carbon electricity in study location for scenario</t>
  </si>
  <si>
    <t>kg/year</t>
  </si>
  <si>
    <t>hour/year</t>
  </si>
  <si>
    <t>currency for all cost parameters</t>
  </si>
  <si>
    <t>Total machinery cost</t>
  </si>
  <si>
    <t>factor</t>
  </si>
  <si>
    <t>Ancillary Equipment Factors</t>
  </si>
  <si>
    <r>
      <t>scaled machine 1 cost with formula cost=(cost</t>
    </r>
    <r>
      <rPr>
        <vertAlign val="subscript"/>
        <sz val="12"/>
        <color theme="1"/>
        <rFont val="Calibri"/>
        <family val="2"/>
        <scheme val="minor"/>
      </rPr>
      <t>ref</t>
    </r>
    <r>
      <rPr>
        <sz val="12"/>
        <color theme="1"/>
        <rFont val="Calibri"/>
        <family val="2"/>
        <scheme val="minor"/>
      </rPr>
      <t>*(thruput/thruput</t>
    </r>
    <r>
      <rPr>
        <vertAlign val="subscript"/>
        <sz val="12"/>
        <color theme="1"/>
        <rFont val="Calibri"/>
        <family val="2"/>
        <scheme val="minor"/>
      </rPr>
      <t>ref</t>
    </r>
    <r>
      <rPr>
        <sz val="12"/>
        <color theme="1"/>
        <rFont val="Calibri"/>
        <family val="2"/>
        <scheme val="minor"/>
      </rPr>
      <t>)</t>
    </r>
    <r>
      <rPr>
        <vertAlign val="superscript"/>
        <sz val="12"/>
        <color theme="1"/>
        <rFont val="Calibri"/>
        <family val="2"/>
        <scheme val="minor"/>
      </rPr>
      <t>exp</t>
    </r>
    <r>
      <rPr>
        <sz val="12"/>
        <color theme="1"/>
        <rFont val="Calibri (Body)"/>
      </rPr>
      <t>)*factor</t>
    </r>
  </si>
  <si>
    <r>
      <t>scaled machine 2 cost with formula cost=(cost</t>
    </r>
    <r>
      <rPr>
        <vertAlign val="subscript"/>
        <sz val="12"/>
        <color theme="1"/>
        <rFont val="Calibri"/>
        <family val="2"/>
        <scheme val="minor"/>
      </rPr>
      <t>ref</t>
    </r>
    <r>
      <rPr>
        <sz val="12"/>
        <color theme="1"/>
        <rFont val="Calibri"/>
        <family val="2"/>
        <scheme val="minor"/>
      </rPr>
      <t>*(thruput/thruput</t>
    </r>
    <r>
      <rPr>
        <vertAlign val="subscript"/>
        <sz val="12"/>
        <color theme="1"/>
        <rFont val="Calibri"/>
        <family val="2"/>
        <scheme val="minor"/>
      </rPr>
      <t>ref</t>
    </r>
    <r>
      <rPr>
        <sz val="12"/>
        <color theme="1"/>
        <rFont val="Calibri"/>
        <family val="2"/>
        <scheme val="minor"/>
      </rPr>
      <t>)</t>
    </r>
    <r>
      <rPr>
        <vertAlign val="superscript"/>
        <sz val="12"/>
        <color theme="1"/>
        <rFont val="Calibri"/>
        <family val="2"/>
        <scheme val="minor"/>
      </rPr>
      <t>exp</t>
    </r>
    <r>
      <rPr>
        <sz val="12"/>
        <color theme="1"/>
        <rFont val="Calibri (Body)"/>
      </rPr>
      <t>)*factor</t>
    </r>
  </si>
  <si>
    <r>
      <t>scaled machine 3 cost with formula cost=(cost</t>
    </r>
    <r>
      <rPr>
        <vertAlign val="subscript"/>
        <sz val="12"/>
        <color theme="1"/>
        <rFont val="Calibri"/>
        <family val="2"/>
        <scheme val="minor"/>
      </rPr>
      <t>ref</t>
    </r>
    <r>
      <rPr>
        <sz val="12"/>
        <color theme="1"/>
        <rFont val="Calibri"/>
        <family val="2"/>
        <scheme val="minor"/>
      </rPr>
      <t>*(thruput/thruput</t>
    </r>
    <r>
      <rPr>
        <vertAlign val="subscript"/>
        <sz val="12"/>
        <color theme="1"/>
        <rFont val="Calibri"/>
        <family val="2"/>
        <scheme val="minor"/>
      </rPr>
      <t>ref</t>
    </r>
    <r>
      <rPr>
        <sz val="12"/>
        <color theme="1"/>
        <rFont val="Calibri"/>
        <family val="2"/>
        <scheme val="minor"/>
      </rPr>
      <t>)</t>
    </r>
    <r>
      <rPr>
        <vertAlign val="superscript"/>
        <sz val="12"/>
        <color theme="1"/>
        <rFont val="Calibri"/>
        <family val="2"/>
        <scheme val="minor"/>
      </rPr>
      <t>exp</t>
    </r>
    <r>
      <rPr>
        <sz val="12"/>
        <color theme="1"/>
        <rFont val="Calibri (Body)"/>
      </rPr>
      <t>)*factor</t>
    </r>
  </si>
  <si>
    <t>Scaling production to around 20,000 kg/year leads to a manufacturing cost floor of just around $2,000/kg. Using low carbon electricity has a negligible impact on the manufacturing costs per kilogram of the final product. Using the replacement for raw material 1 decreases the final cost metric by about 3.7% when using the base case production volume of 2,000 kilograms per year. The anticipated cost benefit of using the alternative will increase with scale, as raw materials become a more significant component of cost as production scales. Finally, uncertainty hardly affects results.</t>
  </si>
  <si>
    <t>As the benchmark product is a commodity that is currently priced around $1,200 per kilogram, the research team will need to figure out if the production process can be reasonably scaled to take advantage of economies of scale to reach the manufacturing cost floor of around $2,000/kg around 20,000 kilograms per year of production. The researchers should also seek a way to replace raw material 4 with something cheaper or research if it can be manufactured cheaply onsite or purchased in bulk for a discount, as this would help reduce the manufacturing cost significantly.</t>
  </si>
  <si>
    <t>When the switch in the Inventory worksheet for raw material replacement is turned on, costs are adjusted to assume the use of the alternative to raw material 1. Costs decrease from $3,084 to $2,975 per kilogram as the alternative is significantly cheaper than the original material and the extra amount required does not offset this lower cost.</t>
  </si>
  <si>
    <t>Given that raw material 4 contributes around 42% of the manufacturing cost in the base case model, it is unsurprising that the final manufacturing cost is highly sensitive to RM 4's cost. The data table on the Inventory worksheet shows that a reduction of the cost of raw material 4 from around $25 per liter to $15 per liter results in a roughly 16% reduction in manufacturing costs. Such a reduction may or may not be feasible.</t>
  </si>
  <si>
    <t>Surprisingly, in the base case model, cost decreases from $3,084/kg to around $2,785/kg as operating time decreases from 90% from 40%. This is because labor is a larger contributor to manufacturing cost relative to capital equipment in the base case model, so the savings from less labor with 40% operating time more than offset the increases in the size and cost of the capital equipment required to produce the same volume in this shorter time. However, this ceases to be the case at higher production volumes where labor is a smaller component of overall costs.</t>
  </si>
  <si>
    <t>COST OF THE PROCESS</t>
  </si>
  <si>
    <t>total cost for machinery factoring in number of units</t>
  </si>
  <si>
    <t>Note: sensitivity analysis of production volume is only applicable for ranges in which machines are realistically sized given the fixed number of machines in the Inventory and the required hourly throughput.</t>
  </si>
  <si>
    <t>factor to apply to machine 1 cost to account for ancillary equipment (piping)</t>
  </si>
  <si>
    <t>factor to apply to machine 2 cost to account for ancillary equipment (piping)</t>
  </si>
  <si>
    <t>factor to apply to machine 3 cost to account for ancillary equipment (piping)</t>
  </si>
  <si>
    <t>Reference Machine Power Rating</t>
  </si>
  <si>
    <t>Machine 3 reference cost ($/unit)</t>
  </si>
  <si>
    <t>Offsite/outside battery limits (OSBL) (%)</t>
  </si>
  <si>
    <t>percentage of equipment and floor space costs for utility connections, lighting, etc.</t>
  </si>
  <si>
    <r>
      <t>m</t>
    </r>
    <r>
      <rPr>
        <vertAlign val="superscript"/>
        <sz val="12"/>
        <color theme="1"/>
        <rFont val="Calibri"/>
        <family val="2"/>
        <scheme val="minor"/>
      </rPr>
      <t>2</t>
    </r>
    <r>
      <rPr>
        <sz val="12"/>
        <color theme="1"/>
        <rFont val="Calibri"/>
        <family val="2"/>
        <scheme val="minor"/>
      </rPr>
      <t>/unit</t>
    </r>
  </si>
  <si>
    <t>kW/unit</t>
  </si>
  <si>
    <t>Mcf/hour-unit</t>
  </si>
  <si>
    <r>
      <t>scaled floor space formula space=(1+markup%)*space</t>
    </r>
    <r>
      <rPr>
        <vertAlign val="subscript"/>
        <sz val="12"/>
        <color theme="1"/>
        <rFont val="Calibri"/>
        <family val="2"/>
        <scheme val="minor"/>
      </rPr>
      <t>ref</t>
    </r>
    <r>
      <rPr>
        <sz val="12"/>
        <color theme="1"/>
        <rFont val="Calibri"/>
        <family val="2"/>
        <scheme val="minor"/>
      </rPr>
      <t>*(thruput/thruput</t>
    </r>
    <r>
      <rPr>
        <vertAlign val="subscript"/>
        <sz val="12"/>
        <color theme="1"/>
        <rFont val="Calibri"/>
        <family val="2"/>
        <scheme val="minor"/>
      </rPr>
      <t>ref</t>
    </r>
    <r>
      <rPr>
        <sz val="12"/>
        <color theme="1"/>
        <rFont val="Calibri"/>
        <family val="2"/>
        <scheme val="minor"/>
      </rPr>
      <t>)</t>
    </r>
    <r>
      <rPr>
        <vertAlign val="superscript"/>
        <sz val="12"/>
        <color theme="1"/>
        <rFont val="Calibri"/>
        <family val="2"/>
        <scheme val="minor"/>
      </rPr>
      <t>exp</t>
    </r>
  </si>
  <si>
    <t>kWh/year-unit</t>
  </si>
  <si>
    <t>Mcf/year-unit</t>
  </si>
  <si>
    <t>L/hour-unit</t>
  </si>
  <si>
    <t>The units in the right-hand columns in this section are manufacturing costs per kilogram of the final product.</t>
  </si>
  <si>
    <t>Production Volume (kg/year)</t>
  </si>
  <si>
    <t>Annual Operating Time (%)</t>
  </si>
  <si>
    <t>Offsite/Outside Battery Limits (OSBL) (%)</t>
  </si>
  <si>
    <t>Machine 3 Reference Cost ($/unit)</t>
  </si>
  <si>
    <t>Raw material 4 cost ($/L)</t>
  </si>
  <si>
    <t>Raw Material 4 Cost ($/L)</t>
  </si>
  <si>
    <t>In this model, the cost of Outside Battery Limits (OSBL) is expressed as a percentage of the cost of Inside Battery Limits (ISBL), where ISBL denotes the price of machinery and factory space. They have a wide host plant range. The baseline scenario assumes a median value of about 55%. Final manufacturing costs varied from $3,015/kg to $3,154/kg (a spread of roughly 4%) based on an uncertainty analysis using a range of 15% to 95%. The OSBL factor's uncertainty will not have a major impact on the manufacturing cost per unit because capital equipment is not a major contributor to manufacturing costs (and becomes even less of a contributor with scaling).</t>
  </si>
  <si>
    <t>Lack of transparency or the desire to avoid using confidential information can make it hard to find data on the costs of machines, especially custom or unique ones. To investigate the impact of cost uncertainty on the manufacturing cost indicator, we use a range of possible costs for machine 3. Machine 3's cost changing from $1,000,000/unit to $3,000,000/unit only raises manufacturing cost from $2,992/kg to $3,237/kg because capital equipment is not a significant contributor to manufacturing costs in the base case model.</t>
  </si>
  <si>
    <t>In the most basic scenario, this new technology results in a manufacturing cost of $3,084/kg for the final product. Costs are broken down as follows: 56% goes toward raw materials, 35% goes toward labour, and 9% goes toward manufacturing overhead. The fourth raw material made up nearly 42% of the total cost, making it the single largest contributor. In order to compete with the commodity benchmark product, which sells for only $1,200/kg, substantial cost reductions are required. For every kilo of product that is made, 10 kilogrammes of carbon dioxide are used.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</si>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</sst>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quot;$&quot;* #,##0_);_(&quot;$&quot;* \(#,##0\);_(&quot;$&quot;* &quot;-&quot;??_);_(@_)"/>
    <numFmt numFmtId="167" formatCode="0.0"/>
    <numFmt numFmtId="168" formatCode="0.0%"/>
    <numFmt numFmtId="169" formatCode="#,##0.0"/>
    <numFmt numFmtId="170" formatCode="_(&quot;$&quot;* #,##0.00000_);_(&quot;$&quot;* \(#,##0.00000\);_(&quot;$&quot;* &quot;-&quot;??_);_(@_)"/>
  </numFmts>
  <fonts count="16"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name val="Calibri"/>
      <family val="2"/>
      <scheme val="minor"/>
    </font>
    <font>
      <sz val="11"/>
      <color theme="1"/>
      <name val="Calibri"/>
      <family val="2"/>
      <scheme val="minor"/>
    </font>
    <font>
      <b/>
      <sz val="16"/>
      <color theme="1"/>
      <name val="Calibri"/>
      <family val="2"/>
      <scheme val="minor"/>
    </font>
    <font>
      <b/>
      <sz val="26"/>
      <color theme="1"/>
      <name val="Calibri"/>
      <family val="2"/>
      <scheme val="minor"/>
    </font>
    <font>
      <vertAlign val="superscript"/>
      <sz val="12"/>
      <color theme="1"/>
      <name val="Calibri"/>
      <family val="2"/>
      <scheme val="minor"/>
    </font>
    <font>
      <vertAlign val="subscript"/>
      <sz val="12"/>
      <color theme="1"/>
      <name val="Calibri"/>
      <family val="2"/>
      <scheme val="minor"/>
    </font>
    <font>
      <b/>
      <vertAlign val="subscript"/>
      <sz val="12"/>
      <color theme="1"/>
      <name val="Calibri"/>
      <family val="2"/>
      <scheme val="minor"/>
    </font>
    <font>
      <sz val="10"/>
      <color rgb="FF000000"/>
      <name val="Tahoma"/>
      <family val="2"/>
    </font>
    <font>
      <b/>
      <sz val="10"/>
      <color rgb="FF000000"/>
      <name val="Tahoma"/>
      <family val="2"/>
    </font>
    <font>
      <sz val="12"/>
      <color theme="1"/>
      <name val="Calibri (Body)"/>
    </font>
    <font>
      <b/>
      <sz val="12"/>
      <color rgb="FF000000"/>
      <name val="Calibri"/>
      <family val="2"/>
      <scheme val="minor"/>
    </font>
    <font>
      <sz val="12"/>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0.749992370372631"/>
        <bgColor indexed="64"/>
      </patternFill>
    </fill>
    <fill>
      <patternFill patternType="solid">
        <fgColor theme="6" tint="0.79998168889431442"/>
        <bgColor indexed="64"/>
      </patternFill>
    </fill>
    <fill>
      <patternFill patternType="solid">
        <fgColor rgb="FFEDEDED"/>
        <bgColor rgb="FF000000"/>
      </patternFill>
    </fill>
    <fill>
      <patternFill patternType="solid">
        <fgColor theme="4" tint="-0.249977111117893"/>
        <bgColor indexed="64"/>
      </patternFill>
    </fill>
    <fill>
      <patternFill patternType="solid">
        <fgColor theme="4" tint="0.39997558519241921"/>
        <bgColor indexed="64"/>
      </patternFill>
    </fill>
  </fills>
  <borders count="3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right/>
      <top style="thin">
        <color indexed="64"/>
      </top>
      <bottom style="dotted">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indexed="64"/>
      </top>
      <bottom style="thin">
        <color indexed="64"/>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0" fontId="5" fillId="0" borderId="0"/>
    <xf numFmtId="0" fontId="1" fillId="0" borderId="0"/>
    <xf numFmtId="0" fontId="1" fillId="0" borderId="0"/>
    <xf numFmtId="165" fontId="5" fillId="0" borderId="0" applyFont="0" applyFill="0" applyBorder="0" applyAlignment="0" applyProtection="0"/>
  </cellStyleXfs>
  <cellXfs count="130">
    <xf numFmtId="0" fontId="0" fillId="0" borderId="0" xfId="0"/>
    <xf numFmtId="0" fontId="0" fillId="0" borderId="5" xfId="0" applyBorder="1"/>
    <xf numFmtId="0" fontId="0" fillId="0" borderId="4" xfId="0" applyBorder="1"/>
    <xf numFmtId="166" fontId="0" fillId="0" borderId="5" xfId="1" applyNumberFormat="1" applyFont="1" applyBorder="1"/>
    <xf numFmtId="2" fontId="0" fillId="0" borderId="0" xfId="0" applyNumberFormat="1"/>
    <xf numFmtId="166" fontId="0" fillId="0" borderId="0" xfId="0" applyNumberFormat="1"/>
    <xf numFmtId="167" fontId="0" fillId="0" borderId="0" xfId="0" applyNumberFormat="1"/>
    <xf numFmtId="166" fontId="0" fillId="0" borderId="5" xfId="0" applyNumberFormat="1" applyBorder="1"/>
    <xf numFmtId="0" fontId="0" fillId="0" borderId="12" xfId="0" applyBorder="1"/>
    <xf numFmtId="168" fontId="0" fillId="0" borderId="0" xfId="2" applyNumberFormat="1" applyFont="1"/>
    <xf numFmtId="166" fontId="0" fillId="0" borderId="0" xfId="1" applyNumberFormat="1" applyFont="1"/>
    <xf numFmtId="3" fontId="0" fillId="0" borderId="0" xfId="0" applyNumberFormat="1"/>
    <xf numFmtId="166" fontId="0" fillId="0" borderId="16" xfId="1" applyNumberFormat="1" applyFont="1" applyBorder="1"/>
    <xf numFmtId="166" fontId="0" fillId="0" borderId="15" xfId="1" applyNumberFormat="1" applyFont="1" applyBorder="1"/>
    <xf numFmtId="168" fontId="0" fillId="0" borderId="0" xfId="0" applyNumberFormat="1"/>
    <xf numFmtId="1" fontId="0" fillId="0" borderId="0" xfId="0" applyNumberFormat="1"/>
    <xf numFmtId="166" fontId="0" fillId="0" borderId="0" xfId="1" applyNumberFormat="1" applyFont="1" applyBorder="1"/>
    <xf numFmtId="166" fontId="0" fillId="0" borderId="13" xfId="1" applyNumberFormat="1" applyFont="1" applyBorder="1"/>
    <xf numFmtId="166" fontId="0" fillId="0" borderId="14" xfId="1" applyNumberFormat="1" applyFont="1" applyBorder="1"/>
    <xf numFmtId="0" fontId="0" fillId="0" borderId="7" xfId="0" applyBorder="1"/>
    <xf numFmtId="9" fontId="0" fillId="0" borderId="0" xfId="0" applyNumberFormat="1"/>
    <xf numFmtId="9" fontId="0" fillId="0" borderId="0" xfId="2" applyFont="1"/>
    <xf numFmtId="4" fontId="0" fillId="0" borderId="0" xfId="0" applyNumberFormat="1"/>
    <xf numFmtId="0" fontId="4" fillId="0" borderId="0" xfId="0" applyFont="1"/>
    <xf numFmtId="166" fontId="0" fillId="0" borderId="13" xfId="0" applyNumberFormat="1" applyBorder="1"/>
    <xf numFmtId="0" fontId="0" fillId="0" borderId="0" xfId="0" applyAlignment="1">
      <alignment horizontal="center"/>
    </xf>
    <xf numFmtId="0" fontId="0" fillId="0" borderId="24" xfId="0" applyBorder="1"/>
    <xf numFmtId="166" fontId="0" fillId="0" borderId="25" xfId="1" applyNumberFormat="1" applyFont="1" applyBorder="1"/>
    <xf numFmtId="0" fontId="0" fillId="0" borderId="1" xfId="0" applyBorder="1"/>
    <xf numFmtId="166" fontId="0" fillId="0" borderId="2" xfId="1" applyNumberFormat="1" applyFont="1" applyBorder="1"/>
    <xf numFmtId="0" fontId="0" fillId="0" borderId="10" xfId="0" applyBorder="1"/>
    <xf numFmtId="0" fontId="0" fillId="0" borderId="0" xfId="0" applyAlignment="1">
      <alignment horizontal="left"/>
    </xf>
    <xf numFmtId="164" fontId="0" fillId="0" borderId="0" xfId="0" applyNumberFormat="1"/>
    <xf numFmtId="0" fontId="0" fillId="0" borderId="0" xfId="0" applyAlignment="1">
      <alignment horizontal="right"/>
    </xf>
    <xf numFmtId="169" fontId="0" fillId="0" borderId="0" xfId="0" applyNumberFormat="1"/>
    <xf numFmtId="0" fontId="0" fillId="5" borderId="0" xfId="0" applyFill="1"/>
    <xf numFmtId="0" fontId="0" fillId="0" borderId="0" xfId="0" applyAlignment="1">
      <alignment vertical="center"/>
    </xf>
    <xf numFmtId="0" fontId="3" fillId="0" borderId="27" xfId="0" applyFont="1" applyBorder="1"/>
    <xf numFmtId="166" fontId="0" fillId="0" borderId="27" xfId="0" applyNumberFormat="1" applyBorder="1"/>
    <xf numFmtId="0" fontId="3" fillId="0" borderId="13" xfId="0" applyFont="1" applyBorder="1"/>
    <xf numFmtId="166" fontId="0" fillId="0" borderId="10" xfId="0" applyNumberFormat="1" applyBorder="1"/>
    <xf numFmtId="168" fontId="0" fillId="0" borderId="13" xfId="0" applyNumberFormat="1" applyBorder="1"/>
    <xf numFmtId="168" fontId="0" fillId="0" borderId="27" xfId="0" applyNumberFormat="1" applyBorder="1"/>
    <xf numFmtId="0" fontId="0" fillId="0" borderId="17" xfId="0" applyBorder="1" applyAlignment="1">
      <alignment horizontal="center"/>
    </xf>
    <xf numFmtId="166" fontId="0" fillId="0" borderId="17" xfId="1" applyNumberFormat="1" applyFont="1" applyBorder="1"/>
    <xf numFmtId="9" fontId="0" fillId="0" borderId="0" xfId="2" applyFont="1" applyFill="1" applyBorder="1"/>
    <xf numFmtId="170" fontId="0" fillId="0" borderId="0" xfId="0" applyNumberFormat="1"/>
    <xf numFmtId="0" fontId="2" fillId="4" borderId="28" xfId="0" applyFont="1" applyFill="1" applyBorder="1" applyAlignment="1">
      <alignment horizontal="center"/>
    </xf>
    <xf numFmtId="0" fontId="0" fillId="0" borderId="9" xfId="0" applyBorder="1"/>
    <xf numFmtId="166" fontId="0" fillId="0" borderId="10" xfId="1" applyNumberFormat="1" applyFont="1" applyBorder="1"/>
    <xf numFmtId="166" fontId="0" fillId="0" borderId="11" xfId="1" applyNumberFormat="1" applyFont="1" applyBorder="1"/>
    <xf numFmtId="0" fontId="2" fillId="6" borderId="17" xfId="0" applyFont="1" applyFill="1" applyBorder="1" applyAlignment="1">
      <alignment horizontal="center" vertical="center"/>
    </xf>
    <xf numFmtId="0" fontId="2" fillId="6" borderId="28" xfId="0" applyFont="1" applyFill="1" applyBorder="1" applyAlignment="1">
      <alignment horizontal="center"/>
    </xf>
    <xf numFmtId="0" fontId="2" fillId="6" borderId="17" xfId="0" applyFont="1" applyFill="1" applyBorder="1" applyAlignment="1">
      <alignment horizontal="center"/>
    </xf>
    <xf numFmtId="166" fontId="0" fillId="0" borderId="9" xfId="0" applyNumberFormat="1" applyBorder="1"/>
    <xf numFmtId="168" fontId="0" fillId="0" borderId="11" xfId="0" applyNumberFormat="1" applyBorder="1"/>
    <xf numFmtId="166" fontId="0" fillId="0" borderId="3" xfId="1" applyNumberFormat="1" applyFont="1" applyBorder="1"/>
    <xf numFmtId="166" fontId="0" fillId="0" borderId="26" xfId="1" quotePrefix="1" applyNumberFormat="1" applyFont="1" applyBorder="1" applyAlignment="1">
      <alignment horizontal="right"/>
    </xf>
    <xf numFmtId="0" fontId="0" fillId="0" borderId="11" xfId="0" applyBorder="1"/>
    <xf numFmtId="0" fontId="0" fillId="0" borderId="0" xfId="0" applyAlignment="1">
      <alignment vertical="top" wrapText="1"/>
    </xf>
    <xf numFmtId="0" fontId="15" fillId="0" borderId="0" xfId="0" applyFont="1"/>
    <xf numFmtId="0" fontId="6" fillId="2" borderId="20"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xf>
    <xf numFmtId="0" fontId="6" fillId="2" borderId="23" xfId="0" applyFont="1" applyFill="1" applyBorder="1" applyAlignment="1">
      <alignment horizontal="center" vertical="center"/>
    </xf>
    <xf numFmtId="0" fontId="2" fillId="6" borderId="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3"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7" xfId="0" applyFont="1" applyFill="1" applyBorder="1" applyAlignment="1">
      <alignment horizontal="center" vertical="top" wrapText="1"/>
    </xf>
    <xf numFmtId="0" fontId="2" fillId="6" borderId="8" xfId="0" applyFont="1" applyFill="1" applyBorder="1" applyAlignment="1">
      <alignment horizontal="center" vertical="top" wrapText="1"/>
    </xf>
    <xf numFmtId="0" fontId="0" fillId="0" borderId="0" xfId="0" applyAlignment="1">
      <alignment horizontal="left"/>
    </xf>
    <xf numFmtId="0" fontId="7" fillId="8" borderId="20"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22" xfId="0" applyFont="1" applyFill="1" applyBorder="1" applyAlignment="1">
      <alignment horizontal="center" vertical="center"/>
    </xf>
    <xf numFmtId="0" fontId="7" fillId="8" borderId="23" xfId="0" applyFont="1" applyFill="1" applyBorder="1" applyAlignment="1">
      <alignment horizontal="center" vertical="center"/>
    </xf>
    <xf numFmtId="0" fontId="6" fillId="9" borderId="20" xfId="0" applyFont="1" applyFill="1" applyBorder="1" applyAlignment="1">
      <alignment horizontal="center" vertical="center"/>
    </xf>
    <xf numFmtId="0" fontId="6" fillId="9" borderId="18" xfId="0" applyFont="1" applyFill="1" applyBorder="1" applyAlignment="1">
      <alignment horizontal="center" vertical="center"/>
    </xf>
    <xf numFmtId="0" fontId="6" fillId="9" borderId="19" xfId="0" applyFont="1" applyFill="1" applyBorder="1" applyAlignment="1">
      <alignment horizontal="center" vertical="center"/>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9" xfId="0" applyFont="1" applyFill="1" applyBorder="1" applyAlignment="1">
      <alignment horizontal="center" vertical="top" wrapText="1"/>
    </xf>
    <xf numFmtId="0" fontId="2" fillId="6" borderId="10" xfId="0" applyFont="1" applyFill="1" applyBorder="1" applyAlignment="1">
      <alignment horizontal="center" vertical="top" wrapText="1"/>
    </xf>
    <xf numFmtId="0" fontId="2" fillId="6" borderId="11" xfId="0" applyFont="1" applyFill="1" applyBorder="1" applyAlignment="1">
      <alignment horizontal="center" vertical="top" wrapText="1"/>
    </xf>
    <xf numFmtId="0" fontId="14" fillId="7" borderId="9" xfId="0" applyFont="1" applyFill="1" applyBorder="1" applyAlignment="1">
      <alignment horizontal="center" vertical="top" wrapText="1"/>
    </xf>
    <xf numFmtId="0" fontId="14" fillId="7" borderId="10" xfId="0" applyFont="1" applyFill="1" applyBorder="1" applyAlignment="1">
      <alignment horizontal="center" vertical="top" wrapText="1"/>
    </xf>
    <xf numFmtId="0" fontId="14" fillId="7" borderId="32" xfId="0" applyFont="1" applyFill="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2" fillId="2" borderId="29"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0" fillId="0" borderId="2" xfId="0" applyBorder="1" applyAlignment="1">
      <alignment horizontal="left"/>
    </xf>
    <xf numFmtId="0" fontId="7" fillId="3" borderId="20" xfId="0" applyFont="1" applyFill="1" applyBorder="1" applyAlignment="1">
      <alignment horizontal="center" vertical="center"/>
    </xf>
    <xf numFmtId="0" fontId="7" fillId="3" borderId="18" xfId="0" applyFont="1" applyFill="1" applyBorder="1" applyAlignment="1">
      <alignment horizontal="center" vertical="center"/>
    </xf>
    <xf numFmtId="0" fontId="7" fillId="3" borderId="19" xfId="0" applyFont="1" applyFill="1" applyBorder="1" applyAlignment="1">
      <alignment horizontal="center" vertical="center"/>
    </xf>
    <xf numFmtId="0" fontId="7" fillId="3" borderId="21" xfId="0" applyFont="1" applyFill="1" applyBorder="1" applyAlignment="1">
      <alignment horizontal="center" vertical="center"/>
    </xf>
    <xf numFmtId="0" fontId="7" fillId="3" borderId="22" xfId="0" applyFont="1" applyFill="1" applyBorder="1" applyAlignment="1">
      <alignment horizontal="center" vertical="center"/>
    </xf>
    <xf numFmtId="0" fontId="7" fillId="3" borderId="2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8" xfId="0" applyFont="1" applyFill="1" applyBorder="1" applyAlignment="1">
      <alignment horizontal="center" vertical="center"/>
    </xf>
  </cellXfs>
  <cellStyles count="7">
    <cellStyle name="Currency" xfId="1" builtinId="4"/>
    <cellStyle name="Currency 3" xfId="6" xr:uid="{00000000-0005-0000-0000-000001000000}"/>
    <cellStyle name="Normal" xfId="0" builtinId="0"/>
    <cellStyle name="Normal 2 2 2" xfId="4" xr:uid="{00000000-0005-0000-0000-000004000000}"/>
    <cellStyle name="Normal 3" xfId="3" xr:uid="{00000000-0005-0000-0000-000005000000}"/>
    <cellStyle name="Normal 4" xfId="5" xr:uid="{00000000-0005-0000-0000-00000600000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Production Cost Curve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8"/>
              <c:layout>
                <c:manualLayout>
                  <c:x val="-3.3227843961446728E-2"/>
                  <c:y val="-4.08719565276859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62-F946-877E-080734594F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INVENTORY!$B$118:$B$136</c:f>
              <c:numCache>
                <c:formatCode>#,##0</c:formatCode>
                <c:ptCount val="19"/>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numCache>
            </c:numRef>
          </c:xVal>
          <c:yVal>
            <c:numRef>
              <c:f>INVENTORY!$C$118:$C$136</c:f>
              <c:numCache>
                <c:formatCode>_("$"* #,##0_);_("$"* \(#,##0\);_("$"* "-"??_);_(@_)</c:formatCode>
                <c:ptCount val="19"/>
                <c:pt idx="0">
                  <c:v>4167.6480047544428</c:v>
                </c:pt>
                <c:pt idx="1">
                  <c:v>3067.9075521881737</c:v>
                </c:pt>
                <c:pt idx="2">
                  <c:v>2698.9700454361669</c:v>
                </c:pt>
                <c:pt idx="3">
                  <c:v>2513.5587700389497</c:v>
                </c:pt>
                <c:pt idx="4">
                  <c:v>2401.8202477563177</c:v>
                </c:pt>
                <c:pt idx="5">
                  <c:v>2327.0321631324487</c:v>
                </c:pt>
                <c:pt idx="6">
                  <c:v>2273.4174967376771</c:v>
                </c:pt>
                <c:pt idx="7">
                  <c:v>2233.0701729964294</c:v>
                </c:pt>
                <c:pt idx="8">
                  <c:v>2201.5889175491534</c:v>
                </c:pt>
                <c:pt idx="9">
                  <c:v>2176.3279053739752</c:v>
                </c:pt>
                <c:pt idx="10">
                  <c:v>2061.3443004639876</c:v>
                </c:pt>
                <c:pt idx="11">
                  <c:v>2022.1394340839975</c:v>
                </c:pt>
                <c:pt idx="12">
                  <c:v>2002.1837440177021</c:v>
                </c:pt>
                <c:pt idx="13">
                  <c:v>1990.0251003226074</c:v>
                </c:pt>
                <c:pt idx="14">
                  <c:v>1981.8075204098877</c:v>
                </c:pt>
                <c:pt idx="15">
                  <c:v>1975.8640141238352</c:v>
                </c:pt>
                <c:pt idx="16">
                  <c:v>1971.3545483636908</c:v>
                </c:pt>
                <c:pt idx="17">
                  <c:v>1967.8090755600824</c:v>
                </c:pt>
                <c:pt idx="18">
                  <c:v>1964.9436743722783</c:v>
                </c:pt>
              </c:numCache>
            </c:numRef>
          </c:yVal>
          <c:smooth val="0"/>
          <c:extLst>
            <c:ext xmlns:c16="http://schemas.microsoft.com/office/drawing/2014/chart" uri="{C3380CC4-5D6E-409C-BE32-E72D297353CC}">
              <c16:uniqueId val="{00000001-3F62-F946-877E-080734594F32}"/>
            </c:ext>
          </c:extLst>
        </c:ser>
        <c:dLbls>
          <c:showLegendKey val="0"/>
          <c:showVal val="0"/>
          <c:showCatName val="0"/>
          <c:showSerName val="0"/>
          <c:showPercent val="0"/>
          <c:showBubbleSize val="0"/>
        </c:dLbls>
        <c:axId val="236815024"/>
        <c:axId val="236815416"/>
      </c:scatterChart>
      <c:valAx>
        <c:axId val="236815024"/>
        <c:scaling>
          <c:orientation val="minMax"/>
          <c:max val="1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Annual Production</a:t>
                </a:r>
                <a:r>
                  <a:rPr lang="en-US" sz="1200" baseline="0"/>
                  <a:t> Volume (kg/year)</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6815416"/>
        <c:crosses val="autoZero"/>
        <c:crossBetween val="midCat"/>
        <c:majorUnit val="20000"/>
      </c:valAx>
      <c:valAx>
        <c:axId val="23681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Manufacturing Cost ($/kg)</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6815024"/>
        <c:crosses val="autoZero"/>
        <c:crossBetween val="midCat"/>
        <c:majorUnit val="1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INVENTORY!$B$167:$B$175</c:f>
              <c:numCache>
                <c:formatCode>0%</c:formatCode>
                <c:ptCount val="9"/>
                <c:pt idx="0">
                  <c:v>0.15</c:v>
                </c:pt>
                <c:pt idx="1">
                  <c:v>0.25</c:v>
                </c:pt>
                <c:pt idx="2">
                  <c:v>0.35</c:v>
                </c:pt>
                <c:pt idx="3">
                  <c:v>0.45</c:v>
                </c:pt>
                <c:pt idx="4">
                  <c:v>0.55000000000000004</c:v>
                </c:pt>
                <c:pt idx="5">
                  <c:v>0.65</c:v>
                </c:pt>
                <c:pt idx="6">
                  <c:v>0.75</c:v>
                </c:pt>
                <c:pt idx="7">
                  <c:v>0.85</c:v>
                </c:pt>
                <c:pt idx="8">
                  <c:v>0.95</c:v>
                </c:pt>
              </c:numCache>
            </c:numRef>
          </c:cat>
          <c:val>
            <c:numRef>
              <c:f>INVENTORY!$C$167:$C$175</c:f>
              <c:numCache>
                <c:formatCode>_("$"* #,##0_);_("$"* \(#,##0\);_("$"* "-"??_);_(@_)</c:formatCode>
                <c:ptCount val="9"/>
                <c:pt idx="0">
                  <c:v>2998.3355817977226</c:v>
                </c:pt>
                <c:pt idx="1">
                  <c:v>3015.7285743953353</c:v>
                </c:pt>
                <c:pt idx="2">
                  <c:v>3033.1215669929479</c:v>
                </c:pt>
                <c:pt idx="3">
                  <c:v>3050.514559590561</c:v>
                </c:pt>
                <c:pt idx="4">
                  <c:v>3067.9075521881737</c:v>
                </c:pt>
                <c:pt idx="5">
                  <c:v>3085.3005447857863</c:v>
                </c:pt>
                <c:pt idx="6">
                  <c:v>3102.6935373833994</c:v>
                </c:pt>
                <c:pt idx="7">
                  <c:v>3120.0865299810121</c:v>
                </c:pt>
                <c:pt idx="8">
                  <c:v>3137.4795225786247</c:v>
                </c:pt>
              </c:numCache>
            </c:numRef>
          </c:val>
          <c:extLst>
            <c:ext xmlns:c16="http://schemas.microsoft.com/office/drawing/2014/chart" uri="{C3380CC4-5D6E-409C-BE32-E72D297353CC}">
              <c16:uniqueId val="{00000000-AFC8-426D-A51D-077C516ECD1B}"/>
            </c:ext>
          </c:extLst>
        </c:ser>
        <c:dLbls>
          <c:showLegendKey val="0"/>
          <c:showVal val="0"/>
          <c:showCatName val="0"/>
          <c:showSerName val="0"/>
          <c:showPercent val="0"/>
          <c:showBubbleSize val="0"/>
        </c:dLbls>
        <c:gapWidth val="219"/>
        <c:overlap val="-27"/>
        <c:axId val="1998742671"/>
        <c:axId val="1998753071"/>
      </c:barChart>
      <c:catAx>
        <c:axId val="199874267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53071"/>
        <c:crosses val="autoZero"/>
        <c:auto val="1"/>
        <c:lblAlgn val="ctr"/>
        <c:lblOffset val="100"/>
        <c:noMultiLvlLbl val="0"/>
      </c:catAx>
      <c:valAx>
        <c:axId val="19987530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74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pattFill prst="ltUpDiag">
              <a:fgClr>
                <a:schemeClr val="accent1"/>
              </a:fgClr>
              <a:bgClr>
                <a:schemeClr val="lt1"/>
              </a:bgClr>
            </a:pattFill>
            <a:ln>
              <a:noFill/>
            </a:ln>
            <a:effectLst/>
          </c:spPr>
          <c:invertIfNegative val="0"/>
          <c:cat>
            <c:numRef>
              <c:f>INVENTORY!$B$178:$B$188</c:f>
              <c:numCache>
                <c:formatCode>#,##0</c:formatCode>
                <c:ptCount val="11"/>
                <c:pt idx="0">
                  <c:v>1000000</c:v>
                </c:pt>
                <c:pt idx="1">
                  <c:v>1200000</c:v>
                </c:pt>
                <c:pt idx="2">
                  <c:v>1400000</c:v>
                </c:pt>
                <c:pt idx="3">
                  <c:v>1600000</c:v>
                </c:pt>
                <c:pt idx="4">
                  <c:v>1800000</c:v>
                </c:pt>
                <c:pt idx="5">
                  <c:v>2000000</c:v>
                </c:pt>
                <c:pt idx="6">
                  <c:v>2200000</c:v>
                </c:pt>
                <c:pt idx="7">
                  <c:v>2400000</c:v>
                </c:pt>
                <c:pt idx="8">
                  <c:v>2600000</c:v>
                </c:pt>
                <c:pt idx="9">
                  <c:v>2800000</c:v>
                </c:pt>
                <c:pt idx="10">
                  <c:v>3000000</c:v>
                </c:pt>
              </c:numCache>
            </c:numRef>
          </c:cat>
          <c:val>
            <c:numRef>
              <c:f>INVENTORY!$C$178:$C$188</c:f>
              <c:numCache>
                <c:formatCode>_("$"* #,##0_);_("$"* \(#,##0\);_("$"* "-"??_);_(@_)</c:formatCode>
                <c:ptCount val="11"/>
                <c:pt idx="0">
                  <c:v>2975.5779481805184</c:v>
                </c:pt>
                <c:pt idx="1">
                  <c:v>3000.0523296272131</c:v>
                </c:pt>
                <c:pt idx="2">
                  <c:v>3024.5267110739078</c:v>
                </c:pt>
                <c:pt idx="3">
                  <c:v>3049.001092520602</c:v>
                </c:pt>
                <c:pt idx="4">
                  <c:v>3073.4754739672967</c:v>
                </c:pt>
                <c:pt idx="5">
                  <c:v>3097.9498554139914</c:v>
                </c:pt>
                <c:pt idx="6">
                  <c:v>3122.4242368606856</c:v>
                </c:pt>
                <c:pt idx="7">
                  <c:v>3146.8986183073803</c:v>
                </c:pt>
                <c:pt idx="8">
                  <c:v>3171.372999754075</c:v>
                </c:pt>
                <c:pt idx="9">
                  <c:v>3195.8473812007696</c:v>
                </c:pt>
                <c:pt idx="10">
                  <c:v>3220.3217626474639</c:v>
                </c:pt>
              </c:numCache>
            </c:numRef>
          </c:val>
          <c:extLst>
            <c:ext xmlns:c16="http://schemas.microsoft.com/office/drawing/2014/chart" uri="{C3380CC4-5D6E-409C-BE32-E72D297353CC}">
              <c16:uniqueId val="{00000000-5390-4C47-8032-5F8D55EE4081}"/>
            </c:ext>
          </c:extLst>
        </c:ser>
        <c:dLbls>
          <c:showLegendKey val="0"/>
          <c:showVal val="0"/>
          <c:showCatName val="0"/>
          <c:showSerName val="0"/>
          <c:showPercent val="0"/>
          <c:showBubbleSize val="0"/>
        </c:dLbls>
        <c:gapWidth val="269"/>
        <c:overlap val="-20"/>
        <c:axId val="1998743503"/>
        <c:axId val="1998748495"/>
      </c:barChart>
      <c:catAx>
        <c:axId val="1998743503"/>
        <c:scaling>
          <c:orientation val="minMax"/>
        </c:scaling>
        <c:delete val="0"/>
        <c:axPos val="l"/>
        <c:numFmt formatCode="#,##0"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98748495"/>
        <c:crosses val="autoZero"/>
        <c:auto val="1"/>
        <c:lblAlgn val="ctr"/>
        <c:lblOffset val="100"/>
        <c:noMultiLvlLbl val="0"/>
      </c:catAx>
      <c:valAx>
        <c:axId val="1998748495"/>
        <c:scaling>
          <c:orientation val="minMax"/>
        </c:scaling>
        <c:delete val="0"/>
        <c:axPos val="b"/>
        <c:majorGridlines>
          <c:spPr>
            <a:ln w="9525" cap="flat" cmpd="sng" algn="ctr">
              <a:solidFill>
                <a:schemeClr val="lt1">
                  <a:alpha val="2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98743503"/>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Manufacturing Cost Distribution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06-E34B-963B-513DD1C3A4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06-E34B-963B-513DD1C3A4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06-E34B-963B-513DD1C3A489}"/>
              </c:ext>
            </c:extLst>
          </c:dPt>
          <c:dLbls>
            <c:dLbl>
              <c:idx val="0"/>
              <c:layout>
                <c:manualLayout>
                  <c:x val="-2.8409090909091012E-2"/>
                  <c:y val="2.16925175596169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06-E34B-963B-513DD1C3A489}"/>
                </c:ext>
              </c:extLst>
            </c:dLbl>
            <c:dLbl>
              <c:idx val="1"/>
              <c:layout>
                <c:manualLayout>
                  <c:x val="1.7045454545454544E-2"/>
                  <c:y val="-1.336295493663767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06-E34B-963B-513DD1C3A489}"/>
                </c:ext>
              </c:extLst>
            </c:dLbl>
            <c:dLbl>
              <c:idx val="2"/>
              <c:layout>
                <c:manualLayout>
                  <c:x val="-0.10210764137437366"/>
                  <c:y val="9.0495400753562522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3771586435218325"/>
                      <c:h val="0.12806769226936035"/>
                    </c:manualLayout>
                  </c15:layout>
                </c:ext>
                <c:ext xmlns:c16="http://schemas.microsoft.com/office/drawing/2014/chart" uri="{C3380CC4-5D6E-409C-BE32-E72D297353CC}">
                  <c16:uniqueId val="{00000005-2A06-E34B-963B-513DD1C3A48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(INDICATORS!$B$9,INDICATORS!$B$15,INDICATORS!$B$20)</c:f>
              <c:strCache>
                <c:ptCount val="3"/>
                <c:pt idx="0">
                  <c:v>Raw Materials</c:v>
                </c:pt>
                <c:pt idx="1">
                  <c:v>Labor</c:v>
                </c:pt>
                <c:pt idx="2">
                  <c:v>Manufacturing Overhead</c:v>
                </c:pt>
              </c:strCache>
            </c:strRef>
          </c:cat>
          <c:val>
            <c:numRef>
              <c:f>(INDICATORS!$E$9,INDICATORS!$E$15,INDICATORS!$E$20)</c:f>
              <c:numCache>
                <c:formatCode>0.0%</c:formatCode>
                <c:ptCount val="3"/>
                <c:pt idx="0">
                  <c:v>0.55944440006865226</c:v>
                </c:pt>
                <c:pt idx="1">
                  <c:v>0.35220237775069851</c:v>
                </c:pt>
                <c:pt idx="2">
                  <c:v>8.835322218064913E-2</c:v>
                </c:pt>
              </c:numCache>
            </c:numRef>
          </c:val>
          <c:extLst>
            <c:ext xmlns:c16="http://schemas.microsoft.com/office/drawing/2014/chart" uri="{C3380CC4-5D6E-409C-BE32-E72D297353CC}">
              <c16:uniqueId val="{00000006-2A06-E34B-963B-513DD1C3A4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Production Cost Curve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8"/>
              <c:layout>
                <c:manualLayout>
                  <c:x val="-3.3227843961446728E-2"/>
                  <c:y val="-4.08719565276859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C7-3C49-9F8F-553BFAC53F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INVENTORY!$B$118:$B$136</c:f>
              <c:numCache>
                <c:formatCode>#,##0</c:formatCode>
                <c:ptCount val="19"/>
                <c:pt idx="0">
                  <c:v>1000</c:v>
                </c:pt>
                <c:pt idx="1">
                  <c:v>2000</c:v>
                </c:pt>
                <c:pt idx="2">
                  <c:v>3000</c:v>
                </c:pt>
                <c:pt idx="3">
                  <c:v>4000</c:v>
                </c:pt>
                <c:pt idx="4">
                  <c:v>5000</c:v>
                </c:pt>
                <c:pt idx="5">
                  <c:v>6000</c:v>
                </c:pt>
                <c:pt idx="6">
                  <c:v>7000</c:v>
                </c:pt>
                <c:pt idx="7">
                  <c:v>8000</c:v>
                </c:pt>
                <c:pt idx="8">
                  <c:v>9000</c:v>
                </c:pt>
                <c:pt idx="9">
                  <c:v>10000</c:v>
                </c:pt>
                <c:pt idx="10">
                  <c:v>20000</c:v>
                </c:pt>
                <c:pt idx="11">
                  <c:v>30000</c:v>
                </c:pt>
                <c:pt idx="12">
                  <c:v>40000</c:v>
                </c:pt>
                <c:pt idx="13">
                  <c:v>50000</c:v>
                </c:pt>
                <c:pt idx="14">
                  <c:v>60000</c:v>
                </c:pt>
                <c:pt idx="15">
                  <c:v>70000</c:v>
                </c:pt>
                <c:pt idx="16">
                  <c:v>80000</c:v>
                </c:pt>
                <c:pt idx="17">
                  <c:v>90000</c:v>
                </c:pt>
                <c:pt idx="18">
                  <c:v>100000</c:v>
                </c:pt>
              </c:numCache>
            </c:numRef>
          </c:xVal>
          <c:yVal>
            <c:numRef>
              <c:f>INVENTORY!$C$118:$C$136</c:f>
              <c:numCache>
                <c:formatCode>_("$"* #,##0_);_("$"* \(#,##0\);_("$"* "-"??_);_(@_)</c:formatCode>
                <c:ptCount val="19"/>
                <c:pt idx="0">
                  <c:v>4167.6480047544428</c:v>
                </c:pt>
                <c:pt idx="1">
                  <c:v>3067.9075521881737</c:v>
                </c:pt>
                <c:pt idx="2">
                  <c:v>2698.9700454361669</c:v>
                </c:pt>
                <c:pt idx="3">
                  <c:v>2513.5587700389497</c:v>
                </c:pt>
                <c:pt idx="4">
                  <c:v>2401.8202477563177</c:v>
                </c:pt>
                <c:pt idx="5">
                  <c:v>2327.0321631324487</c:v>
                </c:pt>
                <c:pt idx="6">
                  <c:v>2273.4174967376771</c:v>
                </c:pt>
                <c:pt idx="7">
                  <c:v>2233.0701729964294</c:v>
                </c:pt>
                <c:pt idx="8">
                  <c:v>2201.5889175491534</c:v>
                </c:pt>
                <c:pt idx="9">
                  <c:v>2176.3279053739752</c:v>
                </c:pt>
                <c:pt idx="10">
                  <c:v>2061.3443004639876</c:v>
                </c:pt>
                <c:pt idx="11">
                  <c:v>2022.1394340839975</c:v>
                </c:pt>
                <c:pt idx="12">
                  <c:v>2002.1837440177021</c:v>
                </c:pt>
                <c:pt idx="13">
                  <c:v>1990.0251003226074</c:v>
                </c:pt>
                <c:pt idx="14">
                  <c:v>1981.8075204098877</c:v>
                </c:pt>
                <c:pt idx="15">
                  <c:v>1975.8640141238352</c:v>
                </c:pt>
                <c:pt idx="16">
                  <c:v>1971.3545483636908</c:v>
                </c:pt>
                <c:pt idx="17">
                  <c:v>1967.8090755600824</c:v>
                </c:pt>
                <c:pt idx="18">
                  <c:v>1964.9436743722783</c:v>
                </c:pt>
              </c:numCache>
            </c:numRef>
          </c:yVal>
          <c:smooth val="0"/>
          <c:extLst>
            <c:ext xmlns:c16="http://schemas.microsoft.com/office/drawing/2014/chart" uri="{C3380CC4-5D6E-409C-BE32-E72D297353CC}">
              <c16:uniqueId val="{00000001-97C7-3C49-9F8F-553BFAC53FE3}"/>
            </c:ext>
          </c:extLst>
        </c:ser>
        <c:dLbls>
          <c:showLegendKey val="0"/>
          <c:showVal val="0"/>
          <c:showCatName val="0"/>
          <c:showSerName val="0"/>
          <c:showPercent val="0"/>
          <c:showBubbleSize val="0"/>
        </c:dLbls>
        <c:axId val="236816592"/>
        <c:axId val="236816984"/>
      </c:scatterChart>
      <c:valAx>
        <c:axId val="236816592"/>
        <c:scaling>
          <c:orientation val="minMax"/>
          <c:max val="1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Annual Production</a:t>
                </a:r>
                <a:r>
                  <a:rPr lang="en-US" sz="1200" baseline="0"/>
                  <a:t> Volume (kg/year)</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6816984"/>
        <c:crosses val="autoZero"/>
        <c:crossBetween val="midCat"/>
        <c:majorUnit val="20000"/>
      </c:valAx>
      <c:valAx>
        <c:axId val="23681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Manufacturing Cost ($/kg)</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6816592"/>
        <c:crosses val="autoZero"/>
        <c:crossBetween val="midCat"/>
        <c:majorUnit val="1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575733</xdr:colOff>
      <xdr:row>118</xdr:row>
      <xdr:rowOff>160867</xdr:rowOff>
    </xdr:from>
    <xdr:to>
      <xdr:col>11</xdr:col>
      <xdr:colOff>262467</xdr:colOff>
      <xdr:row>134</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164</xdr:row>
      <xdr:rowOff>156937</xdr:rowOff>
    </xdr:from>
    <xdr:to>
      <xdr:col>9</xdr:col>
      <xdr:colOff>45357</xdr:colOff>
      <xdr:row>175</xdr:row>
      <xdr:rowOff>36286</xdr:rowOff>
    </xdr:to>
    <xdr:graphicFrame macro="">
      <xdr:nvGraphicFramePr>
        <xdr:cNvPr id="5" name="Chart 4">
          <a:extLst>
            <a:ext uri="{FF2B5EF4-FFF2-40B4-BE49-F238E27FC236}">
              <a16:creationId xmlns:a16="http://schemas.microsoft.com/office/drawing/2014/main" id="{3958572D-B3CD-D4A7-D348-D8F3F1947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327990</xdr:colOff>
      <xdr:row>175</xdr:row>
      <xdr:rowOff>192156</xdr:rowOff>
    </xdr:from>
    <xdr:to>
      <xdr:col>9</xdr:col>
      <xdr:colOff>271670</xdr:colOff>
      <xdr:row>188</xdr:row>
      <xdr:rowOff>6626</xdr:rowOff>
    </xdr:to>
    <xdr:graphicFrame macro="">
      <xdr:nvGraphicFramePr>
        <xdr:cNvPr id="6" name="Chart 5">
          <a:extLst>
            <a:ext uri="{FF2B5EF4-FFF2-40B4-BE49-F238E27FC236}">
              <a16:creationId xmlns:a16="http://schemas.microsoft.com/office/drawing/2014/main" id="{00AA2444-A74E-374F-D566-095EA34A3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6</xdr:row>
      <xdr:rowOff>165101</xdr:rowOff>
    </xdr:from>
    <xdr:to>
      <xdr:col>11</xdr:col>
      <xdr:colOff>571500</xdr:colOff>
      <xdr:row>28</xdr:row>
      <xdr:rowOff>38101</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330201</xdr:colOff>
      <xdr:row>53</xdr:row>
      <xdr:rowOff>8619</xdr:rowOff>
    </xdr:from>
    <xdr:to>
      <xdr:col>18</xdr:col>
      <xdr:colOff>203201</xdr:colOff>
      <xdr:row>69</xdr:row>
      <xdr:rowOff>310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1" y="16366219"/>
          <a:ext cx="3886200" cy="3103191"/>
        </a:xfrm>
        <a:prstGeom prst="rect">
          <a:avLst/>
        </a:prstGeom>
        <a:ln>
          <a:solidFill>
            <a:sysClr val="windowText" lastClr="000000"/>
          </a:solidFill>
        </a:ln>
      </xdr:spPr>
    </xdr:pic>
    <xdr:clientData/>
  </xdr:twoCellAnchor>
  <xdr:twoCellAnchor>
    <xdr:from>
      <xdr:col>1</xdr:col>
      <xdr:colOff>2319866</xdr:colOff>
      <xdr:row>21</xdr:row>
      <xdr:rowOff>194733</xdr:rowOff>
    </xdr:from>
    <xdr:to>
      <xdr:col>8</xdr:col>
      <xdr:colOff>414867</xdr:colOff>
      <xdr:row>37</xdr:row>
      <xdr:rowOff>186264</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88"/>
  <sheetViews>
    <sheetView tabSelected="1" topLeftCell="A35" zoomScale="82" zoomScaleNormal="55" workbookViewId="0">
      <selection activeCell="C20" sqref="C20"/>
    </sheetView>
  </sheetViews>
  <sheetFormatPr defaultColWidth="8.796875" defaultRowHeight="15.45" customHeight="1" x14ac:dyDescent="0.3"/>
  <cols>
    <col min="1" max="1" width="3.69921875" customWidth="1"/>
    <col min="2" max="2" width="34.296875" customWidth="1"/>
    <col min="3" max="4" width="12.796875" customWidth="1"/>
    <col min="5" max="5" width="8.796875" customWidth="1"/>
    <col min="12" max="12" width="8.796875" customWidth="1"/>
  </cols>
  <sheetData>
    <row r="1" spans="2:12" ht="15.45" customHeight="1" thickBot="1" x14ac:dyDescent="0.35"/>
    <row r="2" spans="2:12" ht="15.45" customHeight="1" x14ac:dyDescent="0.3">
      <c r="B2" s="74" t="s">
        <v>41</v>
      </c>
      <c r="C2" s="75"/>
      <c r="D2" s="75"/>
      <c r="E2" s="75"/>
      <c r="F2" s="75"/>
      <c r="G2" s="75"/>
      <c r="H2" s="75"/>
      <c r="I2" s="75"/>
      <c r="J2" s="75"/>
      <c r="K2" s="75"/>
      <c r="L2" s="76"/>
    </row>
    <row r="3" spans="2:12" ht="15.45" customHeight="1" thickBot="1" x14ac:dyDescent="0.35">
      <c r="B3" s="77"/>
      <c r="C3" s="78"/>
      <c r="D3" s="78"/>
      <c r="E3" s="78"/>
      <c r="F3" s="78"/>
      <c r="G3" s="78"/>
      <c r="H3" s="78"/>
      <c r="I3" s="78"/>
      <c r="J3" s="78"/>
      <c r="K3" s="78"/>
      <c r="L3" s="79"/>
    </row>
    <row r="4" spans="2:12" ht="15.45" customHeight="1" thickBot="1" x14ac:dyDescent="0.35"/>
    <row r="5" spans="2:12" ht="15.45" customHeight="1" x14ac:dyDescent="0.3">
      <c r="B5" s="80" t="s">
        <v>200</v>
      </c>
      <c r="C5" s="81"/>
      <c r="D5" s="81"/>
      <c r="E5" s="81"/>
      <c r="F5" s="81"/>
      <c r="G5" s="81"/>
      <c r="H5" s="81"/>
      <c r="I5" s="81"/>
      <c r="J5" s="81"/>
      <c r="K5" s="81"/>
      <c r="L5" s="82"/>
    </row>
    <row r="6" spans="2:12" ht="15.45" customHeight="1" thickBot="1" x14ac:dyDescent="0.35">
      <c r="B6" s="83"/>
      <c r="C6" s="84"/>
      <c r="D6" s="84"/>
      <c r="E6" s="84"/>
      <c r="F6" s="84"/>
      <c r="G6" s="84"/>
      <c r="H6" s="84"/>
      <c r="I6" s="84"/>
      <c r="J6" s="84"/>
      <c r="K6" s="84"/>
      <c r="L6" s="85"/>
    </row>
    <row r="8" spans="2:12" ht="15.45" customHeight="1" x14ac:dyDescent="0.3">
      <c r="B8" s="51" t="s">
        <v>72</v>
      </c>
      <c r="C8" s="51" t="s">
        <v>43</v>
      </c>
      <c r="D8" s="51" t="s">
        <v>25</v>
      </c>
      <c r="E8" s="86" t="s">
        <v>47</v>
      </c>
      <c r="F8" s="86"/>
      <c r="G8" s="86"/>
      <c r="H8" s="86"/>
      <c r="I8" s="86"/>
      <c r="J8" s="86"/>
      <c r="K8" s="86"/>
      <c r="L8" s="86"/>
    </row>
    <row r="9" spans="2:12" ht="15.45" customHeight="1" x14ac:dyDescent="0.3">
      <c r="B9" t="s">
        <v>73</v>
      </c>
      <c r="C9" s="11">
        <v>2000</v>
      </c>
      <c r="D9" t="s">
        <v>211</v>
      </c>
      <c r="E9" s="73" t="s">
        <v>184</v>
      </c>
      <c r="F9" s="73"/>
      <c r="G9" s="73"/>
      <c r="H9" s="73"/>
      <c r="I9" s="73"/>
      <c r="J9" s="73"/>
      <c r="K9" s="73"/>
      <c r="L9" s="73"/>
    </row>
    <row r="10" spans="2:12" ht="15.45" customHeight="1" x14ac:dyDescent="0.3">
      <c r="B10" t="s">
        <v>28</v>
      </c>
      <c r="C10" s="21">
        <v>0.9</v>
      </c>
      <c r="D10" t="s">
        <v>3</v>
      </c>
      <c r="E10" s="73" t="s">
        <v>80</v>
      </c>
      <c r="F10" s="73"/>
      <c r="G10" s="73"/>
      <c r="H10" s="73"/>
      <c r="I10" s="73"/>
      <c r="J10" s="73"/>
      <c r="K10" s="73"/>
      <c r="L10" s="73"/>
    </row>
    <row r="11" spans="2:12" ht="15.45" customHeight="1" x14ac:dyDescent="0.3">
      <c r="B11" t="s">
        <v>79</v>
      </c>
      <c r="C11" s="11">
        <v>4</v>
      </c>
      <c r="D11" t="s">
        <v>30</v>
      </c>
      <c r="E11" s="73" t="s">
        <v>81</v>
      </c>
      <c r="F11" s="73"/>
      <c r="G11" s="73"/>
      <c r="H11" s="73"/>
      <c r="I11" s="73"/>
      <c r="J11" s="73"/>
      <c r="K11" s="73"/>
      <c r="L11" s="73"/>
    </row>
    <row r="12" spans="2:12" ht="15.45" customHeight="1" x14ac:dyDescent="0.3">
      <c r="B12" t="s">
        <v>181</v>
      </c>
      <c r="C12" s="11">
        <v>1200</v>
      </c>
      <c r="D12" t="s">
        <v>50</v>
      </c>
      <c r="E12" s="73" t="s">
        <v>182</v>
      </c>
      <c r="F12" s="73"/>
      <c r="G12" s="73"/>
      <c r="H12" s="73"/>
      <c r="I12" s="73"/>
      <c r="J12" s="73"/>
      <c r="K12" s="73"/>
      <c r="L12" s="73"/>
    </row>
    <row r="13" spans="2:12" ht="15.45" customHeight="1" thickBot="1" x14ac:dyDescent="0.35"/>
    <row r="14" spans="2:12" ht="15.45" customHeight="1" x14ac:dyDescent="0.3">
      <c r="B14" s="61" t="s">
        <v>196</v>
      </c>
      <c r="C14" s="62"/>
      <c r="D14" s="62"/>
      <c r="E14" s="62"/>
      <c r="F14" s="62"/>
      <c r="G14" s="62"/>
      <c r="H14" s="62"/>
      <c r="I14" s="62"/>
      <c r="J14" s="62"/>
      <c r="K14" s="62"/>
      <c r="L14" s="63"/>
    </row>
    <row r="15" spans="2:12" ht="15.45" customHeight="1" thickBot="1" x14ac:dyDescent="0.35">
      <c r="B15" s="64"/>
      <c r="C15" s="65"/>
      <c r="D15" s="65"/>
      <c r="E15" s="65"/>
      <c r="F15" s="65"/>
      <c r="G15" s="65"/>
      <c r="H15" s="65"/>
      <c r="I15" s="65"/>
      <c r="J15" s="65"/>
      <c r="K15" s="65"/>
      <c r="L15" s="66"/>
    </row>
    <row r="17" spans="2:15" ht="15.45" customHeight="1" x14ac:dyDescent="0.3">
      <c r="B17" s="51" t="s">
        <v>195</v>
      </c>
      <c r="C17" s="51" t="s">
        <v>74</v>
      </c>
      <c r="D17" s="51" t="s">
        <v>48</v>
      </c>
      <c r="E17" s="86" t="s">
        <v>47</v>
      </c>
      <c r="F17" s="86"/>
      <c r="G17" s="86"/>
      <c r="H17" s="86"/>
      <c r="I17" s="86"/>
      <c r="J17" s="86"/>
      <c r="K17" s="86"/>
      <c r="L17" s="86"/>
    </row>
    <row r="18" spans="2:15" ht="15.45" customHeight="1" x14ac:dyDescent="0.3">
      <c r="B18" t="s">
        <v>39</v>
      </c>
      <c r="C18">
        <v>0</v>
      </c>
      <c r="D18" s="25" t="str">
        <f>IF(C18=1,"ON","OFF")</f>
        <v>OFF</v>
      </c>
      <c r="E18" s="73" t="s">
        <v>170</v>
      </c>
      <c r="F18" s="73"/>
      <c r="G18" s="73"/>
      <c r="H18" s="73"/>
      <c r="I18" s="73"/>
      <c r="J18" s="73"/>
      <c r="K18" s="73"/>
      <c r="L18" s="73"/>
    </row>
    <row r="19" spans="2:15" ht="15.45" customHeight="1" x14ac:dyDescent="0.3">
      <c r="B19" t="s">
        <v>40</v>
      </c>
      <c r="C19">
        <v>0</v>
      </c>
      <c r="D19" s="25" t="str">
        <f t="shared" ref="D19" si="0">IF(C19=1,"ON","OFF")</f>
        <v>OFF</v>
      </c>
      <c r="E19" s="73" t="s">
        <v>171</v>
      </c>
      <c r="F19" s="73"/>
      <c r="G19" s="73"/>
      <c r="H19" s="73"/>
      <c r="I19" s="73"/>
      <c r="J19" s="73"/>
      <c r="K19" s="73"/>
      <c r="L19" s="73"/>
    </row>
    <row r="20" spans="2:15" ht="15.45" customHeight="1" thickBot="1" x14ac:dyDescent="0.35">
      <c r="C20" s="11"/>
      <c r="E20" s="31"/>
      <c r="F20" s="31"/>
      <c r="G20" s="31"/>
      <c r="H20" s="31"/>
      <c r="I20" s="31"/>
      <c r="J20" s="31"/>
      <c r="K20" s="31"/>
      <c r="L20" s="31"/>
    </row>
    <row r="21" spans="2:15" ht="15.45" customHeight="1" x14ac:dyDescent="0.3">
      <c r="B21" s="61" t="s">
        <v>42</v>
      </c>
      <c r="C21" s="62"/>
      <c r="D21" s="62"/>
      <c r="E21" s="62"/>
      <c r="F21" s="62"/>
      <c r="G21" s="62"/>
      <c r="H21" s="62"/>
      <c r="I21" s="62"/>
      <c r="J21" s="62"/>
      <c r="K21" s="62"/>
      <c r="L21" s="63"/>
    </row>
    <row r="22" spans="2:15" ht="15.45" customHeight="1" thickBot="1" x14ac:dyDescent="0.35">
      <c r="B22" s="64"/>
      <c r="C22" s="65"/>
      <c r="D22" s="65"/>
      <c r="E22" s="65"/>
      <c r="F22" s="65"/>
      <c r="G22" s="65"/>
      <c r="H22" s="65"/>
      <c r="I22" s="65"/>
      <c r="J22" s="65"/>
      <c r="K22" s="65"/>
      <c r="L22" s="66"/>
    </row>
    <row r="24" spans="2:15" ht="15.45" customHeight="1" x14ac:dyDescent="0.3">
      <c r="B24" s="51" t="s">
        <v>44</v>
      </c>
      <c r="C24" s="51" t="s">
        <v>43</v>
      </c>
      <c r="D24" s="51" t="s">
        <v>25</v>
      </c>
      <c r="E24" s="86" t="s">
        <v>47</v>
      </c>
      <c r="F24" s="86"/>
      <c r="G24" s="86"/>
      <c r="H24" s="86"/>
      <c r="I24" s="86"/>
      <c r="J24" s="86"/>
      <c r="K24" s="86"/>
      <c r="L24" s="86"/>
    </row>
    <row r="25" spans="2:15" ht="15.45" customHeight="1" x14ac:dyDescent="0.3">
      <c r="B25" s="30" t="s">
        <v>45</v>
      </c>
    </row>
    <row r="26" spans="2:15" ht="15.45" customHeight="1" x14ac:dyDescent="0.3">
      <c r="B26" t="s">
        <v>58</v>
      </c>
      <c r="C26">
        <v>23.4</v>
      </c>
      <c r="D26" t="s">
        <v>21</v>
      </c>
      <c r="E26" s="73" t="s">
        <v>147</v>
      </c>
      <c r="F26" s="73"/>
      <c r="G26" s="73"/>
      <c r="H26" s="73"/>
      <c r="I26" s="73"/>
      <c r="J26" s="73"/>
      <c r="K26" s="73"/>
      <c r="L26" s="73"/>
    </row>
    <row r="27" spans="2:15" ht="15.45" customHeight="1" x14ac:dyDescent="0.3">
      <c r="B27" t="s">
        <v>59</v>
      </c>
      <c r="C27">
        <v>15.6</v>
      </c>
      <c r="D27" t="s">
        <v>201</v>
      </c>
      <c r="E27" s="73" t="s">
        <v>148</v>
      </c>
      <c r="F27" s="73"/>
      <c r="G27" s="73"/>
      <c r="H27" s="73"/>
      <c r="I27" s="73"/>
      <c r="J27" s="73"/>
      <c r="K27" s="73"/>
      <c r="L27" s="73"/>
    </row>
    <row r="28" spans="2:15" ht="15.45" customHeight="1" x14ac:dyDescent="0.4">
      <c r="B28" t="s">
        <v>102</v>
      </c>
      <c r="C28" s="6">
        <v>9.8849999999999998</v>
      </c>
      <c r="D28" t="s">
        <v>21</v>
      </c>
      <c r="E28" s="73" t="s">
        <v>149</v>
      </c>
      <c r="F28" s="73"/>
      <c r="G28" s="73"/>
      <c r="H28" s="73"/>
      <c r="I28" s="73"/>
      <c r="J28" s="73"/>
      <c r="K28" s="73"/>
      <c r="L28" s="73"/>
    </row>
    <row r="29" spans="2:15" ht="15.45" customHeight="1" x14ac:dyDescent="0.3">
      <c r="B29" t="s">
        <v>95</v>
      </c>
      <c r="C29" s="6">
        <v>30.2</v>
      </c>
      <c r="D29" t="s">
        <v>21</v>
      </c>
      <c r="E29" s="73" t="s">
        <v>98</v>
      </c>
      <c r="F29" s="73"/>
      <c r="G29" s="73"/>
      <c r="H29" s="73"/>
      <c r="I29" s="73"/>
      <c r="J29" s="73"/>
      <c r="K29" s="73"/>
      <c r="L29" s="73"/>
    </row>
    <row r="30" spans="2:15" ht="15.45" customHeight="1" x14ac:dyDescent="0.3">
      <c r="O30" s="60"/>
    </row>
    <row r="31" spans="2:15" ht="15.45" customHeight="1" x14ac:dyDescent="0.3">
      <c r="B31" s="19" t="s">
        <v>46</v>
      </c>
    </row>
    <row r="32" spans="2:15" ht="15.45" customHeight="1" x14ac:dyDescent="0.3">
      <c r="B32" t="s">
        <v>60</v>
      </c>
      <c r="C32" s="6">
        <v>50.25</v>
      </c>
      <c r="D32" t="s">
        <v>201</v>
      </c>
      <c r="E32" s="73" t="s">
        <v>150</v>
      </c>
      <c r="F32" s="73"/>
      <c r="G32" s="73"/>
      <c r="H32" s="73"/>
      <c r="I32" s="73"/>
      <c r="J32" s="73"/>
      <c r="K32" s="73"/>
      <c r="L32" s="73"/>
    </row>
    <row r="33" spans="2:12" ht="15.45" customHeight="1" thickBot="1" x14ac:dyDescent="0.35"/>
    <row r="34" spans="2:12" ht="15.45" customHeight="1" x14ac:dyDescent="0.3">
      <c r="B34" s="61" t="s">
        <v>175</v>
      </c>
      <c r="C34" s="62"/>
      <c r="D34" s="62"/>
      <c r="E34" s="62"/>
      <c r="F34" s="62"/>
      <c r="G34" s="62"/>
      <c r="H34" s="62"/>
      <c r="I34" s="62"/>
      <c r="J34" s="62"/>
      <c r="K34" s="62"/>
      <c r="L34" s="63"/>
    </row>
    <row r="35" spans="2:12" ht="15.45" customHeight="1" thickBot="1" x14ac:dyDescent="0.35">
      <c r="B35" s="64"/>
      <c r="C35" s="65"/>
      <c r="D35" s="65"/>
      <c r="E35" s="65"/>
      <c r="F35" s="65"/>
      <c r="G35" s="65"/>
      <c r="H35" s="65"/>
      <c r="I35" s="65"/>
      <c r="J35" s="65"/>
      <c r="K35" s="65"/>
      <c r="L35" s="66"/>
    </row>
    <row r="37" spans="2:12" ht="15.45" customHeight="1" x14ac:dyDescent="0.3">
      <c r="B37" s="51" t="s">
        <v>83</v>
      </c>
      <c r="C37" s="51" t="s">
        <v>43</v>
      </c>
      <c r="D37" s="51" t="s">
        <v>25</v>
      </c>
      <c r="E37" s="86" t="s">
        <v>47</v>
      </c>
      <c r="F37" s="86"/>
      <c r="G37" s="86"/>
      <c r="H37" s="86"/>
      <c r="I37" s="86"/>
      <c r="J37" s="86"/>
      <c r="K37" s="86"/>
      <c r="L37" s="86"/>
    </row>
    <row r="38" spans="2:12" ht="15.45" customHeight="1" x14ac:dyDescent="0.3">
      <c r="B38" t="s">
        <v>82</v>
      </c>
      <c r="C38">
        <v>2021</v>
      </c>
      <c r="D38" t="s">
        <v>66</v>
      </c>
      <c r="E38" s="73" t="s">
        <v>85</v>
      </c>
      <c r="F38" s="73"/>
      <c r="G38" s="73"/>
      <c r="H38" s="73"/>
      <c r="I38" s="73"/>
      <c r="J38" s="73"/>
      <c r="K38" s="73"/>
      <c r="L38" s="73"/>
    </row>
    <row r="39" spans="2:12" ht="15.45" customHeight="1" x14ac:dyDescent="0.3">
      <c r="B39" t="s">
        <v>2</v>
      </c>
      <c r="C39" s="33" t="s">
        <v>86</v>
      </c>
      <c r="D39" t="s">
        <v>84</v>
      </c>
      <c r="E39" s="73" t="s">
        <v>213</v>
      </c>
      <c r="F39" s="73"/>
      <c r="G39" s="73"/>
      <c r="H39" s="73"/>
      <c r="I39" s="73"/>
      <c r="J39" s="73"/>
      <c r="K39" s="73"/>
      <c r="L39" s="73"/>
    </row>
    <row r="41" spans="2:12" ht="15.45" customHeight="1" x14ac:dyDescent="0.3">
      <c r="B41" s="51" t="s">
        <v>44</v>
      </c>
      <c r="C41" s="51" t="s">
        <v>43</v>
      </c>
      <c r="D41" s="51" t="s">
        <v>25</v>
      </c>
      <c r="E41" s="86" t="s">
        <v>47</v>
      </c>
      <c r="F41" s="86"/>
      <c r="G41" s="86"/>
      <c r="H41" s="86"/>
      <c r="I41" s="86"/>
      <c r="J41" s="86"/>
      <c r="K41" s="86"/>
      <c r="L41" s="86"/>
    </row>
    <row r="42" spans="2:12" ht="15.45" customHeight="1" x14ac:dyDescent="0.3">
      <c r="B42" t="s">
        <v>58</v>
      </c>
      <c r="C42" s="6">
        <v>7.65</v>
      </c>
      <c r="D42" t="s">
        <v>50</v>
      </c>
      <c r="E42" s="73" t="s">
        <v>51</v>
      </c>
      <c r="F42" s="73"/>
      <c r="G42" s="73"/>
      <c r="H42" s="73"/>
      <c r="I42" s="73"/>
      <c r="J42" s="73"/>
      <c r="K42" s="73"/>
      <c r="L42" s="73"/>
    </row>
    <row r="43" spans="2:12" ht="15.45" customHeight="1" x14ac:dyDescent="0.3">
      <c r="B43" t="s">
        <v>59</v>
      </c>
      <c r="C43">
        <v>17.2</v>
      </c>
      <c r="D43" t="s">
        <v>202</v>
      </c>
      <c r="E43" s="73" t="s">
        <v>52</v>
      </c>
      <c r="F43" s="73"/>
      <c r="G43" s="73"/>
      <c r="H43" s="73"/>
      <c r="I43" s="73"/>
      <c r="J43" s="73"/>
      <c r="K43" s="73"/>
      <c r="L43" s="73"/>
    </row>
    <row r="44" spans="2:12" ht="15.45" customHeight="1" x14ac:dyDescent="0.4">
      <c r="B44" t="s">
        <v>102</v>
      </c>
      <c r="C44" s="6">
        <v>0.12</v>
      </c>
      <c r="D44" t="s">
        <v>50</v>
      </c>
      <c r="E44" s="73" t="s">
        <v>53</v>
      </c>
      <c r="F44" s="73"/>
      <c r="G44" s="73"/>
      <c r="H44" s="73"/>
      <c r="I44" s="73"/>
      <c r="J44" s="73"/>
      <c r="K44" s="73"/>
      <c r="L44" s="73"/>
    </row>
    <row r="45" spans="2:12" ht="15.45" customHeight="1" x14ac:dyDescent="0.3">
      <c r="B45" t="s">
        <v>60</v>
      </c>
      <c r="C45" s="6">
        <v>25.23</v>
      </c>
      <c r="D45" t="s">
        <v>202</v>
      </c>
      <c r="E45" s="73" t="s">
        <v>54</v>
      </c>
      <c r="F45" s="73"/>
      <c r="G45" s="73"/>
      <c r="H45" s="73"/>
      <c r="I45" s="73"/>
      <c r="J45" s="73"/>
      <c r="K45" s="73"/>
      <c r="L45" s="73"/>
    </row>
    <row r="46" spans="2:12" ht="15.45" customHeight="1" x14ac:dyDescent="0.3">
      <c r="B46" t="s">
        <v>95</v>
      </c>
      <c r="C46">
        <v>2.2999999999999998</v>
      </c>
      <c r="D46" t="s">
        <v>50</v>
      </c>
      <c r="E46" s="73" t="s">
        <v>96</v>
      </c>
      <c r="F46" s="73"/>
      <c r="G46" s="73"/>
      <c r="H46" s="73"/>
      <c r="I46" s="73"/>
      <c r="J46" s="73"/>
      <c r="K46" s="73"/>
      <c r="L46" s="73"/>
    </row>
    <row r="48" spans="2:12" ht="15.45" customHeight="1" x14ac:dyDescent="0.3">
      <c r="B48" s="51" t="s">
        <v>12</v>
      </c>
      <c r="C48" s="51" t="s">
        <v>43</v>
      </c>
      <c r="D48" s="51" t="s">
        <v>25</v>
      </c>
      <c r="E48" s="86" t="s">
        <v>47</v>
      </c>
      <c r="F48" s="86"/>
      <c r="G48" s="86"/>
      <c r="H48" s="86"/>
      <c r="I48" s="86"/>
      <c r="J48" s="86"/>
      <c r="K48" s="86"/>
      <c r="L48" s="86"/>
    </row>
    <row r="49" spans="2:12" ht="15.45" customHeight="1" x14ac:dyDescent="0.3">
      <c r="B49" t="s">
        <v>18</v>
      </c>
      <c r="C49">
        <v>7.0000000000000007E-2</v>
      </c>
      <c r="D49" t="s">
        <v>19</v>
      </c>
      <c r="E49" s="73" t="s">
        <v>57</v>
      </c>
      <c r="F49" s="73"/>
      <c r="G49" s="73"/>
      <c r="H49" s="73"/>
      <c r="I49" s="73"/>
      <c r="J49" s="73"/>
      <c r="K49" s="73"/>
      <c r="L49" s="73"/>
    </row>
    <row r="50" spans="2:12" ht="15.45" customHeight="1" x14ac:dyDescent="0.3">
      <c r="B50" t="s">
        <v>55</v>
      </c>
      <c r="C50">
        <v>3.93</v>
      </c>
      <c r="D50" t="s">
        <v>56</v>
      </c>
      <c r="E50" s="73" t="s">
        <v>183</v>
      </c>
      <c r="F50" s="73"/>
      <c r="G50" s="73"/>
      <c r="H50" s="73"/>
      <c r="I50" s="73"/>
      <c r="J50" s="73"/>
      <c r="K50" s="73"/>
      <c r="L50" s="73"/>
    </row>
    <row r="51" spans="2:12" ht="15.45" customHeight="1" x14ac:dyDescent="0.3">
      <c r="B51" t="s">
        <v>97</v>
      </c>
      <c r="C51" s="4">
        <v>0.1</v>
      </c>
      <c r="D51" t="s">
        <v>19</v>
      </c>
      <c r="E51" s="73" t="s">
        <v>210</v>
      </c>
      <c r="F51" s="73"/>
      <c r="G51" s="73"/>
      <c r="H51" s="73"/>
      <c r="I51" s="73"/>
      <c r="J51" s="73"/>
      <c r="K51" s="73"/>
      <c r="L51" s="73"/>
    </row>
    <row r="53" spans="2:12" ht="15.45" customHeight="1" x14ac:dyDescent="0.3">
      <c r="B53" s="51" t="s">
        <v>13</v>
      </c>
      <c r="C53" s="51" t="s">
        <v>43</v>
      </c>
      <c r="D53" s="51" t="s">
        <v>25</v>
      </c>
      <c r="E53" s="86" t="s">
        <v>47</v>
      </c>
      <c r="F53" s="86"/>
      <c r="G53" s="86"/>
      <c r="H53" s="86"/>
      <c r="I53" s="86"/>
      <c r="J53" s="86"/>
      <c r="K53" s="86"/>
      <c r="L53" s="86"/>
    </row>
    <row r="54" spans="2:12" ht="15.45" customHeight="1" x14ac:dyDescent="0.3">
      <c r="B54" t="s">
        <v>61</v>
      </c>
      <c r="C54" s="32">
        <v>32.15</v>
      </c>
      <c r="D54" t="s">
        <v>23</v>
      </c>
      <c r="E54" s="73" t="s">
        <v>62</v>
      </c>
      <c r="F54" s="73"/>
      <c r="G54" s="73"/>
      <c r="H54" s="73"/>
      <c r="I54" s="73"/>
      <c r="J54" s="73"/>
      <c r="K54" s="73"/>
      <c r="L54" s="73"/>
    </row>
    <row r="55" spans="2:12" ht="15.45" customHeight="1" x14ac:dyDescent="0.3">
      <c r="B55" t="s">
        <v>14</v>
      </c>
      <c r="C55" s="20">
        <v>0.5</v>
      </c>
      <c r="D55" t="s">
        <v>3</v>
      </c>
      <c r="E55" s="73" t="s">
        <v>63</v>
      </c>
      <c r="F55" s="73"/>
      <c r="G55" s="73"/>
      <c r="H55" s="73"/>
      <c r="I55" s="73"/>
      <c r="J55" s="73"/>
      <c r="K55" s="73"/>
      <c r="L55" s="73"/>
    </row>
    <row r="56" spans="2:12" ht="15.45" customHeight="1" x14ac:dyDescent="0.3">
      <c r="B56" t="s">
        <v>15</v>
      </c>
      <c r="C56" s="20">
        <v>0.42</v>
      </c>
      <c r="D56" t="s">
        <v>3</v>
      </c>
      <c r="E56" s="73" t="s">
        <v>64</v>
      </c>
      <c r="F56" s="73"/>
      <c r="G56" s="73"/>
      <c r="H56" s="73"/>
      <c r="I56" s="73"/>
      <c r="J56" s="73"/>
      <c r="K56" s="73"/>
      <c r="L56" s="73"/>
    </row>
    <row r="58" spans="2:12" ht="15.45" customHeight="1" x14ac:dyDescent="0.3">
      <c r="B58" s="51" t="s">
        <v>36</v>
      </c>
      <c r="C58" s="51" t="s">
        <v>43</v>
      </c>
      <c r="D58" s="51" t="s">
        <v>25</v>
      </c>
      <c r="E58" s="86" t="s">
        <v>47</v>
      </c>
      <c r="F58" s="86"/>
      <c r="G58" s="86"/>
      <c r="H58" s="86"/>
      <c r="I58" s="86"/>
      <c r="J58" s="86"/>
      <c r="K58" s="86"/>
      <c r="L58" s="86"/>
    </row>
    <row r="59" spans="2:12" ht="15.45" customHeight="1" x14ac:dyDescent="0.3">
      <c r="B59" t="s">
        <v>37</v>
      </c>
      <c r="C59" s="14">
        <v>6.7000000000000004E-2</v>
      </c>
      <c r="D59" t="s">
        <v>3</v>
      </c>
      <c r="E59" s="73" t="s">
        <v>67</v>
      </c>
      <c r="F59" s="73"/>
      <c r="G59" s="73"/>
      <c r="H59" s="73"/>
      <c r="I59" s="73"/>
      <c r="J59" s="73"/>
      <c r="K59" s="73"/>
      <c r="L59" s="73"/>
    </row>
    <row r="60" spans="2:12" ht="15.45" customHeight="1" x14ac:dyDescent="0.3">
      <c r="B60" s="23" t="s">
        <v>22</v>
      </c>
      <c r="C60" s="20">
        <v>0.04</v>
      </c>
      <c r="D60" t="s">
        <v>3</v>
      </c>
      <c r="E60" s="73" t="s">
        <v>68</v>
      </c>
      <c r="F60" s="73"/>
      <c r="G60" s="73"/>
      <c r="H60" s="73"/>
      <c r="I60" s="73"/>
      <c r="J60" s="73"/>
      <c r="K60" s="73"/>
      <c r="L60" s="73"/>
    </row>
    <row r="61" spans="2:12" ht="15.45" customHeight="1" x14ac:dyDescent="0.3">
      <c r="B61" s="23" t="s">
        <v>10</v>
      </c>
      <c r="C61" s="20">
        <v>0.01</v>
      </c>
      <c r="D61" t="s">
        <v>3</v>
      </c>
      <c r="E61" s="73" t="s">
        <v>69</v>
      </c>
      <c r="F61" s="73"/>
      <c r="G61" s="73"/>
      <c r="H61" s="73"/>
      <c r="I61" s="73"/>
      <c r="J61" s="73"/>
      <c r="K61" s="73"/>
      <c r="L61" s="73"/>
    </row>
    <row r="62" spans="2:12" ht="15.45" customHeight="1" x14ac:dyDescent="0.3">
      <c r="B62" s="23" t="s">
        <v>38</v>
      </c>
      <c r="C62" s="20">
        <v>0.55000000000000004</v>
      </c>
      <c r="D62" t="s">
        <v>3</v>
      </c>
      <c r="E62" s="73" t="s">
        <v>234</v>
      </c>
      <c r="F62" s="73"/>
      <c r="G62" s="73"/>
      <c r="H62" s="73"/>
      <c r="I62" s="73"/>
      <c r="J62" s="73"/>
      <c r="K62" s="73"/>
      <c r="L62" s="73"/>
    </row>
    <row r="63" spans="2:12" ht="15.45" customHeight="1" x14ac:dyDescent="0.3">
      <c r="B63" s="23" t="s">
        <v>33</v>
      </c>
      <c r="C63" s="20">
        <v>0.2</v>
      </c>
      <c r="D63" t="s">
        <v>3</v>
      </c>
      <c r="E63" s="73" t="s">
        <v>70</v>
      </c>
      <c r="F63" s="73"/>
      <c r="G63" s="73"/>
      <c r="H63" s="73"/>
      <c r="I63" s="73"/>
      <c r="J63" s="73"/>
      <c r="K63" s="73"/>
      <c r="L63" s="73"/>
    </row>
    <row r="64" spans="2:12" ht="15.45" customHeight="1" x14ac:dyDescent="0.3">
      <c r="B64" s="23" t="s">
        <v>34</v>
      </c>
      <c r="C64" s="20">
        <v>0.1</v>
      </c>
      <c r="D64" t="s">
        <v>3</v>
      </c>
      <c r="E64" s="73" t="s">
        <v>71</v>
      </c>
      <c r="F64" s="73"/>
      <c r="G64" s="73"/>
      <c r="H64" s="73"/>
      <c r="I64" s="73"/>
      <c r="J64" s="73"/>
      <c r="K64" s="73"/>
      <c r="L64" s="73"/>
    </row>
    <row r="65" spans="2:12" ht="15.45" customHeight="1" x14ac:dyDescent="0.3">
      <c r="B65" s="23" t="s">
        <v>16</v>
      </c>
      <c r="C65">
        <v>10</v>
      </c>
      <c r="D65" t="s">
        <v>66</v>
      </c>
      <c r="E65" s="73" t="s">
        <v>77</v>
      </c>
      <c r="F65" s="73"/>
      <c r="G65" s="73"/>
      <c r="H65" s="73"/>
      <c r="I65" s="73"/>
      <c r="J65" s="73"/>
      <c r="K65" s="73"/>
      <c r="L65" s="73"/>
    </row>
    <row r="66" spans="2:12" ht="15.45" customHeight="1" x14ac:dyDescent="0.3">
      <c r="B66" s="23" t="s">
        <v>27</v>
      </c>
      <c r="C66">
        <v>30</v>
      </c>
      <c r="D66" t="s">
        <v>66</v>
      </c>
      <c r="E66" s="73" t="s">
        <v>78</v>
      </c>
      <c r="F66" s="73"/>
      <c r="G66" s="73"/>
      <c r="H66" s="73"/>
      <c r="I66" s="73"/>
      <c r="J66" s="73"/>
      <c r="K66" s="73"/>
      <c r="L66" s="73"/>
    </row>
    <row r="67" spans="2:12" ht="15.45" customHeight="1" x14ac:dyDescent="0.3">
      <c r="B67" s="23" t="s">
        <v>26</v>
      </c>
      <c r="C67">
        <v>250</v>
      </c>
      <c r="D67" t="s">
        <v>65</v>
      </c>
      <c r="E67" s="73" t="s">
        <v>75</v>
      </c>
      <c r="F67" s="73"/>
      <c r="G67" s="73"/>
      <c r="H67" s="73"/>
      <c r="I67" s="73"/>
      <c r="J67" s="73"/>
      <c r="K67" s="73"/>
      <c r="L67" s="73"/>
    </row>
    <row r="68" spans="2:12" ht="15.45" customHeight="1" x14ac:dyDescent="0.3">
      <c r="B68" s="23" t="s">
        <v>20</v>
      </c>
      <c r="C68" s="20">
        <v>0.5</v>
      </c>
      <c r="D68" t="s">
        <v>3</v>
      </c>
      <c r="E68" s="73" t="s">
        <v>76</v>
      </c>
      <c r="F68" s="73"/>
      <c r="G68" s="73"/>
      <c r="H68" s="73"/>
      <c r="I68" s="73"/>
      <c r="J68" s="73"/>
      <c r="K68" s="73"/>
      <c r="L68" s="73"/>
    </row>
    <row r="69" spans="2:12" ht="15.45" customHeight="1" thickBot="1" x14ac:dyDescent="0.35"/>
    <row r="70" spans="2:12" ht="15.45" customHeight="1" x14ac:dyDescent="0.3">
      <c r="B70" s="61" t="s">
        <v>204</v>
      </c>
      <c r="C70" s="62"/>
      <c r="D70" s="62"/>
      <c r="E70" s="62"/>
      <c r="F70" s="62"/>
      <c r="G70" s="62"/>
      <c r="H70" s="62"/>
      <c r="I70" s="62"/>
      <c r="J70" s="62"/>
      <c r="K70" s="62"/>
      <c r="L70" s="63"/>
    </row>
    <row r="71" spans="2:12" ht="15.45" customHeight="1" thickBot="1" x14ac:dyDescent="0.35">
      <c r="B71" s="64"/>
      <c r="C71" s="65"/>
      <c r="D71" s="65"/>
      <c r="E71" s="65"/>
      <c r="F71" s="65"/>
      <c r="G71" s="65"/>
      <c r="H71" s="65"/>
      <c r="I71" s="65"/>
      <c r="J71" s="65"/>
      <c r="K71" s="65"/>
      <c r="L71" s="66"/>
    </row>
    <row r="73" spans="2:12" ht="15.45" customHeight="1" x14ac:dyDescent="0.3">
      <c r="B73" s="51" t="s">
        <v>159</v>
      </c>
      <c r="C73" s="51" t="s">
        <v>43</v>
      </c>
      <c r="D73" s="51" t="s">
        <v>25</v>
      </c>
      <c r="E73" s="86" t="s">
        <v>47</v>
      </c>
      <c r="F73" s="86"/>
      <c r="G73" s="86"/>
      <c r="H73" s="86"/>
      <c r="I73" s="86"/>
      <c r="J73" s="86"/>
      <c r="K73" s="86"/>
      <c r="L73" s="86"/>
    </row>
    <row r="74" spans="2:12" ht="15.45" customHeight="1" x14ac:dyDescent="0.3">
      <c r="B74" t="s">
        <v>45</v>
      </c>
      <c r="C74">
        <v>1</v>
      </c>
      <c r="D74" t="s">
        <v>160</v>
      </c>
      <c r="E74" s="73" t="s">
        <v>161</v>
      </c>
      <c r="F74" s="73"/>
      <c r="G74" s="73"/>
      <c r="H74" s="73"/>
      <c r="I74" s="73"/>
      <c r="J74" s="73"/>
      <c r="K74" s="73"/>
      <c r="L74" s="73"/>
    </row>
    <row r="75" spans="2:12" ht="15.45" customHeight="1" x14ac:dyDescent="0.3">
      <c r="B75" t="s">
        <v>46</v>
      </c>
      <c r="C75">
        <v>1</v>
      </c>
      <c r="D75" t="s">
        <v>160</v>
      </c>
      <c r="E75" s="73" t="s">
        <v>162</v>
      </c>
      <c r="F75" s="73"/>
      <c r="G75" s="73"/>
      <c r="H75" s="73"/>
      <c r="I75" s="73"/>
      <c r="J75" s="73"/>
      <c r="K75" s="73"/>
      <c r="L75" s="73"/>
    </row>
    <row r="76" spans="2:12" ht="15.45" customHeight="1" x14ac:dyDescent="0.3">
      <c r="B76" t="s">
        <v>49</v>
      </c>
      <c r="C76">
        <v>1</v>
      </c>
      <c r="D76" t="s">
        <v>160</v>
      </c>
      <c r="E76" s="73" t="s">
        <v>163</v>
      </c>
      <c r="F76" s="73"/>
      <c r="G76" s="73"/>
      <c r="H76" s="73"/>
      <c r="I76" s="73"/>
      <c r="J76" s="73"/>
      <c r="K76" s="73"/>
      <c r="L76" s="73"/>
    </row>
    <row r="78" spans="2:12" ht="15.45" customHeight="1" x14ac:dyDescent="0.3">
      <c r="B78" s="51" t="s">
        <v>87</v>
      </c>
      <c r="C78" s="51" t="s">
        <v>43</v>
      </c>
      <c r="D78" s="51" t="s">
        <v>25</v>
      </c>
      <c r="E78" s="86" t="s">
        <v>47</v>
      </c>
      <c r="F78" s="86"/>
      <c r="G78" s="86"/>
      <c r="H78" s="86"/>
      <c r="I78" s="86"/>
      <c r="J78" s="86"/>
      <c r="K78" s="86"/>
      <c r="L78" s="86"/>
    </row>
    <row r="79" spans="2:12" ht="15.45" customHeight="1" x14ac:dyDescent="0.3">
      <c r="B79" t="s">
        <v>88</v>
      </c>
      <c r="C79">
        <v>15.8</v>
      </c>
      <c r="D79" t="s">
        <v>241</v>
      </c>
      <c r="E79" s="73" t="s">
        <v>134</v>
      </c>
      <c r="F79" s="73"/>
      <c r="G79" s="73"/>
      <c r="H79" s="73"/>
      <c r="I79" s="73"/>
      <c r="J79" s="73"/>
      <c r="K79" s="73"/>
      <c r="L79" s="73"/>
    </row>
    <row r="80" spans="2:12" ht="15.45" customHeight="1" x14ac:dyDescent="0.3">
      <c r="B80" t="s">
        <v>89</v>
      </c>
      <c r="C80" s="6">
        <v>74</v>
      </c>
      <c r="D80" t="s">
        <v>241</v>
      </c>
      <c r="E80" s="73" t="s">
        <v>135</v>
      </c>
      <c r="F80" s="73"/>
      <c r="G80" s="73"/>
      <c r="H80" s="73"/>
      <c r="I80" s="73"/>
      <c r="J80" s="73"/>
      <c r="K80" s="73"/>
      <c r="L80" s="73"/>
    </row>
    <row r="81" spans="2:12" ht="15.45" customHeight="1" x14ac:dyDescent="0.3">
      <c r="B81" t="s">
        <v>90</v>
      </c>
      <c r="C81" s="6">
        <v>35.67</v>
      </c>
      <c r="D81" t="s">
        <v>241</v>
      </c>
      <c r="E81" s="73" t="s">
        <v>136</v>
      </c>
      <c r="F81" s="73"/>
      <c r="G81" s="73"/>
      <c r="H81" s="73"/>
      <c r="I81" s="73"/>
      <c r="J81" s="73"/>
      <c r="K81" s="73"/>
      <c r="L81" s="73"/>
    </row>
    <row r="83" spans="2:12" ht="15.45" customHeight="1" x14ac:dyDescent="0.3">
      <c r="B83" s="51" t="s">
        <v>91</v>
      </c>
      <c r="C83" s="51" t="s">
        <v>43</v>
      </c>
      <c r="D83" s="51" t="s">
        <v>25</v>
      </c>
      <c r="E83" s="86" t="s">
        <v>47</v>
      </c>
      <c r="F83" s="86"/>
      <c r="G83" s="86"/>
      <c r="H83" s="86"/>
      <c r="I83" s="86"/>
      <c r="J83" s="86"/>
      <c r="K83" s="86"/>
      <c r="L83" s="86"/>
    </row>
    <row r="84" spans="2:12" ht="15.45" customHeight="1" x14ac:dyDescent="0.3">
      <c r="B84" t="s">
        <v>88</v>
      </c>
      <c r="C84" s="11">
        <v>159302</v>
      </c>
      <c r="D84" t="s">
        <v>0</v>
      </c>
      <c r="E84" s="73" t="s">
        <v>137</v>
      </c>
      <c r="F84" s="73"/>
      <c r="G84" s="73"/>
      <c r="H84" s="73"/>
      <c r="I84" s="73"/>
      <c r="J84" s="73"/>
      <c r="K84" s="73"/>
      <c r="L84" s="73"/>
    </row>
    <row r="85" spans="2:12" ht="15.45" customHeight="1" x14ac:dyDescent="0.3">
      <c r="B85" t="s">
        <v>89</v>
      </c>
      <c r="C85" s="11">
        <v>230500</v>
      </c>
      <c r="D85" t="s">
        <v>0</v>
      </c>
      <c r="E85" s="73" t="s">
        <v>138</v>
      </c>
      <c r="F85" s="73"/>
      <c r="G85" s="73"/>
      <c r="H85" s="73"/>
      <c r="I85" s="73"/>
      <c r="J85" s="73"/>
      <c r="K85" s="73"/>
      <c r="L85" s="73"/>
    </row>
    <row r="86" spans="2:12" ht="15.45" customHeight="1" x14ac:dyDescent="0.3">
      <c r="B86" t="s">
        <v>90</v>
      </c>
      <c r="C86" s="11">
        <v>1754500</v>
      </c>
      <c r="D86" t="s">
        <v>0</v>
      </c>
      <c r="E86" s="73" t="s">
        <v>139</v>
      </c>
      <c r="F86" s="73"/>
      <c r="G86" s="73"/>
      <c r="H86" s="73"/>
      <c r="I86" s="73"/>
      <c r="J86" s="73"/>
      <c r="K86" s="73"/>
      <c r="L86" s="73"/>
    </row>
    <row r="87" spans="2:12" ht="15.45" customHeight="1" x14ac:dyDescent="0.3">
      <c r="C87" s="11"/>
      <c r="E87" s="31"/>
      <c r="F87" s="31"/>
      <c r="G87" s="31"/>
      <c r="H87" s="31"/>
      <c r="I87" s="31"/>
      <c r="J87" s="31"/>
      <c r="K87" s="31"/>
      <c r="L87" s="31"/>
    </row>
    <row r="88" spans="2:12" ht="15.45" customHeight="1" x14ac:dyDescent="0.3">
      <c r="B88" s="51" t="s">
        <v>216</v>
      </c>
      <c r="C88" s="51" t="s">
        <v>43</v>
      </c>
      <c r="D88" s="51" t="s">
        <v>25</v>
      </c>
      <c r="E88" s="86" t="s">
        <v>47</v>
      </c>
      <c r="F88" s="86"/>
      <c r="G88" s="86"/>
      <c r="H88" s="86"/>
      <c r="I88" s="86"/>
      <c r="J88" s="86"/>
      <c r="K88" s="86"/>
      <c r="L88" s="86"/>
    </row>
    <row r="89" spans="2:12" ht="15.45" customHeight="1" x14ac:dyDescent="0.3">
      <c r="B89" t="s">
        <v>88</v>
      </c>
      <c r="C89" s="34">
        <v>2</v>
      </c>
      <c r="D89" t="s">
        <v>215</v>
      </c>
      <c r="E89" s="73" t="s">
        <v>228</v>
      </c>
      <c r="F89" s="73"/>
      <c r="G89" s="73"/>
      <c r="H89" s="73"/>
      <c r="I89" s="73"/>
      <c r="J89" s="73"/>
      <c r="K89" s="73"/>
      <c r="L89" s="73"/>
    </row>
    <row r="90" spans="2:12" ht="15" customHeight="1" x14ac:dyDescent="0.3">
      <c r="B90" t="s">
        <v>89</v>
      </c>
      <c r="C90" s="34">
        <v>2</v>
      </c>
      <c r="D90" t="s">
        <v>215</v>
      </c>
      <c r="E90" s="73" t="s">
        <v>229</v>
      </c>
      <c r="F90" s="73"/>
      <c r="G90" s="73"/>
      <c r="H90" s="73"/>
      <c r="I90" s="73"/>
      <c r="J90" s="73"/>
      <c r="K90" s="73"/>
      <c r="L90" s="73"/>
    </row>
    <row r="91" spans="2:12" ht="15" customHeight="1" x14ac:dyDescent="0.3">
      <c r="B91" t="s">
        <v>90</v>
      </c>
      <c r="C91" s="34">
        <v>2</v>
      </c>
      <c r="D91" t="s">
        <v>215</v>
      </c>
      <c r="E91" s="73" t="s">
        <v>230</v>
      </c>
      <c r="F91" s="73"/>
      <c r="G91" s="73"/>
      <c r="H91" s="73"/>
      <c r="I91" s="73"/>
      <c r="J91" s="73"/>
      <c r="K91" s="73"/>
      <c r="L91" s="73"/>
    </row>
    <row r="93" spans="2:12" ht="15.45" customHeight="1" x14ac:dyDescent="0.3">
      <c r="B93" s="51" t="s">
        <v>92</v>
      </c>
      <c r="C93" s="51" t="s">
        <v>43</v>
      </c>
      <c r="D93" s="51" t="s">
        <v>25</v>
      </c>
      <c r="E93" s="86" t="s">
        <v>47</v>
      </c>
      <c r="F93" s="86"/>
      <c r="G93" s="86"/>
      <c r="H93" s="86"/>
      <c r="I93" s="86"/>
      <c r="J93" s="86"/>
      <c r="K93" s="86"/>
      <c r="L93" s="86"/>
    </row>
    <row r="94" spans="2:12" ht="15.45" customHeight="1" x14ac:dyDescent="0.4">
      <c r="B94" t="s">
        <v>88</v>
      </c>
      <c r="C94" s="22">
        <v>0.67</v>
      </c>
      <c r="D94" t="s">
        <v>31</v>
      </c>
      <c r="E94" s="73" t="s">
        <v>140</v>
      </c>
      <c r="F94" s="73"/>
      <c r="G94" s="73"/>
      <c r="H94" s="73"/>
      <c r="I94" s="73"/>
      <c r="J94" s="73"/>
      <c r="K94" s="73"/>
      <c r="L94" s="73"/>
    </row>
    <row r="95" spans="2:12" ht="15.45" customHeight="1" x14ac:dyDescent="0.4">
      <c r="B95" t="s">
        <v>89</v>
      </c>
      <c r="C95" s="22">
        <v>0.5</v>
      </c>
      <c r="D95" t="s">
        <v>31</v>
      </c>
      <c r="E95" s="73" t="s">
        <v>140</v>
      </c>
      <c r="F95" s="73"/>
      <c r="G95" s="73"/>
      <c r="H95" s="73"/>
      <c r="I95" s="73"/>
      <c r="J95" s="73"/>
      <c r="K95" s="73"/>
      <c r="L95" s="73"/>
    </row>
    <row r="96" spans="2:12" ht="15.45" customHeight="1" x14ac:dyDescent="0.4">
      <c r="B96" t="s">
        <v>90</v>
      </c>
      <c r="C96" s="22">
        <v>1</v>
      </c>
      <c r="D96" t="s">
        <v>31</v>
      </c>
      <c r="E96" s="73" t="s">
        <v>140</v>
      </c>
      <c r="F96" s="73"/>
      <c r="G96" s="73"/>
      <c r="H96" s="73"/>
      <c r="I96" s="73"/>
      <c r="J96" s="73"/>
      <c r="K96" s="73"/>
      <c r="L96" s="73"/>
    </row>
    <row r="98" spans="2:12" ht="15.45" customHeight="1" x14ac:dyDescent="0.3">
      <c r="B98" s="51" t="s">
        <v>231</v>
      </c>
      <c r="C98" s="51" t="s">
        <v>43</v>
      </c>
      <c r="D98" s="51" t="s">
        <v>25</v>
      </c>
      <c r="E98" s="86" t="s">
        <v>47</v>
      </c>
      <c r="F98" s="86"/>
      <c r="G98" s="86"/>
      <c r="H98" s="86"/>
      <c r="I98" s="86"/>
      <c r="J98" s="86"/>
      <c r="K98" s="86"/>
      <c r="L98" s="86"/>
    </row>
    <row r="99" spans="2:12" ht="15.45" customHeight="1" x14ac:dyDescent="0.3">
      <c r="B99" t="s">
        <v>88</v>
      </c>
      <c r="C99" s="34">
        <v>3.2</v>
      </c>
      <c r="D99" t="s">
        <v>236</v>
      </c>
      <c r="E99" s="73" t="s">
        <v>141</v>
      </c>
      <c r="F99" s="73"/>
      <c r="G99" s="73"/>
      <c r="H99" s="73"/>
      <c r="I99" s="73"/>
      <c r="J99" s="73"/>
      <c r="K99" s="73"/>
      <c r="L99" s="73"/>
    </row>
    <row r="100" spans="2:12" ht="15.45" customHeight="1" x14ac:dyDescent="0.3">
      <c r="B100" t="s">
        <v>89</v>
      </c>
      <c r="C100" s="34">
        <v>4.2</v>
      </c>
      <c r="D100" t="s">
        <v>236</v>
      </c>
      <c r="E100" s="73" t="s">
        <v>142</v>
      </c>
      <c r="F100" s="73"/>
      <c r="G100" s="73"/>
      <c r="H100" s="73"/>
      <c r="I100" s="73"/>
      <c r="J100" s="73"/>
      <c r="K100" s="73"/>
      <c r="L100" s="73"/>
    </row>
    <row r="101" spans="2:12" ht="15.45" customHeight="1" x14ac:dyDescent="0.3">
      <c r="B101" t="s">
        <v>90</v>
      </c>
      <c r="C101" s="34">
        <v>0.22</v>
      </c>
      <c r="D101" t="s">
        <v>237</v>
      </c>
      <c r="E101" s="73" t="s">
        <v>143</v>
      </c>
      <c r="F101" s="73"/>
      <c r="G101" s="73"/>
      <c r="H101" s="73"/>
      <c r="I101" s="73"/>
      <c r="J101" s="73"/>
      <c r="K101" s="73"/>
      <c r="L101" s="73"/>
    </row>
    <row r="102" spans="2:12" ht="15.45" customHeight="1" x14ac:dyDescent="0.3">
      <c r="C102" s="34"/>
    </row>
    <row r="103" spans="2:12" ht="15.45" customHeight="1" x14ac:dyDescent="0.3">
      <c r="B103" s="51" t="s">
        <v>93</v>
      </c>
      <c r="C103" s="51" t="s">
        <v>43</v>
      </c>
      <c r="D103" s="51" t="s">
        <v>25</v>
      </c>
      <c r="E103" s="86" t="s">
        <v>47</v>
      </c>
      <c r="F103" s="86"/>
      <c r="G103" s="86"/>
      <c r="H103" s="86"/>
      <c r="I103" s="86"/>
      <c r="J103" s="86"/>
      <c r="K103" s="86"/>
      <c r="L103" s="86"/>
    </row>
    <row r="104" spans="2:12" ht="15.45" customHeight="1" x14ac:dyDescent="0.3">
      <c r="B104" t="s">
        <v>128</v>
      </c>
      <c r="C104" s="22">
        <v>0.66666666666666663</v>
      </c>
      <c r="D104" t="s">
        <v>31</v>
      </c>
      <c r="E104" s="73" t="s">
        <v>129</v>
      </c>
      <c r="F104" s="73"/>
      <c r="G104" s="73"/>
      <c r="H104" s="73"/>
      <c r="I104" s="73"/>
      <c r="J104" s="73"/>
      <c r="K104" s="73"/>
      <c r="L104" s="73"/>
    </row>
    <row r="105" spans="2:12" ht="15.45" customHeight="1" x14ac:dyDescent="0.3">
      <c r="B105" t="s">
        <v>88</v>
      </c>
      <c r="C105" s="34">
        <v>8</v>
      </c>
      <c r="D105" t="s">
        <v>235</v>
      </c>
      <c r="E105" s="73" t="s">
        <v>144</v>
      </c>
      <c r="F105" s="73"/>
      <c r="G105" s="73"/>
      <c r="H105" s="73"/>
      <c r="I105" s="73"/>
      <c r="J105" s="73"/>
      <c r="K105" s="73"/>
      <c r="L105" s="73"/>
    </row>
    <row r="106" spans="2:12" ht="15.45" customHeight="1" x14ac:dyDescent="0.3">
      <c r="B106" t="s">
        <v>89</v>
      </c>
      <c r="C106" s="34">
        <v>5.5</v>
      </c>
      <c r="D106" t="s">
        <v>235</v>
      </c>
      <c r="E106" s="73" t="s">
        <v>145</v>
      </c>
      <c r="F106" s="73"/>
      <c r="G106" s="73"/>
      <c r="H106" s="73"/>
      <c r="I106" s="73"/>
      <c r="J106" s="73"/>
      <c r="K106" s="73"/>
      <c r="L106" s="73"/>
    </row>
    <row r="107" spans="2:12" ht="15.45" customHeight="1" x14ac:dyDescent="0.3">
      <c r="B107" t="s">
        <v>90</v>
      </c>
      <c r="C107" s="34">
        <v>7</v>
      </c>
      <c r="D107" t="s">
        <v>235</v>
      </c>
      <c r="E107" s="73" t="s">
        <v>146</v>
      </c>
      <c r="F107" s="73"/>
      <c r="G107" s="73"/>
      <c r="H107" s="73"/>
      <c r="I107" s="73"/>
      <c r="J107" s="73"/>
      <c r="K107" s="73"/>
      <c r="L107" s="73"/>
    </row>
    <row r="108" spans="2:12" ht="15.45" customHeight="1" thickBot="1" x14ac:dyDescent="0.35"/>
    <row r="109" spans="2:12" ht="15.45" customHeight="1" x14ac:dyDescent="0.3">
      <c r="B109" s="61" t="s">
        <v>172</v>
      </c>
      <c r="C109" s="62"/>
      <c r="D109" s="62"/>
      <c r="E109" s="62"/>
      <c r="F109" s="62"/>
      <c r="G109" s="62"/>
      <c r="H109" s="62"/>
      <c r="I109" s="62"/>
      <c r="J109" s="62"/>
      <c r="K109" s="62"/>
      <c r="L109" s="63"/>
    </row>
    <row r="110" spans="2:12" ht="15.45" customHeight="1" thickBot="1" x14ac:dyDescent="0.35">
      <c r="B110" s="64"/>
      <c r="C110" s="65"/>
      <c r="D110" s="65"/>
      <c r="E110" s="65"/>
      <c r="F110" s="65"/>
      <c r="G110" s="65"/>
      <c r="H110" s="65"/>
      <c r="I110" s="65"/>
      <c r="J110" s="65"/>
      <c r="K110" s="65"/>
      <c r="L110" s="66"/>
    </row>
    <row r="112" spans="2:12" ht="15.45" customHeight="1" x14ac:dyDescent="0.3">
      <c r="B112" s="67" t="s">
        <v>173</v>
      </c>
      <c r="C112" s="68"/>
      <c r="D112" s="68"/>
      <c r="E112" s="68"/>
      <c r="F112" s="68"/>
      <c r="G112" s="68"/>
      <c r="H112" s="68"/>
      <c r="I112" s="68"/>
      <c r="J112" s="68"/>
      <c r="K112" s="68"/>
      <c r="L112" s="69"/>
    </row>
    <row r="113" spans="2:12" ht="15.45" customHeight="1" x14ac:dyDescent="0.3">
      <c r="B113" s="70"/>
      <c r="C113" s="71"/>
      <c r="D113" s="71"/>
      <c r="E113" s="71"/>
      <c r="F113" s="71"/>
      <c r="G113" s="71"/>
      <c r="H113" s="71"/>
      <c r="I113" s="71"/>
      <c r="J113" s="71"/>
      <c r="K113" s="71"/>
      <c r="L113" s="72"/>
    </row>
    <row r="115" spans="2:12" ht="15.45" customHeight="1" x14ac:dyDescent="0.3">
      <c r="B115" s="87" t="s">
        <v>242</v>
      </c>
      <c r="C115" s="88"/>
      <c r="D115" s="88"/>
      <c r="E115" s="88"/>
      <c r="F115" s="88"/>
      <c r="G115" s="88"/>
      <c r="H115" s="88"/>
      <c r="I115" s="88"/>
      <c r="J115" s="88"/>
      <c r="K115" s="88"/>
      <c r="L115" s="89"/>
    </row>
    <row r="117" spans="2:12" ht="15.45" customHeight="1" x14ac:dyDescent="0.3">
      <c r="B117" s="43" t="s">
        <v>174</v>
      </c>
      <c r="C117" s="44">
        <f>INDICATORS!C28</f>
        <v>3067.9075521881737</v>
      </c>
    </row>
    <row r="118" spans="2:12" ht="15.45" customHeight="1" x14ac:dyDescent="0.3">
      <c r="B118" s="11">
        <v>1000</v>
      </c>
      <c r="C118" s="10">
        <f t="dataTable" ref="C118:C136" dt2D="0" dtr="0" r1="C9" ca="1"/>
        <v>4167.6480047544428</v>
      </c>
    </row>
    <row r="119" spans="2:12" ht="15.45" customHeight="1" x14ac:dyDescent="0.3">
      <c r="B119" s="11">
        <v>2000</v>
      </c>
      <c r="C119" s="10">
        <v>3067.9075521881737</v>
      </c>
    </row>
    <row r="120" spans="2:12" ht="15.45" customHeight="1" x14ac:dyDescent="0.3">
      <c r="B120" s="11">
        <v>3000</v>
      </c>
      <c r="C120" s="10">
        <v>2698.9700454361669</v>
      </c>
    </row>
    <row r="121" spans="2:12" ht="15.45" customHeight="1" x14ac:dyDescent="0.3">
      <c r="B121" s="11">
        <v>4000</v>
      </c>
      <c r="C121" s="10">
        <v>2513.5587700389497</v>
      </c>
    </row>
    <row r="122" spans="2:12" ht="15.45" customHeight="1" x14ac:dyDescent="0.3">
      <c r="B122" s="11">
        <v>5000</v>
      </c>
      <c r="C122" s="10">
        <v>2401.8202477563177</v>
      </c>
    </row>
    <row r="123" spans="2:12" ht="15.45" customHeight="1" x14ac:dyDescent="0.3">
      <c r="B123" s="11">
        <v>6000</v>
      </c>
      <c r="C123" s="10">
        <v>2327.0321631324487</v>
      </c>
    </row>
    <row r="124" spans="2:12" ht="15.45" customHeight="1" x14ac:dyDescent="0.3">
      <c r="B124" s="11">
        <v>7000</v>
      </c>
      <c r="C124" s="10">
        <v>2273.4174967376771</v>
      </c>
    </row>
    <row r="125" spans="2:12" ht="15.45" customHeight="1" x14ac:dyDescent="0.3">
      <c r="B125" s="11">
        <v>8000</v>
      </c>
      <c r="C125" s="10">
        <v>2233.0701729964294</v>
      </c>
    </row>
    <row r="126" spans="2:12" ht="15.45" customHeight="1" x14ac:dyDescent="0.3">
      <c r="B126" s="11">
        <v>9000</v>
      </c>
      <c r="C126" s="10">
        <v>2201.5889175491534</v>
      </c>
    </row>
    <row r="127" spans="2:12" ht="15.45" customHeight="1" x14ac:dyDescent="0.3">
      <c r="B127" s="11">
        <v>10000</v>
      </c>
      <c r="C127" s="10">
        <v>2176.3279053739752</v>
      </c>
    </row>
    <row r="128" spans="2:12" ht="15.45" customHeight="1" x14ac:dyDescent="0.3">
      <c r="B128" s="11">
        <v>20000</v>
      </c>
      <c r="C128" s="10">
        <v>2061.3443004639876</v>
      </c>
    </row>
    <row r="129" spans="2:11" ht="15.45" customHeight="1" x14ac:dyDescent="0.3">
      <c r="B129" s="11">
        <v>30000</v>
      </c>
      <c r="C129" s="10">
        <v>2022.1394340839975</v>
      </c>
    </row>
    <row r="130" spans="2:11" ht="15.45" customHeight="1" x14ac:dyDescent="0.3">
      <c r="B130" s="11">
        <v>40000</v>
      </c>
      <c r="C130" s="10">
        <v>2002.1837440177021</v>
      </c>
    </row>
    <row r="131" spans="2:11" ht="15.45" customHeight="1" x14ac:dyDescent="0.3">
      <c r="B131" s="11">
        <v>50000</v>
      </c>
      <c r="C131" s="10">
        <v>1990.0251003226074</v>
      </c>
    </row>
    <row r="132" spans="2:11" ht="15.45" customHeight="1" x14ac:dyDescent="0.3">
      <c r="B132" s="11">
        <v>60000</v>
      </c>
      <c r="C132" s="10">
        <v>1981.8075204098877</v>
      </c>
    </row>
    <row r="133" spans="2:11" ht="15.45" customHeight="1" x14ac:dyDescent="0.3">
      <c r="B133" s="11">
        <v>70000</v>
      </c>
      <c r="C133" s="10">
        <v>1975.8640141238352</v>
      </c>
    </row>
    <row r="134" spans="2:11" ht="15.45" customHeight="1" x14ac:dyDescent="0.3">
      <c r="B134" s="11">
        <v>80000</v>
      </c>
      <c r="C134" s="10">
        <v>1971.3545483636908</v>
      </c>
    </row>
    <row r="135" spans="2:11" ht="15.45" customHeight="1" x14ac:dyDescent="0.3">
      <c r="B135" s="11">
        <v>90000</v>
      </c>
      <c r="C135" s="10">
        <v>1967.8090755600824</v>
      </c>
    </row>
    <row r="136" spans="2:11" ht="15.45" customHeight="1" x14ac:dyDescent="0.3">
      <c r="B136" s="11">
        <v>100000</v>
      </c>
      <c r="C136" s="10">
        <v>1964.9436743722783</v>
      </c>
    </row>
    <row r="137" spans="2:11" ht="15.45" customHeight="1" x14ac:dyDescent="0.3">
      <c r="E137" s="93" t="s">
        <v>227</v>
      </c>
      <c r="F137" s="94"/>
      <c r="G137" s="94"/>
      <c r="H137" s="94"/>
      <c r="I137" s="94"/>
      <c r="J137" s="94"/>
      <c r="K137" s="95"/>
    </row>
    <row r="138" spans="2:11" ht="15.45" customHeight="1" x14ac:dyDescent="0.3">
      <c r="B138" s="43" t="s">
        <v>247</v>
      </c>
      <c r="C138" s="44">
        <f>INDICATORS!C28</f>
        <v>3067.9075521881737</v>
      </c>
      <c r="E138" s="96"/>
      <c r="F138" s="97"/>
      <c r="G138" s="97"/>
      <c r="H138" s="97"/>
      <c r="I138" s="97"/>
      <c r="J138" s="97"/>
      <c r="K138" s="98"/>
    </row>
    <row r="139" spans="2:11" ht="15.45" customHeight="1" x14ac:dyDescent="0.3">
      <c r="B139" s="11">
        <v>10</v>
      </c>
      <c r="C139" s="10">
        <f t="dataTable" ref="C139:C144" dt2D="0" dtr="0" r1="C45" ca="1"/>
        <v>2302.6000521881733</v>
      </c>
      <c r="E139" s="99"/>
      <c r="F139" s="100"/>
      <c r="G139" s="100"/>
      <c r="H139" s="100"/>
      <c r="I139" s="100"/>
      <c r="J139" s="100"/>
      <c r="K139" s="101"/>
    </row>
    <row r="140" spans="2:11" ht="15.45" customHeight="1" x14ac:dyDescent="0.3">
      <c r="B140" s="11">
        <v>15</v>
      </c>
      <c r="C140" s="10">
        <v>2553.8500521881729</v>
      </c>
      <c r="E140" s="59"/>
      <c r="F140" s="59"/>
      <c r="G140" s="59"/>
      <c r="H140" s="59"/>
      <c r="I140" s="59"/>
      <c r="J140" s="59"/>
    </row>
    <row r="141" spans="2:11" ht="15.45" customHeight="1" x14ac:dyDescent="0.3">
      <c r="B141" s="11">
        <v>20</v>
      </c>
      <c r="C141" s="10">
        <v>2805.1000521881729</v>
      </c>
    </row>
    <row r="142" spans="2:11" ht="15.45" customHeight="1" x14ac:dyDescent="0.3">
      <c r="B142" s="11">
        <v>25</v>
      </c>
      <c r="C142" s="10">
        <v>3056.3500521881729</v>
      </c>
      <c r="D142" s="46"/>
    </row>
    <row r="143" spans="2:11" ht="15.45" customHeight="1" x14ac:dyDescent="0.3">
      <c r="B143" s="11">
        <v>30</v>
      </c>
      <c r="C143" s="10">
        <v>3307.6000521881729</v>
      </c>
    </row>
    <row r="144" spans="2:11" ht="15.45" customHeight="1" x14ac:dyDescent="0.3">
      <c r="B144" s="11">
        <v>35</v>
      </c>
      <c r="C144" s="10">
        <v>3558.8500521881729</v>
      </c>
    </row>
    <row r="146" spans="2:12" ht="15.45" customHeight="1" x14ac:dyDescent="0.3">
      <c r="B146" s="43" t="s">
        <v>176</v>
      </c>
      <c r="C146" s="44">
        <f>INDICATORS!C28</f>
        <v>3067.9075521881737</v>
      </c>
    </row>
    <row r="147" spans="2:12" ht="15.45" customHeight="1" x14ac:dyDescent="0.3">
      <c r="B147" s="45">
        <v>0.1</v>
      </c>
      <c r="C147" s="10">
        <f t="dataTable" ref="C147:C156" dt2D="0" dtr="0" r1="C10" ca="1"/>
        <v>3964.2991517128221</v>
      </c>
    </row>
    <row r="148" spans="2:12" ht="15.45" customHeight="1" x14ac:dyDescent="0.3">
      <c r="B148" s="45">
        <v>0.2</v>
      </c>
      <c r="C148" s="10">
        <v>3053.8735317692508</v>
      </c>
      <c r="F148" t="s">
        <v>252</v>
      </c>
    </row>
    <row r="149" spans="2:12" ht="15.45" customHeight="1" x14ac:dyDescent="0.3">
      <c r="B149" s="45">
        <v>0.3</v>
      </c>
      <c r="C149" s="10">
        <v>2824.821915053381</v>
      </c>
    </row>
    <row r="150" spans="2:12" ht="15.45" customHeight="1" x14ac:dyDescent="0.3">
      <c r="B150" s="45">
        <v>0.4</v>
      </c>
      <c r="C150" s="10">
        <v>2768.2175418801589</v>
      </c>
    </row>
    <row r="151" spans="2:12" ht="15.45" customHeight="1" x14ac:dyDescent="0.3">
      <c r="B151" s="45">
        <v>0.5</v>
      </c>
      <c r="C151" s="10">
        <v>2781.2235207125855</v>
      </c>
    </row>
    <row r="152" spans="2:12" ht="15.45" customHeight="1" x14ac:dyDescent="0.3">
      <c r="B152" s="45">
        <v>0.6</v>
      </c>
      <c r="C152" s="10">
        <v>2829.2990354682588</v>
      </c>
    </row>
    <row r="153" spans="2:12" ht="15.45" customHeight="1" x14ac:dyDescent="0.3">
      <c r="B153" s="45">
        <v>0.7</v>
      </c>
      <c r="C153" s="10">
        <v>2897.5468322477846</v>
      </c>
    </row>
    <row r="154" spans="2:12" ht="15.45" customHeight="1" x14ac:dyDescent="0.3">
      <c r="B154" s="45">
        <v>0.8</v>
      </c>
      <c r="C154" s="10">
        <v>2978.4769460107814</v>
      </c>
    </row>
    <row r="155" spans="2:12" ht="15.45" customHeight="1" x14ac:dyDescent="0.3">
      <c r="B155" s="45">
        <v>0.9</v>
      </c>
      <c r="C155" s="10">
        <v>3067.9075521881737</v>
      </c>
    </row>
    <row r="156" spans="2:12" ht="15.45" customHeight="1" x14ac:dyDescent="0.3">
      <c r="B156" s="45">
        <v>1</v>
      </c>
      <c r="C156" s="10">
        <v>3163.3181321017978</v>
      </c>
    </row>
    <row r="157" spans="2:12" ht="15.45" customHeight="1" thickBot="1" x14ac:dyDescent="0.35"/>
    <row r="158" spans="2:12" ht="15.45" customHeight="1" x14ac:dyDescent="0.3">
      <c r="B158" s="61" t="s">
        <v>179</v>
      </c>
      <c r="C158" s="62"/>
      <c r="D158" s="62"/>
      <c r="E158" s="62"/>
      <c r="F158" s="62"/>
      <c r="G158" s="62"/>
      <c r="H158" s="62"/>
      <c r="I158" s="62"/>
      <c r="J158" s="62"/>
      <c r="K158" s="62"/>
      <c r="L158" s="63"/>
    </row>
    <row r="159" spans="2:12" ht="15.45" customHeight="1" thickBot="1" x14ac:dyDescent="0.35">
      <c r="B159" s="64"/>
      <c r="C159" s="65"/>
      <c r="D159" s="65"/>
      <c r="E159" s="65"/>
      <c r="F159" s="65"/>
      <c r="G159" s="65"/>
      <c r="H159" s="65"/>
      <c r="I159" s="65"/>
      <c r="J159" s="65"/>
      <c r="K159" s="65"/>
      <c r="L159" s="66"/>
    </row>
    <row r="161" spans="2:12" ht="15.45" customHeight="1" x14ac:dyDescent="0.3">
      <c r="B161" s="67" t="s">
        <v>180</v>
      </c>
      <c r="C161" s="68"/>
      <c r="D161" s="68"/>
      <c r="E161" s="68"/>
      <c r="F161" s="68"/>
      <c r="G161" s="68"/>
      <c r="H161" s="68"/>
      <c r="I161" s="68"/>
      <c r="J161" s="68"/>
      <c r="K161" s="68"/>
      <c r="L161" s="69"/>
    </row>
    <row r="162" spans="2:12" ht="15.45" customHeight="1" x14ac:dyDescent="0.3">
      <c r="B162" s="70"/>
      <c r="C162" s="71"/>
      <c r="D162" s="71"/>
      <c r="E162" s="71"/>
      <c r="F162" s="71"/>
      <c r="G162" s="71"/>
      <c r="H162" s="71"/>
      <c r="I162" s="71"/>
      <c r="J162" s="71"/>
      <c r="K162" s="71"/>
      <c r="L162" s="72"/>
    </row>
    <row r="164" spans="2:12" ht="16.05" customHeight="1" x14ac:dyDescent="0.3">
      <c r="B164" s="90" t="s">
        <v>242</v>
      </c>
      <c r="C164" s="91"/>
      <c r="D164" s="91"/>
      <c r="E164" s="91"/>
      <c r="F164" s="91"/>
      <c r="G164" s="91"/>
      <c r="H164" s="91"/>
      <c r="I164" s="91"/>
      <c r="J164" s="91"/>
      <c r="K164" s="91"/>
      <c r="L164" s="92"/>
    </row>
    <row r="166" spans="2:12" ht="15.45" customHeight="1" x14ac:dyDescent="0.3">
      <c r="B166" s="43" t="s">
        <v>233</v>
      </c>
      <c r="C166" s="44">
        <f>INDICATORS!C28</f>
        <v>3067.9075521881737</v>
      </c>
    </row>
    <row r="167" spans="2:12" ht="15.45" customHeight="1" x14ac:dyDescent="0.3">
      <c r="B167" s="20">
        <v>0.15</v>
      </c>
      <c r="C167" s="10">
        <f t="dataTable" ref="C167:C175" dt2D="0" dtr="0" r1="C62" ca="1"/>
        <v>2998.3355817977226</v>
      </c>
    </row>
    <row r="168" spans="2:12" ht="15.45" customHeight="1" x14ac:dyDescent="0.3">
      <c r="B168" s="20">
        <v>0.25</v>
      </c>
      <c r="C168" s="10">
        <v>3015.7285743953353</v>
      </c>
    </row>
    <row r="169" spans="2:12" ht="15.45" customHeight="1" x14ac:dyDescent="0.3">
      <c r="B169" s="20">
        <v>0.35</v>
      </c>
      <c r="C169" s="10">
        <v>3033.1215669929479</v>
      </c>
    </row>
    <row r="170" spans="2:12" ht="15.45" customHeight="1" x14ac:dyDescent="0.3">
      <c r="B170" s="20">
        <v>0.45</v>
      </c>
      <c r="C170" s="10">
        <v>3050.514559590561</v>
      </c>
    </row>
    <row r="171" spans="2:12" ht="15.45" customHeight="1" x14ac:dyDescent="0.3">
      <c r="B171" s="20">
        <v>0.55000000000000004</v>
      </c>
      <c r="C171" s="10">
        <v>3067.9075521881737</v>
      </c>
    </row>
    <row r="172" spans="2:12" ht="15.45" customHeight="1" x14ac:dyDescent="0.3">
      <c r="B172" s="20">
        <v>0.65</v>
      </c>
      <c r="C172" s="10">
        <v>3085.3005447857863</v>
      </c>
    </row>
    <row r="173" spans="2:12" ht="15.45" customHeight="1" x14ac:dyDescent="0.3">
      <c r="B173" s="20">
        <v>0.75</v>
      </c>
      <c r="C173" s="10">
        <v>3102.6935373833994</v>
      </c>
    </row>
    <row r="174" spans="2:12" ht="15.45" customHeight="1" x14ac:dyDescent="0.3">
      <c r="B174" s="20">
        <v>0.85</v>
      </c>
      <c r="C174" s="10">
        <v>3120.0865299810121</v>
      </c>
    </row>
    <row r="175" spans="2:12" ht="15.45" customHeight="1" x14ac:dyDescent="0.3">
      <c r="B175" s="20">
        <v>0.95</v>
      </c>
      <c r="C175" s="10">
        <v>3137.4795225786247</v>
      </c>
    </row>
    <row r="177" spans="2:3" ht="15.45" customHeight="1" x14ac:dyDescent="0.3">
      <c r="B177" s="43" t="s">
        <v>232</v>
      </c>
      <c r="C177" s="44">
        <f>INDICATORS!C28</f>
        <v>3067.9075521881737</v>
      </c>
    </row>
    <row r="178" spans="2:3" ht="15.45" customHeight="1" x14ac:dyDescent="0.3">
      <c r="B178" s="11">
        <v>1000000</v>
      </c>
      <c r="C178" s="10">
        <f t="dataTable" ref="C178:C188" dt2D="0" dtr="0" r1="C86"/>
        <v>2975.5779481805184</v>
      </c>
    </row>
    <row r="179" spans="2:3" ht="15.45" customHeight="1" x14ac:dyDescent="0.3">
      <c r="B179" s="11">
        <v>1200000</v>
      </c>
      <c r="C179" s="10">
        <v>3000.0523296272131</v>
      </c>
    </row>
    <row r="180" spans="2:3" ht="15.45" customHeight="1" x14ac:dyDescent="0.3">
      <c r="B180" s="11">
        <v>1400000</v>
      </c>
      <c r="C180" s="10">
        <v>3024.5267110739078</v>
      </c>
    </row>
    <row r="181" spans="2:3" ht="15.45" customHeight="1" x14ac:dyDescent="0.3">
      <c r="B181" s="11">
        <v>1600000</v>
      </c>
      <c r="C181" s="10">
        <v>3049.001092520602</v>
      </c>
    </row>
    <row r="182" spans="2:3" ht="15.45" customHeight="1" x14ac:dyDescent="0.3">
      <c r="B182" s="11">
        <v>1800000</v>
      </c>
      <c r="C182" s="10">
        <v>3073.4754739672967</v>
      </c>
    </row>
    <row r="183" spans="2:3" ht="15.45" customHeight="1" x14ac:dyDescent="0.3">
      <c r="B183" s="11">
        <v>2000000</v>
      </c>
      <c r="C183" s="10">
        <v>3097.9498554139914</v>
      </c>
    </row>
    <row r="184" spans="2:3" ht="15.45" customHeight="1" x14ac:dyDescent="0.3">
      <c r="B184" s="11">
        <v>2200000</v>
      </c>
      <c r="C184" s="10">
        <v>3122.4242368606856</v>
      </c>
    </row>
    <row r="185" spans="2:3" ht="15.45" customHeight="1" x14ac:dyDescent="0.3">
      <c r="B185" s="11">
        <v>2400000</v>
      </c>
      <c r="C185" s="10">
        <v>3146.8986183073803</v>
      </c>
    </row>
    <row r="186" spans="2:3" ht="15.45" customHeight="1" x14ac:dyDescent="0.3">
      <c r="B186" s="11">
        <v>2600000</v>
      </c>
      <c r="C186" s="10">
        <v>3171.372999754075</v>
      </c>
    </row>
    <row r="187" spans="2:3" ht="15.45" customHeight="1" x14ac:dyDescent="0.3">
      <c r="B187" s="11">
        <v>2800000</v>
      </c>
      <c r="C187" s="10">
        <v>3195.8473812007696</v>
      </c>
    </row>
    <row r="188" spans="2:3" ht="15.45" customHeight="1" x14ac:dyDescent="0.3">
      <c r="B188" s="11">
        <v>3000000</v>
      </c>
      <c r="C188" s="10">
        <v>3220.3217626474639</v>
      </c>
    </row>
  </sheetData>
  <mergeCells count="84">
    <mergeCell ref="B115:L115"/>
    <mergeCell ref="B164:L164"/>
    <mergeCell ref="E137:K139"/>
    <mergeCell ref="E88:L88"/>
    <mergeCell ref="E89:L89"/>
    <mergeCell ref="E90:L90"/>
    <mergeCell ref="E91:L91"/>
    <mergeCell ref="B109:L110"/>
    <mergeCell ref="E94:L94"/>
    <mergeCell ref="E101:L101"/>
    <mergeCell ref="E103:L103"/>
    <mergeCell ref="E105:L105"/>
    <mergeCell ref="E104:L104"/>
    <mergeCell ref="E95:L95"/>
    <mergeCell ref="E96:L96"/>
    <mergeCell ref="E98:L98"/>
    <mergeCell ref="E99:L99"/>
    <mergeCell ref="E100:L100"/>
    <mergeCell ref="B112:L113"/>
    <mergeCell ref="E73:L73"/>
    <mergeCell ref="E74:L74"/>
    <mergeCell ref="E75:L75"/>
    <mergeCell ref="E76:L76"/>
    <mergeCell ref="E106:L106"/>
    <mergeCell ref="E107:L107"/>
    <mergeCell ref="E78:L78"/>
    <mergeCell ref="E83:L83"/>
    <mergeCell ref="E79:L79"/>
    <mergeCell ref="E80:L80"/>
    <mergeCell ref="E81:L81"/>
    <mergeCell ref="E84:L84"/>
    <mergeCell ref="E85:L85"/>
    <mergeCell ref="E86:L86"/>
    <mergeCell ref="E93:L93"/>
    <mergeCell ref="E68:L68"/>
    <mergeCell ref="E63:L63"/>
    <mergeCell ref="E64:L64"/>
    <mergeCell ref="E66:L66"/>
    <mergeCell ref="E67:L67"/>
    <mergeCell ref="E38:L38"/>
    <mergeCell ref="E29:L29"/>
    <mergeCell ref="E39:L39"/>
    <mergeCell ref="B14:L15"/>
    <mergeCell ref="E18:L18"/>
    <mergeCell ref="E19:L19"/>
    <mergeCell ref="E10:L10"/>
    <mergeCell ref="E11:L11"/>
    <mergeCell ref="E37:L37"/>
    <mergeCell ref="B70:L71"/>
    <mergeCell ref="E41:L41"/>
    <mergeCell ref="E42:L42"/>
    <mergeCell ref="E43:L43"/>
    <mergeCell ref="E44:L44"/>
    <mergeCell ref="E45:L45"/>
    <mergeCell ref="E48:L48"/>
    <mergeCell ref="E49:L49"/>
    <mergeCell ref="E50:L50"/>
    <mergeCell ref="E53:L53"/>
    <mergeCell ref="E54:L54"/>
    <mergeCell ref="E55:L55"/>
    <mergeCell ref="E46:L46"/>
    <mergeCell ref="E51:L51"/>
    <mergeCell ref="E58:L58"/>
    <mergeCell ref="E65:L65"/>
    <mergeCell ref="E59:L59"/>
    <mergeCell ref="E60:L60"/>
    <mergeCell ref="E61:L61"/>
    <mergeCell ref="E62:L62"/>
    <mergeCell ref="B158:L159"/>
    <mergeCell ref="B161:L162"/>
    <mergeCell ref="E12:L12"/>
    <mergeCell ref="B2:L3"/>
    <mergeCell ref="B21:L22"/>
    <mergeCell ref="B34:L35"/>
    <mergeCell ref="B5:L6"/>
    <mergeCell ref="E8:L8"/>
    <mergeCell ref="E9:L9"/>
    <mergeCell ref="E17:L17"/>
    <mergeCell ref="E24:L24"/>
    <mergeCell ref="E26:L26"/>
    <mergeCell ref="E27:L27"/>
    <mergeCell ref="E28:L28"/>
    <mergeCell ref="E32:L32"/>
    <mergeCell ref="E56:L56"/>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68"/>
  <sheetViews>
    <sheetView zoomScale="55" zoomScaleNormal="55" workbookViewId="0">
      <selection activeCell="U37" sqref="U37"/>
    </sheetView>
  </sheetViews>
  <sheetFormatPr defaultColWidth="8.796875" defaultRowHeight="15.45" customHeight="1" x14ac:dyDescent="0.3"/>
  <cols>
    <col min="1" max="1" width="3.69921875" customWidth="1"/>
    <col min="2" max="2" width="34.296875" customWidth="1"/>
    <col min="3" max="5" width="12.796875" customWidth="1"/>
    <col min="12" max="12" width="8.69921875" customWidth="1"/>
    <col min="13" max="14" width="3.69921875" style="35" hidden="1" customWidth="1"/>
    <col min="15" max="15" width="5.796875" customWidth="1"/>
    <col min="16" max="16" width="24.796875" customWidth="1"/>
    <col min="17" max="18" width="13.796875" customWidth="1"/>
    <col min="19" max="25" width="8.796875" customWidth="1"/>
  </cols>
  <sheetData>
    <row r="1" spans="2:22" ht="15.45" customHeight="1" thickBot="1" x14ac:dyDescent="0.35"/>
    <row r="2" spans="2:22" ht="15.45" customHeight="1" x14ac:dyDescent="0.3">
      <c r="B2" s="118" t="s">
        <v>99</v>
      </c>
      <c r="C2" s="119"/>
      <c r="D2" s="119"/>
      <c r="E2" s="119"/>
      <c r="F2" s="119"/>
      <c r="G2" s="119"/>
      <c r="H2" s="119"/>
      <c r="I2" s="119"/>
      <c r="J2" s="119"/>
      <c r="K2" s="119"/>
      <c r="L2" s="120"/>
      <c r="T2" s="105" t="s">
        <v>199</v>
      </c>
      <c r="U2" s="106"/>
      <c r="V2" s="107"/>
    </row>
    <row r="3" spans="2:22" ht="15.45" customHeight="1" thickBot="1" x14ac:dyDescent="0.35">
      <c r="B3" s="121"/>
      <c r="C3" s="122"/>
      <c r="D3" s="122"/>
      <c r="E3" s="122"/>
      <c r="F3" s="122"/>
      <c r="G3" s="122"/>
      <c r="H3" s="122"/>
      <c r="I3" s="122"/>
      <c r="J3" s="122"/>
      <c r="K3" s="122"/>
      <c r="L3" s="123"/>
      <c r="T3" s="108"/>
      <c r="U3" s="109"/>
      <c r="V3" s="110"/>
    </row>
    <row r="4" spans="2:22" ht="15.45" customHeight="1" thickBot="1" x14ac:dyDescent="0.35">
      <c r="T4" s="108"/>
      <c r="U4" s="109"/>
      <c r="V4" s="110"/>
    </row>
    <row r="5" spans="2:22" ht="15.45" customHeight="1" x14ac:dyDescent="0.3">
      <c r="B5" s="61" t="s">
        <v>101</v>
      </c>
      <c r="C5" s="62"/>
      <c r="D5" s="62"/>
      <c r="E5" s="62"/>
      <c r="F5" s="62"/>
      <c r="G5" s="62"/>
      <c r="H5" s="62"/>
      <c r="I5" s="62"/>
      <c r="J5" s="62"/>
      <c r="K5" s="62"/>
      <c r="L5" s="63"/>
      <c r="P5" s="61" t="s">
        <v>194</v>
      </c>
      <c r="Q5" s="62"/>
      <c r="R5" s="63"/>
      <c r="T5" s="108"/>
      <c r="U5" s="109"/>
      <c r="V5" s="110"/>
    </row>
    <row r="6" spans="2:22" ht="15.45" customHeight="1" thickBot="1" x14ac:dyDescent="0.35">
      <c r="B6" s="64"/>
      <c r="C6" s="65"/>
      <c r="D6" s="65"/>
      <c r="E6" s="65"/>
      <c r="F6" s="65"/>
      <c r="G6" s="65"/>
      <c r="H6" s="65"/>
      <c r="I6" s="65"/>
      <c r="J6" s="65"/>
      <c r="K6" s="65"/>
      <c r="L6" s="66"/>
      <c r="P6" s="64"/>
      <c r="Q6" s="65"/>
      <c r="R6" s="66"/>
      <c r="T6" s="108"/>
      <c r="U6" s="109"/>
      <c r="V6" s="110"/>
    </row>
    <row r="7" spans="2:22" ht="15.45" customHeight="1" thickBot="1" x14ac:dyDescent="0.35">
      <c r="T7" s="111"/>
      <c r="U7" s="112"/>
      <c r="V7" s="113"/>
    </row>
    <row r="8" spans="2:22" ht="15.45" customHeight="1" thickBot="1" x14ac:dyDescent="0.35">
      <c r="B8" s="51" t="s">
        <v>103</v>
      </c>
      <c r="C8" s="51" t="s">
        <v>50</v>
      </c>
      <c r="D8" s="51" t="s">
        <v>105</v>
      </c>
      <c r="E8" s="51" t="s">
        <v>104</v>
      </c>
      <c r="P8" s="102" t="s">
        <v>198</v>
      </c>
      <c r="Q8" s="103"/>
      <c r="R8" s="104"/>
    </row>
    <row r="9" spans="2:22" ht="15.45" customHeight="1" x14ac:dyDescent="0.3">
      <c r="B9" s="37" t="s">
        <v>1</v>
      </c>
      <c r="C9" s="38">
        <f>SUM(C10:C13)</f>
        <v>1716.3237000000004</v>
      </c>
      <c r="D9" s="38">
        <f>SUM(D10:D13)</f>
        <v>3432647.4000000004</v>
      </c>
      <c r="E9" s="42">
        <f>SUM(E10:E13)</f>
        <v>0.55944440006865226</v>
      </c>
      <c r="P9" s="52" t="s">
        <v>1</v>
      </c>
      <c r="Q9" s="47" t="s">
        <v>50</v>
      </c>
      <c r="R9" s="47" t="s">
        <v>105</v>
      </c>
    </row>
    <row r="10" spans="2:22" ht="15.45" customHeight="1" x14ac:dyDescent="0.3">
      <c r="B10" t="s">
        <v>58</v>
      </c>
      <c r="C10" s="5">
        <f>D10/INVENTORY!$C$9</f>
        <v>179.01</v>
      </c>
      <c r="D10" s="5">
        <f>R10</f>
        <v>358020</v>
      </c>
      <c r="E10" s="9">
        <f>C10/$C$28</f>
        <v>5.8349215859624506E-2</v>
      </c>
      <c r="P10" s="28" t="s">
        <v>58</v>
      </c>
      <c r="Q10" s="16">
        <f>IF(INVENTORY!$C$19,INVENTORY!$C$29*INVENTORY!$C$46,INVENTORY!$C$26*INVENTORY!$C$42)</f>
        <v>179.01</v>
      </c>
      <c r="R10" s="3">
        <f>Q10*INVENTORY!$C$9</f>
        <v>358020</v>
      </c>
    </row>
    <row r="11" spans="2:22" ht="15.45" customHeight="1" x14ac:dyDescent="0.3">
      <c r="B11" t="s">
        <v>59</v>
      </c>
      <c r="C11" s="5">
        <f>D11/INVENTORY!$C$9</f>
        <v>268.32</v>
      </c>
      <c r="D11" s="5">
        <f>R11</f>
        <v>536640</v>
      </c>
      <c r="E11" s="9">
        <f>C11/$C$28</f>
        <v>8.7460262552116919E-2</v>
      </c>
      <c r="P11" s="2" t="s">
        <v>59</v>
      </c>
      <c r="Q11" s="16">
        <f>INVENTORY!$C$27*INVENTORY!$C$43</f>
        <v>268.32</v>
      </c>
      <c r="R11" s="3">
        <f>Q11*INVENTORY!$C$9</f>
        <v>536640</v>
      </c>
    </row>
    <row r="12" spans="2:22" ht="15.45" customHeight="1" x14ac:dyDescent="0.4">
      <c r="B12" t="s">
        <v>102</v>
      </c>
      <c r="C12" s="5">
        <f>D12/INVENTORY!$C$9</f>
        <v>1.1861999999999999</v>
      </c>
      <c r="D12" s="5">
        <f>R12</f>
        <v>2372.3999999999996</v>
      </c>
      <c r="E12" s="9">
        <f>C12/$C$28</f>
        <v>3.8664789594260987E-4</v>
      </c>
      <c r="P12" s="2" t="s">
        <v>102</v>
      </c>
      <c r="Q12" s="16">
        <f>INVENTORY!$C$28*INVENTORY!$C$44</f>
        <v>1.1861999999999999</v>
      </c>
      <c r="R12" s="3">
        <f>Q12*INVENTORY!$C$9</f>
        <v>2372.3999999999996</v>
      </c>
    </row>
    <row r="13" spans="2:22" ht="15.45" customHeight="1" x14ac:dyDescent="0.3">
      <c r="B13" t="s">
        <v>60</v>
      </c>
      <c r="C13" s="5">
        <f>D13/INVENTORY!$C$9</f>
        <v>1267.8075000000003</v>
      </c>
      <c r="D13" s="5">
        <f>R13</f>
        <v>2535615.0000000005</v>
      </c>
      <c r="E13" s="9">
        <f>C13/$C$28</f>
        <v>0.41324827376096823</v>
      </c>
      <c r="P13" s="8" t="s">
        <v>60</v>
      </c>
      <c r="Q13" s="17">
        <f>INVENTORY!$C$32*INVENTORY!$C$45</f>
        <v>1267.8075000000001</v>
      </c>
      <c r="R13" s="18">
        <f>Q13*INVENTORY!$C$9</f>
        <v>2535615.0000000005</v>
      </c>
      <c r="U13" t="e">
        <f>sum</f>
        <v>#NAME?</v>
      </c>
    </row>
    <row r="14" spans="2:22" ht="15.45" customHeight="1" x14ac:dyDescent="0.3">
      <c r="P14" s="2" t="s">
        <v>4</v>
      </c>
      <c r="Q14" s="16">
        <f>SUM(Q10:Q13)</f>
        <v>1716.3237000000001</v>
      </c>
      <c r="R14" s="3">
        <f>SUM(R10:R13)</f>
        <v>3432647.4000000004</v>
      </c>
    </row>
    <row r="15" spans="2:22" ht="15.45" customHeight="1" x14ac:dyDescent="0.3">
      <c r="B15" s="39" t="s">
        <v>13</v>
      </c>
      <c r="C15" s="24">
        <f>SUM(C16:C18)</f>
        <v>1080.5243346</v>
      </c>
      <c r="D15" s="24">
        <f>SUM(D16:D18)</f>
        <v>2161048.6691999999</v>
      </c>
      <c r="E15" s="41">
        <f>SUM(E16:E18)</f>
        <v>0.35220237775069851</v>
      </c>
      <c r="P15" s="2"/>
      <c r="R15" s="1"/>
      <c r="T15" s="59"/>
      <c r="U15" s="59"/>
      <c r="V15" s="59"/>
    </row>
    <row r="16" spans="2:22" ht="15.45" customHeight="1" x14ac:dyDescent="0.3">
      <c r="B16" t="s">
        <v>6</v>
      </c>
      <c r="C16" s="5">
        <f>D16/INVENTORY!$C$9</f>
        <v>507.28841999999997</v>
      </c>
      <c r="D16" s="5">
        <f>R17</f>
        <v>1014576.84</v>
      </c>
      <c r="E16" s="9">
        <f>C16/$C$28</f>
        <v>0.16535322899093827</v>
      </c>
      <c r="P16" s="53" t="s">
        <v>5</v>
      </c>
      <c r="Q16" s="53" t="s">
        <v>50</v>
      </c>
      <c r="R16" s="53" t="s">
        <v>105</v>
      </c>
    </row>
    <row r="17" spans="2:18" ht="15.45" customHeight="1" x14ac:dyDescent="0.3">
      <c r="B17" t="s">
        <v>7</v>
      </c>
      <c r="C17" s="5">
        <f>D17/INVENTORY!$C$9</f>
        <v>253.64420999999999</v>
      </c>
      <c r="D17" s="5">
        <f>R18</f>
        <v>507288.42</v>
      </c>
      <c r="E17" s="9">
        <f>C17/$C$28</f>
        <v>8.2676614495469133E-2</v>
      </c>
      <c r="P17" s="2" t="s">
        <v>6</v>
      </c>
      <c r="Q17" s="16">
        <f>R17/INVENTORY!$C$9</f>
        <v>507.28841999999997</v>
      </c>
      <c r="R17" s="3">
        <f>INVENTORY!$C$54*$C$38</f>
        <v>1014576.84</v>
      </c>
    </row>
    <row r="18" spans="2:18" ht="15.45" customHeight="1" x14ac:dyDescent="0.3">
      <c r="B18" t="s">
        <v>8</v>
      </c>
      <c r="C18" s="5">
        <f>D18/INVENTORY!$C$9</f>
        <v>319.59170460000001</v>
      </c>
      <c r="D18" s="5">
        <f>R19</f>
        <v>639183.40919999999</v>
      </c>
      <c r="E18" s="9">
        <f>C18/$C$28</f>
        <v>0.10417253426429111</v>
      </c>
      <c r="P18" s="2" t="s">
        <v>7</v>
      </c>
      <c r="Q18" s="16">
        <f>R18/INVENTORY!$C$9</f>
        <v>253.64420999999999</v>
      </c>
      <c r="R18" s="3">
        <f>INVENTORY!$C$55*R17</f>
        <v>507288.42</v>
      </c>
    </row>
    <row r="19" spans="2:18" ht="15.45" customHeight="1" x14ac:dyDescent="0.3">
      <c r="P19" s="8" t="s">
        <v>8</v>
      </c>
      <c r="Q19" s="16">
        <f>R19/INVENTORY!$C$9</f>
        <v>319.59170460000001</v>
      </c>
      <c r="R19" s="3">
        <f>INVENTORY!$C$56*SUM(R17:R18)</f>
        <v>639183.40919999999</v>
      </c>
    </row>
    <row r="20" spans="2:18" ht="15.45" customHeight="1" x14ac:dyDescent="0.3">
      <c r="B20" s="39" t="s">
        <v>9</v>
      </c>
      <c r="C20" s="24">
        <f>SUM(C21:C26)</f>
        <v>271.05951758817309</v>
      </c>
      <c r="D20" s="24">
        <f>SUM(D21:D26)</f>
        <v>542119.03517634619</v>
      </c>
      <c r="E20" s="41">
        <f>SUM(E21:E26)</f>
        <v>8.835322218064913E-2</v>
      </c>
      <c r="P20" s="2" t="s">
        <v>4</v>
      </c>
      <c r="Q20" s="13">
        <f>SUM(Q17:Q19)</f>
        <v>1080.5243346</v>
      </c>
      <c r="R20" s="12">
        <f>SUM(R17:R19)</f>
        <v>2161048.6691999999</v>
      </c>
    </row>
    <row r="21" spans="2:18" ht="15.45" customHeight="1" x14ac:dyDescent="0.3">
      <c r="B21" t="s">
        <v>35</v>
      </c>
      <c r="C21" s="5">
        <f>D21/INVENTORY!$C$9</f>
        <v>0.11542794853691353</v>
      </c>
      <c r="D21" s="5">
        <f t="shared" ref="D21:D26" si="0">R23</f>
        <v>230.85589707382707</v>
      </c>
      <c r="E21" s="9">
        <f t="shared" ref="E21:E26" si="1">C21/$C$28</f>
        <v>3.7624324257940883E-5</v>
      </c>
      <c r="P21" s="2"/>
      <c r="R21" s="7"/>
    </row>
    <row r="22" spans="2:18" ht="15.45" customHeight="1" x14ac:dyDescent="0.3">
      <c r="B22" t="s">
        <v>32</v>
      </c>
      <c r="C22" s="5">
        <f>D22/INVENTORY!$C$9</f>
        <v>208.41001858415947</v>
      </c>
      <c r="D22" s="5">
        <f t="shared" si="0"/>
        <v>416820.03716831893</v>
      </c>
      <c r="E22" s="9">
        <f t="shared" si="1"/>
        <v>6.7932300774680057E-2</v>
      </c>
      <c r="P22" s="53" t="s">
        <v>9</v>
      </c>
      <c r="Q22" s="53" t="s">
        <v>50</v>
      </c>
      <c r="R22" s="53" t="s">
        <v>105</v>
      </c>
    </row>
    <row r="23" spans="2:18" ht="15.45" customHeight="1" x14ac:dyDescent="0.3">
      <c r="B23" t="s">
        <v>22</v>
      </c>
      <c r="C23" s="5">
        <f>D23/INVENTORY!$C$9</f>
        <v>48.716209666795287</v>
      </c>
      <c r="D23" s="5">
        <f t="shared" si="0"/>
        <v>97432.419333590573</v>
      </c>
      <c r="E23" s="9">
        <f t="shared" si="1"/>
        <v>1.587929519976853E-2</v>
      </c>
      <c r="P23" s="2" t="s">
        <v>35</v>
      </c>
      <c r="Q23" s="16">
        <f>R23/INVENTORY!$C$9</f>
        <v>0.11542794853691353</v>
      </c>
      <c r="R23" s="3">
        <f>PMT(INVENTORY!$C$59,INVENTORY!$C$66,-INVENTORY!$C$67*$C$68,0,1)</f>
        <v>230.85589707382707</v>
      </c>
    </row>
    <row r="24" spans="2:18" ht="15.45" customHeight="1" x14ac:dyDescent="0.3">
      <c r="B24" t="s">
        <v>10</v>
      </c>
      <c r="C24" s="5">
        <f>D24/INVENTORY!$C$9</f>
        <v>12.179052416698822</v>
      </c>
      <c r="D24" s="5">
        <f t="shared" si="0"/>
        <v>24358.104833397643</v>
      </c>
      <c r="E24" s="9">
        <f t="shared" si="1"/>
        <v>3.9698237999421324E-3</v>
      </c>
      <c r="P24" s="2" t="s">
        <v>32</v>
      </c>
      <c r="Q24" s="16">
        <f>R24/INVENTORY!$C$9</f>
        <v>208.41001858415947</v>
      </c>
      <c r="R24" s="3">
        <f>PMT(INVENTORY!$C$59,INVENTORY!$C$65,-Q38,0,1)</f>
        <v>416820.03716831893</v>
      </c>
    </row>
    <row r="25" spans="2:18" ht="15.45" customHeight="1" x14ac:dyDescent="0.3">
      <c r="B25" t="s">
        <v>17</v>
      </c>
      <c r="C25" s="5">
        <f>D25/INVENTORY!$C$9</f>
        <v>0.42080644885391721</v>
      </c>
      <c r="D25" s="5">
        <f t="shared" si="0"/>
        <v>841.61289770783446</v>
      </c>
      <c r="E25" s="9">
        <f t="shared" si="1"/>
        <v>1.3716399262219572E-4</v>
      </c>
      <c r="P25" s="2" t="s">
        <v>22</v>
      </c>
      <c r="Q25" s="16">
        <f>R25/INVENTORY!$C$9</f>
        <v>48.716209666795287</v>
      </c>
      <c r="R25" s="3">
        <f>INVENTORY!$C$60*SUM(Q34:Q35)</f>
        <v>97432.419333590573</v>
      </c>
    </row>
    <row r="26" spans="2:18" ht="15.45" customHeight="1" x14ac:dyDescent="0.3">
      <c r="B26" t="s">
        <v>106</v>
      </c>
      <c r="C26" s="5">
        <f>D26/INVENTORY!$C$9</f>
        <v>1.2180025231286793</v>
      </c>
      <c r="D26" s="5">
        <f t="shared" si="0"/>
        <v>2436.0050462573586</v>
      </c>
      <c r="E26" s="9">
        <f t="shared" si="1"/>
        <v>3.9701408937826158E-4</v>
      </c>
      <c r="P26" s="2" t="s">
        <v>10</v>
      </c>
      <c r="Q26" s="16">
        <f>R26/INVENTORY!$C$9</f>
        <v>12.179052416698822</v>
      </c>
      <c r="R26" s="3">
        <f>INVENTORY!$C$61*SUM(Q34:Q35)</f>
        <v>24358.104833397643</v>
      </c>
    </row>
    <row r="27" spans="2:18" ht="15.45" customHeight="1" x14ac:dyDescent="0.3">
      <c r="P27" s="2" t="s">
        <v>17</v>
      </c>
      <c r="Q27" s="16">
        <f>R27/INVENTORY!$C$9</f>
        <v>0.42080644885391721</v>
      </c>
      <c r="R27" s="3">
        <f>IF(INVENTORY!$C$18,INVENTORY!$C$51,INVENTORY!$C$49)*$C$60</f>
        <v>841.61289770783446</v>
      </c>
    </row>
    <row r="28" spans="2:18" ht="15.45" customHeight="1" x14ac:dyDescent="0.3">
      <c r="B28" s="48" t="s">
        <v>11</v>
      </c>
      <c r="C28" s="54">
        <f>C9+C15+C20</f>
        <v>3067.9075521881737</v>
      </c>
      <c r="D28" s="40">
        <f>D9+D15+D20</f>
        <v>6135815.1043763459</v>
      </c>
      <c r="E28" s="55">
        <f>E9+E15+E20</f>
        <v>0.99999999999999989</v>
      </c>
      <c r="P28" s="8" t="s">
        <v>106</v>
      </c>
      <c r="Q28" s="17">
        <f>R28/INVENTORY!$C$9</f>
        <v>1.2180025231286793</v>
      </c>
      <c r="R28" s="18">
        <f>$C$61*INVENTORY!$C$50</f>
        <v>2436.0050462573586</v>
      </c>
    </row>
    <row r="29" spans="2:18" ht="15.45" customHeight="1" x14ac:dyDescent="0.3">
      <c r="P29" s="2" t="s">
        <v>4</v>
      </c>
      <c r="Q29" s="16">
        <f>SUM(Q23:Q28)</f>
        <v>271.05951758817309</v>
      </c>
      <c r="R29" s="3">
        <f>SUM(R23:R28)</f>
        <v>542119.03517634619</v>
      </c>
    </row>
    <row r="30" spans="2:18" ht="15.45" customHeight="1" x14ac:dyDescent="0.3">
      <c r="B30" s="51" t="s">
        <v>108</v>
      </c>
      <c r="C30" s="51" t="s">
        <v>43</v>
      </c>
      <c r="D30" s="51" t="s">
        <v>25</v>
      </c>
      <c r="E30" s="114" t="s">
        <v>47</v>
      </c>
      <c r="F30" s="115"/>
      <c r="G30" s="115"/>
      <c r="H30" s="115"/>
      <c r="I30" s="115"/>
      <c r="J30" s="115"/>
      <c r="K30" s="115"/>
      <c r="L30" s="116"/>
      <c r="P30" s="2"/>
      <c r="R30" s="1"/>
    </row>
    <row r="31" spans="2:18" ht="15.45" customHeight="1" x14ac:dyDescent="0.4">
      <c r="B31" t="s">
        <v>109</v>
      </c>
      <c r="C31" s="15">
        <f>INVENTORY!$C$28</f>
        <v>9.8849999999999998</v>
      </c>
      <c r="D31" t="s">
        <v>107</v>
      </c>
      <c r="E31" s="117" t="s">
        <v>110</v>
      </c>
      <c r="F31" s="117"/>
      <c r="G31" s="117"/>
      <c r="H31" s="117"/>
      <c r="I31" s="117"/>
      <c r="J31" s="117"/>
      <c r="K31" s="117"/>
      <c r="L31" s="117"/>
      <c r="P31" s="48" t="s">
        <v>225</v>
      </c>
      <c r="Q31" s="49">
        <f>Q14+Q20+Q29</f>
        <v>3067.9075521881732</v>
      </c>
      <c r="R31" s="50">
        <f>Q31*INVENTORY!$C$9</f>
        <v>6135815.1043763468</v>
      </c>
    </row>
    <row r="32" spans="2:18" ht="15.45" customHeight="1" thickBot="1" x14ac:dyDescent="0.35">
      <c r="P32" s="2"/>
      <c r="R32" s="58"/>
    </row>
    <row r="33" spans="2:18" ht="15.45" customHeight="1" x14ac:dyDescent="0.3">
      <c r="B33" s="61" t="s">
        <v>100</v>
      </c>
      <c r="C33" s="62"/>
      <c r="D33" s="62"/>
      <c r="E33" s="62"/>
      <c r="F33" s="62"/>
      <c r="G33" s="62"/>
      <c r="H33" s="62"/>
      <c r="I33" s="62"/>
      <c r="J33" s="62"/>
      <c r="K33" s="62"/>
      <c r="L33" s="63"/>
      <c r="P33" s="53" t="s">
        <v>203</v>
      </c>
      <c r="Q33" s="53" t="s">
        <v>24</v>
      </c>
      <c r="R33" s="53"/>
    </row>
    <row r="34" spans="2:18" ht="15.45" customHeight="1" thickBot="1" x14ac:dyDescent="0.35">
      <c r="B34" s="64"/>
      <c r="C34" s="65"/>
      <c r="D34" s="65"/>
      <c r="E34" s="65"/>
      <c r="F34" s="65"/>
      <c r="G34" s="65"/>
      <c r="H34" s="65"/>
      <c r="I34" s="65"/>
      <c r="J34" s="65"/>
      <c r="K34" s="65"/>
      <c r="L34" s="66"/>
      <c r="P34" s="28" t="s">
        <v>208</v>
      </c>
      <c r="Q34" s="29">
        <f>$C$49</f>
        <v>1570372.5175201178</v>
      </c>
      <c r="R34" s="56"/>
    </row>
    <row r="35" spans="2:18" ht="15.45" customHeight="1" x14ac:dyDescent="0.3">
      <c r="P35" s="2" t="s">
        <v>133</v>
      </c>
      <c r="Q35" s="16">
        <f>INVENTORY!$C$62*(Q34+$C$68*INVENTORY!$C$67)</f>
        <v>865437.9658196466</v>
      </c>
      <c r="R35" s="3"/>
    </row>
    <row r="36" spans="2:18" ht="15.45" customHeight="1" x14ac:dyDescent="0.3">
      <c r="B36" s="51" t="s">
        <v>13</v>
      </c>
      <c r="C36" s="51" t="s">
        <v>43</v>
      </c>
      <c r="D36" s="51" t="s">
        <v>25</v>
      </c>
      <c r="E36" s="114" t="s">
        <v>47</v>
      </c>
      <c r="F36" s="115"/>
      <c r="G36" s="115"/>
      <c r="H36" s="115"/>
      <c r="I36" s="115"/>
      <c r="J36" s="115"/>
      <c r="K36" s="115"/>
      <c r="L36" s="116"/>
      <c r="P36" s="2" t="s">
        <v>33</v>
      </c>
      <c r="Q36" s="5">
        <f>INVENTORY!$C$63*(Q34+Q35+$C$68*INVENTORY!$C$67)</f>
        <v>487792.3080074371</v>
      </c>
      <c r="R36" s="1"/>
    </row>
    <row r="37" spans="2:18" ht="15.45" customHeight="1" x14ac:dyDescent="0.3">
      <c r="B37" t="s">
        <v>29</v>
      </c>
      <c r="C37" s="11">
        <f>INVENTORY!$C$10*365.25*24</f>
        <v>7889.4000000000005</v>
      </c>
      <c r="D37" t="s">
        <v>212</v>
      </c>
      <c r="E37" s="73" t="s">
        <v>130</v>
      </c>
      <c r="F37" s="73"/>
      <c r="G37" s="73"/>
      <c r="H37" s="73"/>
      <c r="I37" s="73"/>
      <c r="J37" s="73"/>
      <c r="K37" s="73"/>
      <c r="L37" s="73"/>
      <c r="P37" s="2" t="s">
        <v>34</v>
      </c>
      <c r="Q37" s="5">
        <f>INVENTORY!$C$64*(Q34+Q35+$C$68*INVENTORY!$C$67)</f>
        <v>243896.15400371855</v>
      </c>
      <c r="R37" s="1"/>
    </row>
    <row r="38" spans="2:18" ht="15.45" customHeight="1" x14ac:dyDescent="0.3">
      <c r="B38" t="s">
        <v>131</v>
      </c>
      <c r="C38" s="11">
        <f>INVENTORY!$C$11*C37</f>
        <v>31557.600000000002</v>
      </c>
      <c r="D38" t="s">
        <v>212</v>
      </c>
      <c r="E38" s="73" t="s">
        <v>132</v>
      </c>
      <c r="F38" s="73"/>
      <c r="G38" s="73"/>
      <c r="H38" s="73"/>
      <c r="I38" s="73"/>
      <c r="J38" s="73"/>
      <c r="K38" s="73"/>
      <c r="L38" s="73"/>
      <c r="P38" s="26" t="s">
        <v>4</v>
      </c>
      <c r="Q38" s="27">
        <f>SUM(Q34:Q37)</f>
        <v>3167498.9453509199</v>
      </c>
      <c r="R38" s="57"/>
    </row>
    <row r="40" spans="2:18" ht="15.45" customHeight="1" x14ac:dyDescent="0.3">
      <c r="B40" s="51" t="s">
        <v>205</v>
      </c>
      <c r="C40" s="51" t="s">
        <v>43</v>
      </c>
      <c r="D40" s="51" t="s">
        <v>25</v>
      </c>
      <c r="E40" s="114" t="s">
        <v>47</v>
      </c>
      <c r="F40" s="115"/>
      <c r="G40" s="115"/>
      <c r="H40" s="115"/>
      <c r="I40" s="115"/>
      <c r="J40" s="115"/>
      <c r="K40" s="115"/>
      <c r="L40" s="116"/>
    </row>
    <row r="41" spans="2:18" ht="15.45" customHeight="1" x14ac:dyDescent="0.3">
      <c r="B41" t="s">
        <v>111</v>
      </c>
      <c r="C41" s="6">
        <f>((INVENTORY!$C$9*INVENTORY!$C$27)/$C$37)/INVENTORY!$C$74</f>
        <v>3.9546733591908128</v>
      </c>
      <c r="D41" t="s">
        <v>241</v>
      </c>
      <c r="E41" s="73" t="s">
        <v>164</v>
      </c>
      <c r="F41" s="73"/>
      <c r="G41" s="73"/>
      <c r="H41" s="73"/>
      <c r="I41" s="73"/>
      <c r="J41" s="73"/>
      <c r="K41" s="73"/>
      <c r="L41" s="73"/>
    </row>
    <row r="42" spans="2:18" ht="15.45" customHeight="1" x14ac:dyDescent="0.3">
      <c r="B42" t="s">
        <v>112</v>
      </c>
      <c r="C42" s="6">
        <f>((INVENTORY!$C$9*INVENTORY!$C$32)/$C$37)/INVENTORY!$C$75</f>
        <v>12.738611301239636</v>
      </c>
      <c r="D42" t="s">
        <v>241</v>
      </c>
      <c r="E42" s="73" t="s">
        <v>165</v>
      </c>
      <c r="F42" s="73"/>
      <c r="G42" s="73"/>
      <c r="H42" s="73"/>
      <c r="I42" s="73"/>
      <c r="J42" s="73"/>
      <c r="K42" s="73"/>
      <c r="L42" s="73"/>
    </row>
    <row r="43" spans="2:18" ht="15.45" customHeight="1" x14ac:dyDescent="0.3">
      <c r="B43" t="s">
        <v>113</v>
      </c>
      <c r="C43" s="6">
        <f>((INVENTORY!$C$9*INVENTORY!$C$32)/$C$37)/INVENTORY!$C$76</f>
        <v>12.738611301239636</v>
      </c>
      <c r="D43" t="s">
        <v>241</v>
      </c>
      <c r="E43" s="73" t="s">
        <v>166</v>
      </c>
      <c r="F43" s="73"/>
      <c r="G43" s="73"/>
      <c r="H43" s="73"/>
      <c r="I43" s="73"/>
      <c r="J43" s="73"/>
      <c r="K43" s="73"/>
      <c r="L43" s="73"/>
    </row>
    <row r="45" spans="2:18" ht="15.45" customHeight="1" x14ac:dyDescent="0.4">
      <c r="B45" t="s">
        <v>114</v>
      </c>
      <c r="C45" s="11">
        <f>(INVENTORY!C84*(C41/INVENTORY!C79)^INVENTORY!C94)*INVENTORY!C89</f>
        <v>125954.90652613423</v>
      </c>
      <c r="D45" t="s">
        <v>0</v>
      </c>
      <c r="E45" s="73" t="s">
        <v>217</v>
      </c>
      <c r="F45" s="73"/>
      <c r="G45" s="73"/>
      <c r="H45" s="73"/>
      <c r="I45" s="73"/>
      <c r="J45" s="73"/>
      <c r="K45" s="73"/>
      <c r="L45" s="73"/>
    </row>
    <row r="46" spans="2:18" ht="15.45" customHeight="1" x14ac:dyDescent="0.4">
      <c r="B46" t="s">
        <v>115</v>
      </c>
      <c r="C46" s="11">
        <f>(INVENTORY!C85*(C42/INVENTORY!C80)^INVENTORY!C95)*INVENTORY!C90</f>
        <v>191269.66997772671</v>
      </c>
      <c r="D46" t="s">
        <v>0</v>
      </c>
      <c r="E46" s="73" t="s">
        <v>218</v>
      </c>
      <c r="F46" s="73"/>
      <c r="G46" s="73"/>
      <c r="H46" s="73"/>
      <c r="I46" s="73"/>
      <c r="J46" s="73"/>
      <c r="K46" s="73"/>
      <c r="L46" s="73"/>
    </row>
    <row r="47" spans="2:18" ht="15.45" customHeight="1" x14ac:dyDescent="0.4">
      <c r="B47" t="s">
        <v>116</v>
      </c>
      <c r="C47" s="11">
        <f>(INVENTORY!C86*(C43/INVENTORY!C81)^INVENTORY!C96)*INVENTORY!C91</f>
        <v>1253147.9410162568</v>
      </c>
      <c r="D47" t="s">
        <v>0</v>
      </c>
      <c r="E47" s="73" t="s">
        <v>219</v>
      </c>
      <c r="F47" s="73"/>
      <c r="G47" s="73"/>
      <c r="H47" s="73"/>
      <c r="I47" s="73"/>
      <c r="J47" s="73"/>
      <c r="K47" s="73"/>
      <c r="L47" s="73"/>
    </row>
    <row r="48" spans="2:18" ht="15.45" customHeight="1" x14ac:dyDescent="0.3">
      <c r="C48" s="11"/>
      <c r="E48" s="31"/>
      <c r="F48" s="31"/>
      <c r="G48" s="31"/>
      <c r="H48" s="31"/>
      <c r="I48" s="31"/>
      <c r="J48" s="31"/>
      <c r="K48" s="31"/>
      <c r="L48" s="31"/>
    </row>
    <row r="49" spans="2:18" ht="15.45" customHeight="1" x14ac:dyDescent="0.3">
      <c r="B49" t="s">
        <v>214</v>
      </c>
      <c r="C49" s="11">
        <f>SUMPRODUCT(C45:C47,INVENTORY!$C$74:$C$76)</f>
        <v>1570372.5175201178</v>
      </c>
      <c r="D49" t="s">
        <v>86</v>
      </c>
      <c r="E49" s="73" t="s">
        <v>226</v>
      </c>
      <c r="F49" s="73"/>
      <c r="G49" s="73"/>
      <c r="H49" s="73"/>
      <c r="I49" s="73"/>
      <c r="J49" s="73"/>
      <c r="K49" s="73"/>
      <c r="L49" s="73"/>
    </row>
    <row r="51" spans="2:18" ht="15.45" customHeight="1" x14ac:dyDescent="0.3">
      <c r="B51" s="51" t="s">
        <v>206</v>
      </c>
      <c r="C51" s="51" t="s">
        <v>43</v>
      </c>
      <c r="D51" s="51" t="s">
        <v>25</v>
      </c>
      <c r="E51" s="114" t="s">
        <v>47</v>
      </c>
      <c r="F51" s="115"/>
      <c r="G51" s="115"/>
      <c r="H51" s="115"/>
      <c r="I51" s="115"/>
      <c r="J51" s="115"/>
      <c r="K51" s="115"/>
      <c r="L51" s="116"/>
    </row>
    <row r="52" spans="2:18" ht="15.45" customHeight="1" x14ac:dyDescent="0.3">
      <c r="B52" t="s">
        <v>117</v>
      </c>
      <c r="C52" s="6">
        <f>INVENTORY!C99*(C41/INVENTORY!C79)</f>
        <v>0.80094650312725324</v>
      </c>
      <c r="D52" t="s">
        <v>236</v>
      </c>
      <c r="E52" s="73" t="s">
        <v>127</v>
      </c>
      <c r="F52" s="73"/>
      <c r="G52" s="73"/>
      <c r="H52" s="73"/>
      <c r="I52" s="73"/>
      <c r="J52" s="73"/>
      <c r="K52" s="73"/>
      <c r="L52" s="73"/>
    </row>
    <row r="53" spans="2:18" ht="15.45" customHeight="1" x14ac:dyDescent="0.3">
      <c r="B53" t="s">
        <v>118</v>
      </c>
      <c r="C53" s="6">
        <f>INVENTORY!C100*(C42/INVENTORY!C80)</f>
        <v>0.72300226304333071</v>
      </c>
      <c r="D53" t="s">
        <v>236</v>
      </c>
      <c r="E53" s="73" t="s">
        <v>127</v>
      </c>
      <c r="F53" s="73"/>
      <c r="G53" s="73"/>
      <c r="H53" s="73"/>
      <c r="I53" s="73"/>
      <c r="J53" s="73"/>
      <c r="K53" s="73"/>
      <c r="L53" s="73"/>
    </row>
    <row r="54" spans="2:18" ht="15.45" customHeight="1" x14ac:dyDescent="0.3">
      <c r="B54" t="s">
        <v>119</v>
      </c>
      <c r="C54" s="6">
        <f>INVENTORY!C101*(C43/INVENTORY!C81)</f>
        <v>7.8567269029232403E-2</v>
      </c>
      <c r="D54" t="s">
        <v>237</v>
      </c>
      <c r="E54" s="73" t="s">
        <v>127</v>
      </c>
      <c r="F54" s="73"/>
      <c r="G54" s="73"/>
      <c r="H54" s="73"/>
      <c r="I54" s="73"/>
      <c r="J54" s="73"/>
      <c r="K54" s="73"/>
      <c r="L54" s="73"/>
    </row>
    <row r="55" spans="2:18" ht="15.45" customHeight="1" x14ac:dyDescent="0.3">
      <c r="R55" s="14"/>
    </row>
    <row r="56" spans="2:18" ht="15.45" customHeight="1" x14ac:dyDescent="0.3">
      <c r="B56" t="s">
        <v>120</v>
      </c>
      <c r="C56" s="11">
        <f>C52*$C$37</f>
        <v>6318.9873417721519</v>
      </c>
      <c r="D56" t="s">
        <v>239</v>
      </c>
      <c r="E56" s="73" t="s">
        <v>167</v>
      </c>
      <c r="F56" s="73"/>
      <c r="G56" s="73"/>
      <c r="H56" s="73"/>
      <c r="I56" s="73"/>
      <c r="J56" s="73"/>
      <c r="K56" s="73"/>
      <c r="L56" s="73"/>
    </row>
    <row r="57" spans="2:18" ht="15.45" customHeight="1" x14ac:dyDescent="0.3">
      <c r="B57" t="s">
        <v>121</v>
      </c>
      <c r="C57" s="11">
        <f>C53*$C$37</f>
        <v>5704.0540540540533</v>
      </c>
      <c r="D57" t="s">
        <v>239</v>
      </c>
      <c r="E57" s="73" t="s">
        <v>168</v>
      </c>
      <c r="F57" s="73"/>
      <c r="G57" s="73"/>
      <c r="H57" s="73"/>
      <c r="I57" s="73"/>
      <c r="J57" s="73"/>
      <c r="K57" s="73"/>
      <c r="L57" s="73"/>
    </row>
    <row r="58" spans="2:18" ht="15.45" customHeight="1" x14ac:dyDescent="0.3">
      <c r="B58" t="s">
        <v>122</v>
      </c>
      <c r="C58" s="11">
        <f>C54*$C$37</f>
        <v>619.84861227922613</v>
      </c>
      <c r="D58" t="s">
        <v>240</v>
      </c>
      <c r="E58" s="73" t="s">
        <v>169</v>
      </c>
      <c r="F58" s="73"/>
      <c r="G58" s="73"/>
      <c r="H58" s="73"/>
      <c r="I58" s="73"/>
      <c r="J58" s="73"/>
      <c r="K58" s="73"/>
      <c r="L58" s="73"/>
    </row>
    <row r="59" spans="2:18" ht="15.45" customHeight="1" x14ac:dyDescent="0.3">
      <c r="C59" s="11"/>
      <c r="E59" s="31"/>
      <c r="F59" s="31"/>
      <c r="G59" s="31"/>
      <c r="H59" s="31"/>
      <c r="I59" s="31"/>
      <c r="J59" s="31"/>
      <c r="K59" s="31"/>
      <c r="L59" s="31"/>
    </row>
    <row r="60" spans="2:18" ht="15.45" customHeight="1" x14ac:dyDescent="0.3">
      <c r="B60" t="s">
        <v>188</v>
      </c>
      <c r="C60" s="11">
        <f>C56*INVENTORY!$C$74+C57*INVENTORY!$C$75</f>
        <v>12023.041395826205</v>
      </c>
      <c r="D60" t="s">
        <v>190</v>
      </c>
      <c r="E60" s="73" t="s">
        <v>192</v>
      </c>
      <c r="F60" s="73"/>
      <c r="G60" s="73"/>
      <c r="H60" s="73"/>
      <c r="I60" s="73"/>
      <c r="J60" s="73"/>
      <c r="K60" s="73"/>
      <c r="L60" s="73"/>
    </row>
    <row r="61" spans="2:18" ht="15.45" customHeight="1" x14ac:dyDescent="0.3">
      <c r="B61" t="s">
        <v>189</v>
      </c>
      <c r="C61" s="11">
        <f>C58*INVENTORY!$C$76</f>
        <v>619.84861227922613</v>
      </c>
      <c r="D61" t="s">
        <v>191</v>
      </c>
      <c r="E61" s="73" t="s">
        <v>193</v>
      </c>
      <c r="F61" s="73"/>
      <c r="G61" s="73"/>
      <c r="H61" s="73"/>
      <c r="I61" s="73"/>
      <c r="J61" s="73"/>
      <c r="K61" s="73"/>
      <c r="L61" s="73"/>
    </row>
    <row r="63" spans="2:18" ht="15.45" customHeight="1" x14ac:dyDescent="0.3">
      <c r="B63" s="51" t="s">
        <v>207</v>
      </c>
      <c r="C63" s="51" t="s">
        <v>43</v>
      </c>
      <c r="D63" s="51" t="s">
        <v>25</v>
      </c>
      <c r="E63" s="114" t="s">
        <v>47</v>
      </c>
      <c r="F63" s="115"/>
      <c r="G63" s="115"/>
      <c r="H63" s="115"/>
      <c r="I63" s="115"/>
      <c r="J63" s="115"/>
      <c r="K63" s="115"/>
      <c r="L63" s="116"/>
    </row>
    <row r="64" spans="2:18" ht="15.45" customHeight="1" x14ac:dyDescent="0.4">
      <c r="B64" t="s">
        <v>123</v>
      </c>
      <c r="C64" s="6">
        <f>(1+INVENTORY!$C$68)*INVENTORY!C105*(C41/INVENTORY!C79)^INVENTORY!$C$104</f>
        <v>4.7659586157653724</v>
      </c>
      <c r="D64" s="36" t="s">
        <v>235</v>
      </c>
      <c r="E64" s="73" t="s">
        <v>238</v>
      </c>
      <c r="F64" s="73"/>
      <c r="G64" s="73"/>
      <c r="H64" s="73"/>
      <c r="I64" s="73"/>
      <c r="J64" s="73"/>
      <c r="K64" s="73"/>
      <c r="L64" s="73"/>
    </row>
    <row r="65" spans="2:12" ht="15.45" customHeight="1" x14ac:dyDescent="0.4">
      <c r="B65" t="s">
        <v>124</v>
      </c>
      <c r="C65" s="6">
        <f>(1+INVENTORY!$C$68)*INVENTORY!C106*(C42/INVENTORY!C80)^INVENTORY!$C$104</f>
        <v>2.5529806672033311</v>
      </c>
      <c r="D65" s="36" t="s">
        <v>235</v>
      </c>
      <c r="E65" s="73" t="s">
        <v>238</v>
      </c>
      <c r="F65" s="73"/>
      <c r="G65" s="73"/>
      <c r="H65" s="73"/>
      <c r="I65" s="73"/>
      <c r="J65" s="73"/>
      <c r="K65" s="73"/>
      <c r="L65" s="73"/>
    </row>
    <row r="66" spans="2:12" ht="15.45" customHeight="1" x14ac:dyDescent="0.4">
      <c r="B66" t="s">
        <v>125</v>
      </c>
      <c r="C66" s="6">
        <f>(1+INVENTORY!$C$68)*INVENTORY!C107*(C43/INVENTORY!C81)^INVENTORY!$C$104</f>
        <v>5.285287506716263</v>
      </c>
      <c r="D66" s="36" t="s">
        <v>235</v>
      </c>
      <c r="E66" s="73" t="s">
        <v>238</v>
      </c>
      <c r="F66" s="73"/>
      <c r="G66" s="73"/>
      <c r="H66" s="73"/>
      <c r="I66" s="73"/>
      <c r="J66" s="73"/>
      <c r="K66" s="73"/>
      <c r="L66" s="73"/>
    </row>
    <row r="67" spans="2:12" ht="15.45" customHeight="1" x14ac:dyDescent="0.3">
      <c r="C67" s="6"/>
      <c r="D67" s="36"/>
      <c r="E67" s="31"/>
      <c r="F67" s="31"/>
      <c r="G67" s="31"/>
      <c r="H67" s="31"/>
      <c r="I67" s="31"/>
      <c r="J67" s="31"/>
      <c r="K67" s="31"/>
      <c r="L67" s="31"/>
    </row>
    <row r="68" spans="2:12" ht="15.45" customHeight="1" x14ac:dyDescent="0.3">
      <c r="B68" t="s">
        <v>186</v>
      </c>
      <c r="C68" s="6">
        <f>SUMPRODUCT(C64:C66,INVENTORY!$C$74:$C$76)</f>
        <v>12.604226789684965</v>
      </c>
      <c r="D68" s="36" t="s">
        <v>94</v>
      </c>
      <c r="E68" s="73" t="s">
        <v>187</v>
      </c>
      <c r="F68" s="73"/>
      <c r="G68" s="73"/>
      <c r="H68" s="73"/>
      <c r="I68" s="73"/>
      <c r="J68" s="73"/>
      <c r="K68" s="73"/>
      <c r="L68" s="73"/>
    </row>
  </sheetData>
  <mergeCells count="33">
    <mergeCell ref="E68:L68"/>
    <mergeCell ref="B2:L3"/>
    <mergeCell ref="B5:L6"/>
    <mergeCell ref="E63:L63"/>
    <mergeCell ref="E45:L45"/>
    <mergeCell ref="E58:L58"/>
    <mergeCell ref="E60:L60"/>
    <mergeCell ref="E61:L61"/>
    <mergeCell ref="E51:L51"/>
    <mergeCell ref="E56:L56"/>
    <mergeCell ref="E57:L57"/>
    <mergeCell ref="E52:L52"/>
    <mergeCell ref="E53:L53"/>
    <mergeCell ref="E54:L54"/>
    <mergeCell ref="E49:L49"/>
    <mergeCell ref="E41:L41"/>
    <mergeCell ref="T2:V7"/>
    <mergeCell ref="E46:L46"/>
    <mergeCell ref="E47:L47"/>
    <mergeCell ref="E42:L42"/>
    <mergeCell ref="E43:L43"/>
    <mergeCell ref="E30:L30"/>
    <mergeCell ref="B33:L34"/>
    <mergeCell ref="E36:L36"/>
    <mergeCell ref="E40:L40"/>
    <mergeCell ref="E37:L37"/>
    <mergeCell ref="E38:L38"/>
    <mergeCell ref="E31:L31"/>
    <mergeCell ref="E64:L64"/>
    <mergeCell ref="E65:L65"/>
    <mergeCell ref="E66:L66"/>
    <mergeCell ref="P8:R8"/>
    <mergeCell ref="P5:R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109"/>
  <sheetViews>
    <sheetView topLeftCell="A92" zoomScale="70" zoomScaleNormal="100" workbookViewId="0">
      <selection activeCell="E39" sqref="E39"/>
    </sheetView>
  </sheetViews>
  <sheetFormatPr defaultColWidth="8.796875" defaultRowHeight="15.45" customHeight="1" x14ac:dyDescent="0.3"/>
  <cols>
    <col min="1" max="1" width="3.69921875" customWidth="1"/>
    <col min="2" max="2" width="34.296875" customWidth="1"/>
    <col min="3" max="4" width="12.796875" customWidth="1"/>
  </cols>
  <sheetData>
    <row r="1" spans="2:12" ht="15.45" customHeight="1" thickBot="1" x14ac:dyDescent="0.35"/>
    <row r="2" spans="2:12" ht="15.45" customHeight="1" x14ac:dyDescent="0.3">
      <c r="B2" s="118" t="s">
        <v>126</v>
      </c>
      <c r="C2" s="119"/>
      <c r="D2" s="119"/>
      <c r="E2" s="119"/>
      <c r="F2" s="119"/>
      <c r="G2" s="119"/>
      <c r="H2" s="119"/>
      <c r="I2" s="119"/>
      <c r="J2" s="119"/>
      <c r="K2" s="119"/>
      <c r="L2" s="120"/>
    </row>
    <row r="3" spans="2:12" ht="15.45" customHeight="1" thickBot="1" x14ac:dyDescent="0.35">
      <c r="B3" s="121"/>
      <c r="C3" s="122"/>
      <c r="D3" s="122"/>
      <c r="E3" s="122"/>
      <c r="F3" s="122"/>
      <c r="G3" s="122"/>
      <c r="H3" s="122"/>
      <c r="I3" s="122"/>
      <c r="J3" s="122"/>
      <c r="K3" s="122"/>
      <c r="L3" s="123"/>
    </row>
    <row r="4" spans="2:12" ht="15.45" customHeight="1" thickBot="1" x14ac:dyDescent="0.35"/>
    <row r="5" spans="2:12" ht="15.45" customHeight="1" x14ac:dyDescent="0.3">
      <c r="B5" s="61" t="s">
        <v>151</v>
      </c>
      <c r="C5" s="62"/>
      <c r="D5" s="62"/>
      <c r="E5" s="62"/>
      <c r="F5" s="62"/>
      <c r="G5" s="62"/>
      <c r="H5" s="62"/>
      <c r="I5" s="62"/>
      <c r="J5" s="62"/>
      <c r="K5" s="62"/>
      <c r="L5" s="63"/>
    </row>
    <row r="6" spans="2:12" ht="15.45" customHeight="1" thickBot="1" x14ac:dyDescent="0.35">
      <c r="B6" s="64"/>
      <c r="C6" s="65"/>
      <c r="D6" s="65"/>
      <c r="E6" s="65"/>
      <c r="F6" s="65"/>
      <c r="G6" s="65"/>
      <c r="H6" s="65"/>
      <c r="I6" s="65"/>
      <c r="J6" s="65"/>
      <c r="K6" s="65"/>
      <c r="L6" s="66"/>
    </row>
    <row r="8" spans="2:12" ht="15.45" customHeight="1" x14ac:dyDescent="0.3">
      <c r="B8" s="124" t="s">
        <v>39</v>
      </c>
      <c r="C8" s="125"/>
      <c r="D8" s="105" t="s">
        <v>185</v>
      </c>
      <c r="E8" s="106"/>
      <c r="F8" s="106"/>
      <c r="G8" s="106"/>
      <c r="H8" s="106"/>
      <c r="I8" s="106"/>
      <c r="J8" s="106"/>
      <c r="K8" s="106"/>
      <c r="L8" s="107"/>
    </row>
    <row r="9" spans="2:12" ht="15.45" customHeight="1" x14ac:dyDescent="0.3">
      <c r="B9" s="126"/>
      <c r="C9" s="127"/>
      <c r="D9" s="108"/>
      <c r="E9" s="109"/>
      <c r="F9" s="109"/>
      <c r="G9" s="109"/>
      <c r="H9" s="109"/>
      <c r="I9" s="109"/>
      <c r="J9" s="109"/>
      <c r="K9" s="109"/>
      <c r="L9" s="110"/>
    </row>
    <row r="10" spans="2:12" ht="15.45" customHeight="1" x14ac:dyDescent="0.3">
      <c r="B10" s="126"/>
      <c r="C10" s="127"/>
      <c r="D10" s="108"/>
      <c r="E10" s="109"/>
      <c r="F10" s="109"/>
      <c r="G10" s="109"/>
      <c r="H10" s="109"/>
      <c r="I10" s="109"/>
      <c r="J10" s="109"/>
      <c r="K10" s="109"/>
      <c r="L10" s="110"/>
    </row>
    <row r="11" spans="2:12" ht="15.45" customHeight="1" x14ac:dyDescent="0.3">
      <c r="B11" s="128"/>
      <c r="C11" s="129"/>
      <c r="D11" s="111"/>
      <c r="E11" s="112"/>
      <c r="F11" s="112"/>
      <c r="G11" s="112"/>
      <c r="H11" s="112"/>
      <c r="I11" s="112"/>
      <c r="J11" s="112"/>
      <c r="K11" s="112"/>
      <c r="L11" s="113"/>
    </row>
    <row r="13" spans="2:12" ht="15.45" customHeight="1" x14ac:dyDescent="0.3">
      <c r="B13" s="124" t="s">
        <v>40</v>
      </c>
      <c r="C13" s="125"/>
      <c r="D13" s="105" t="s">
        <v>222</v>
      </c>
      <c r="E13" s="106"/>
      <c r="F13" s="106"/>
      <c r="G13" s="106"/>
      <c r="H13" s="106"/>
      <c r="I13" s="106"/>
      <c r="J13" s="106"/>
      <c r="K13" s="106"/>
      <c r="L13" s="107"/>
    </row>
    <row r="14" spans="2:12" ht="15.45" customHeight="1" x14ac:dyDescent="0.3">
      <c r="B14" s="126"/>
      <c r="C14" s="127"/>
      <c r="D14" s="108"/>
      <c r="E14" s="109"/>
      <c r="F14" s="109"/>
      <c r="G14" s="109"/>
      <c r="H14" s="109"/>
      <c r="I14" s="109"/>
      <c r="J14" s="109"/>
      <c r="K14" s="109"/>
      <c r="L14" s="110"/>
    </row>
    <row r="15" spans="2:12" ht="15.45" customHeight="1" x14ac:dyDescent="0.3">
      <c r="B15" s="126"/>
      <c r="C15" s="127"/>
      <c r="D15" s="108"/>
      <c r="E15" s="109"/>
      <c r="F15" s="109"/>
      <c r="G15" s="109"/>
      <c r="H15" s="109"/>
      <c r="I15" s="109"/>
      <c r="J15" s="109"/>
      <c r="K15" s="109"/>
      <c r="L15" s="110"/>
    </row>
    <row r="16" spans="2:12" ht="15.45" customHeight="1" x14ac:dyDescent="0.3">
      <c r="B16" s="128"/>
      <c r="C16" s="129"/>
      <c r="D16" s="111"/>
      <c r="E16" s="112"/>
      <c r="F16" s="112"/>
      <c r="G16" s="112"/>
      <c r="H16" s="112"/>
      <c r="I16" s="112"/>
      <c r="J16" s="112"/>
      <c r="K16" s="112"/>
      <c r="L16" s="113"/>
    </row>
    <row r="17" spans="2:12" ht="15.45" customHeight="1" thickBot="1" x14ac:dyDescent="0.35"/>
    <row r="18" spans="2:12" ht="15.45" customHeight="1" x14ac:dyDescent="0.3">
      <c r="B18" s="61" t="s">
        <v>152</v>
      </c>
      <c r="C18" s="62"/>
      <c r="D18" s="62"/>
      <c r="E18" s="62"/>
      <c r="F18" s="62"/>
      <c r="G18" s="62"/>
      <c r="H18" s="62"/>
      <c r="I18" s="62"/>
      <c r="J18" s="62"/>
      <c r="K18" s="62"/>
      <c r="L18" s="63"/>
    </row>
    <row r="19" spans="2:12" ht="15.45" customHeight="1" thickBot="1" x14ac:dyDescent="0.35">
      <c r="B19" s="64"/>
      <c r="C19" s="65"/>
      <c r="D19" s="65"/>
      <c r="E19" s="65"/>
      <c r="F19" s="65"/>
      <c r="G19" s="65"/>
      <c r="H19" s="65"/>
      <c r="I19" s="65"/>
      <c r="J19" s="65"/>
      <c r="K19" s="65"/>
      <c r="L19" s="66"/>
    </row>
    <row r="21" spans="2:12" ht="15.45" customHeight="1" x14ac:dyDescent="0.3">
      <c r="B21" s="114" t="s">
        <v>177</v>
      </c>
      <c r="C21" s="115"/>
      <c r="D21" s="115"/>
      <c r="E21" s="115"/>
      <c r="F21" s="115"/>
      <c r="G21" s="115"/>
      <c r="H21" s="115"/>
      <c r="I21" s="115"/>
      <c r="J21" s="115"/>
      <c r="K21" s="115"/>
      <c r="L21" s="116"/>
    </row>
    <row r="40" spans="2:12" ht="15.45" customHeight="1" x14ac:dyDescent="0.3">
      <c r="B40" s="124" t="s">
        <v>243</v>
      </c>
      <c r="C40" s="125"/>
      <c r="D40" s="105" t="s">
        <v>209</v>
      </c>
      <c r="E40" s="106"/>
      <c r="F40" s="106"/>
      <c r="G40" s="106"/>
      <c r="H40" s="106"/>
      <c r="I40" s="106"/>
      <c r="J40" s="106"/>
      <c r="K40" s="106"/>
      <c r="L40" s="107"/>
    </row>
    <row r="41" spans="2:12" ht="15.45" customHeight="1" x14ac:dyDescent="0.3">
      <c r="B41" s="126"/>
      <c r="C41" s="127"/>
      <c r="D41" s="108"/>
      <c r="E41" s="109"/>
      <c r="F41" s="109"/>
      <c r="G41" s="109"/>
      <c r="H41" s="109"/>
      <c r="I41" s="109"/>
      <c r="J41" s="109"/>
      <c r="K41" s="109"/>
      <c r="L41" s="110"/>
    </row>
    <row r="42" spans="2:12" ht="15.45" customHeight="1" x14ac:dyDescent="0.3">
      <c r="B42" s="126"/>
      <c r="C42" s="127"/>
      <c r="D42" s="108"/>
      <c r="E42" s="109"/>
      <c r="F42" s="109"/>
      <c r="G42" s="109"/>
      <c r="H42" s="109"/>
      <c r="I42" s="109"/>
      <c r="J42" s="109"/>
      <c r="K42" s="109"/>
      <c r="L42" s="110"/>
    </row>
    <row r="43" spans="2:12" ht="15.45" customHeight="1" x14ac:dyDescent="0.3">
      <c r="B43" s="126"/>
      <c r="C43" s="127"/>
      <c r="D43" s="108"/>
      <c r="E43" s="109"/>
      <c r="F43" s="109"/>
      <c r="G43" s="109"/>
      <c r="H43" s="109"/>
      <c r="I43" s="109"/>
      <c r="J43" s="109"/>
      <c r="K43" s="109"/>
      <c r="L43" s="110"/>
    </row>
    <row r="44" spans="2:12" ht="15.45" customHeight="1" x14ac:dyDescent="0.3">
      <c r="B44" s="126"/>
      <c r="C44" s="127"/>
      <c r="D44" s="108"/>
      <c r="E44" s="109"/>
      <c r="F44" s="109"/>
      <c r="G44" s="109"/>
      <c r="H44" s="109"/>
      <c r="I44" s="109"/>
      <c r="J44" s="109"/>
      <c r="K44" s="109"/>
      <c r="L44" s="110"/>
    </row>
    <row r="45" spans="2:12" ht="15.45" customHeight="1" x14ac:dyDescent="0.3">
      <c r="B45" s="128"/>
      <c r="C45" s="129"/>
      <c r="D45" s="111"/>
      <c r="E45" s="112"/>
      <c r="F45" s="112"/>
      <c r="G45" s="112"/>
      <c r="H45" s="112"/>
      <c r="I45" s="112"/>
      <c r="J45" s="112"/>
      <c r="K45" s="112"/>
      <c r="L45" s="113"/>
    </row>
    <row r="47" spans="2:12" ht="15.45" customHeight="1" x14ac:dyDescent="0.3">
      <c r="B47" s="124" t="s">
        <v>248</v>
      </c>
      <c r="C47" s="125"/>
      <c r="D47" s="105" t="s">
        <v>223</v>
      </c>
      <c r="E47" s="106"/>
      <c r="F47" s="106"/>
      <c r="G47" s="106"/>
      <c r="H47" s="106"/>
      <c r="I47" s="106"/>
      <c r="J47" s="106"/>
      <c r="K47" s="106"/>
      <c r="L47" s="107"/>
    </row>
    <row r="48" spans="2:12" ht="15.45" customHeight="1" x14ac:dyDescent="0.3">
      <c r="B48" s="126"/>
      <c r="C48" s="127"/>
      <c r="D48" s="108"/>
      <c r="E48" s="109"/>
      <c r="F48" s="109"/>
      <c r="G48" s="109"/>
      <c r="H48" s="109"/>
      <c r="I48" s="109"/>
      <c r="J48" s="109"/>
      <c r="K48" s="109"/>
      <c r="L48" s="110"/>
    </row>
    <row r="49" spans="2:12" ht="15.45" customHeight="1" x14ac:dyDescent="0.3">
      <c r="B49" s="126"/>
      <c r="C49" s="127"/>
      <c r="D49" s="108"/>
      <c r="E49" s="109"/>
      <c r="F49" s="109"/>
      <c r="G49" s="109"/>
      <c r="H49" s="109"/>
      <c r="I49" s="109"/>
      <c r="J49" s="109"/>
      <c r="K49" s="109"/>
      <c r="L49" s="110"/>
    </row>
    <row r="50" spans="2:12" ht="15.45" customHeight="1" x14ac:dyDescent="0.3">
      <c r="B50" s="126"/>
      <c r="C50" s="127"/>
      <c r="D50" s="108"/>
      <c r="E50" s="109"/>
      <c r="F50" s="109"/>
      <c r="G50" s="109"/>
      <c r="H50" s="109"/>
      <c r="I50" s="109"/>
      <c r="J50" s="109"/>
      <c r="K50" s="109"/>
      <c r="L50" s="110"/>
    </row>
    <row r="51" spans="2:12" ht="15.45" customHeight="1" x14ac:dyDescent="0.3">
      <c r="B51" s="126"/>
      <c r="C51" s="127"/>
      <c r="D51" s="108"/>
      <c r="E51" s="109"/>
      <c r="F51" s="109"/>
      <c r="G51" s="109"/>
      <c r="H51" s="109"/>
      <c r="I51" s="109"/>
      <c r="J51" s="109"/>
      <c r="K51" s="109"/>
      <c r="L51" s="110"/>
    </row>
    <row r="52" spans="2:12" ht="15.45" customHeight="1" x14ac:dyDescent="0.3">
      <c r="B52" s="128"/>
      <c r="C52" s="129"/>
      <c r="D52" s="111"/>
      <c r="E52" s="112"/>
      <c r="F52" s="112"/>
      <c r="G52" s="112"/>
      <c r="H52" s="112"/>
      <c r="I52" s="112"/>
      <c r="J52" s="112"/>
      <c r="K52" s="112"/>
      <c r="L52" s="113"/>
    </row>
    <row r="54" spans="2:12" ht="15.45" customHeight="1" x14ac:dyDescent="0.3">
      <c r="B54" s="124" t="s">
        <v>244</v>
      </c>
      <c r="C54" s="125"/>
      <c r="D54" s="105" t="s">
        <v>224</v>
      </c>
      <c r="E54" s="106"/>
      <c r="F54" s="106"/>
      <c r="G54" s="106"/>
      <c r="H54" s="106"/>
      <c r="I54" s="106"/>
      <c r="J54" s="106"/>
      <c r="K54" s="106"/>
      <c r="L54" s="107"/>
    </row>
    <row r="55" spans="2:12" ht="15.45" customHeight="1" x14ac:dyDescent="0.3">
      <c r="B55" s="126"/>
      <c r="C55" s="127"/>
      <c r="D55" s="108"/>
      <c r="E55" s="109"/>
      <c r="F55" s="109"/>
      <c r="G55" s="109"/>
      <c r="H55" s="109"/>
      <c r="I55" s="109"/>
      <c r="J55" s="109"/>
      <c r="K55" s="109"/>
      <c r="L55" s="110"/>
    </row>
    <row r="56" spans="2:12" ht="15.45" customHeight="1" x14ac:dyDescent="0.3">
      <c r="B56" s="126"/>
      <c r="C56" s="127"/>
      <c r="D56" s="108"/>
      <c r="E56" s="109"/>
      <c r="F56" s="109"/>
      <c r="G56" s="109"/>
      <c r="H56" s="109"/>
      <c r="I56" s="109"/>
      <c r="J56" s="109"/>
      <c r="K56" s="109"/>
      <c r="L56" s="110"/>
    </row>
    <row r="57" spans="2:12" ht="15.45" customHeight="1" x14ac:dyDescent="0.3">
      <c r="B57" s="126"/>
      <c r="C57" s="127"/>
      <c r="D57" s="108"/>
      <c r="E57" s="109"/>
      <c r="F57" s="109"/>
      <c r="G57" s="109"/>
      <c r="H57" s="109"/>
      <c r="I57" s="109"/>
      <c r="J57" s="109"/>
      <c r="K57" s="109"/>
      <c r="L57" s="110"/>
    </row>
    <row r="58" spans="2:12" ht="15.45" customHeight="1" x14ac:dyDescent="0.3">
      <c r="B58" s="126"/>
      <c r="C58" s="127"/>
      <c r="D58" s="108"/>
      <c r="E58" s="109"/>
      <c r="F58" s="109"/>
      <c r="G58" s="109"/>
      <c r="H58" s="109"/>
      <c r="I58" s="109"/>
      <c r="J58" s="109"/>
      <c r="K58" s="109"/>
      <c r="L58" s="110"/>
    </row>
    <row r="59" spans="2:12" ht="15.45" customHeight="1" x14ac:dyDescent="0.3">
      <c r="B59" s="128"/>
      <c r="C59" s="129"/>
      <c r="D59" s="111"/>
      <c r="E59" s="112"/>
      <c r="F59" s="112"/>
      <c r="G59" s="112"/>
      <c r="H59" s="112"/>
      <c r="I59" s="112"/>
      <c r="J59" s="112"/>
      <c r="K59" s="112"/>
      <c r="L59" s="113"/>
    </row>
    <row r="60" spans="2:12" ht="15.45" customHeight="1" thickBot="1" x14ac:dyDescent="0.35"/>
    <row r="61" spans="2:12" ht="15.45" customHeight="1" x14ac:dyDescent="0.3">
      <c r="B61" s="61" t="s">
        <v>153</v>
      </c>
      <c r="C61" s="62"/>
      <c r="D61" s="62"/>
      <c r="E61" s="62"/>
      <c r="F61" s="62"/>
      <c r="G61" s="62"/>
      <c r="H61" s="62"/>
      <c r="I61" s="62"/>
      <c r="J61" s="62"/>
      <c r="K61" s="62"/>
      <c r="L61" s="63"/>
    </row>
    <row r="62" spans="2:12" ht="15.45" customHeight="1" thickBot="1" x14ac:dyDescent="0.35">
      <c r="B62" s="64"/>
      <c r="C62" s="65"/>
      <c r="D62" s="65"/>
      <c r="E62" s="65"/>
      <c r="F62" s="65"/>
      <c r="G62" s="65"/>
      <c r="H62" s="65"/>
      <c r="I62" s="65"/>
      <c r="J62" s="65"/>
      <c r="K62" s="65"/>
      <c r="L62" s="66"/>
    </row>
    <row r="64" spans="2:12" ht="15.45" customHeight="1" x14ac:dyDescent="0.3">
      <c r="B64" s="114" t="s">
        <v>178</v>
      </c>
      <c r="C64" s="115"/>
      <c r="D64" s="115"/>
      <c r="E64" s="115"/>
      <c r="F64" s="115"/>
      <c r="G64" s="115"/>
      <c r="H64" s="115"/>
      <c r="I64" s="115"/>
      <c r="J64" s="115"/>
      <c r="K64" s="115"/>
      <c r="L64" s="116"/>
    </row>
    <row r="66" spans="2:12" ht="15.45" customHeight="1" x14ac:dyDescent="0.3">
      <c r="B66" s="124" t="s">
        <v>245</v>
      </c>
      <c r="C66" s="125"/>
      <c r="D66" s="105" t="s">
        <v>249</v>
      </c>
      <c r="E66" s="106"/>
      <c r="F66" s="106"/>
      <c r="G66" s="106"/>
      <c r="H66" s="106"/>
      <c r="I66" s="106"/>
      <c r="J66" s="106"/>
      <c r="K66" s="106"/>
      <c r="L66" s="107"/>
    </row>
    <row r="67" spans="2:12" ht="15.45" customHeight="1" x14ac:dyDescent="0.3">
      <c r="B67" s="126"/>
      <c r="C67" s="127"/>
      <c r="D67" s="108"/>
      <c r="E67" s="109"/>
      <c r="F67" s="109"/>
      <c r="G67" s="109"/>
      <c r="H67" s="109"/>
      <c r="I67" s="109"/>
      <c r="J67" s="109"/>
      <c r="K67" s="109"/>
      <c r="L67" s="110"/>
    </row>
    <row r="68" spans="2:12" ht="15.45" customHeight="1" x14ac:dyDescent="0.3">
      <c r="B68" s="126"/>
      <c r="C68" s="127"/>
      <c r="D68" s="108"/>
      <c r="E68" s="109"/>
      <c r="F68" s="109"/>
      <c r="G68" s="109"/>
      <c r="H68" s="109"/>
      <c r="I68" s="109"/>
      <c r="J68" s="109"/>
      <c r="K68" s="109"/>
      <c r="L68" s="110"/>
    </row>
    <row r="69" spans="2:12" ht="15.45" customHeight="1" x14ac:dyDescent="0.3">
      <c r="B69" s="126"/>
      <c r="C69" s="127"/>
      <c r="D69" s="108"/>
      <c r="E69" s="109"/>
      <c r="F69" s="109"/>
      <c r="G69" s="109"/>
      <c r="H69" s="109"/>
      <c r="I69" s="109"/>
      <c r="J69" s="109"/>
      <c r="K69" s="109"/>
      <c r="L69" s="110"/>
    </row>
    <row r="70" spans="2:12" ht="15.45" customHeight="1" x14ac:dyDescent="0.3">
      <c r="B70" s="126"/>
      <c r="C70" s="127"/>
      <c r="D70" s="108"/>
      <c r="E70" s="109"/>
      <c r="F70" s="109"/>
      <c r="G70" s="109"/>
      <c r="H70" s="109"/>
      <c r="I70" s="109"/>
      <c r="J70" s="109"/>
      <c r="K70" s="109"/>
      <c r="L70" s="110"/>
    </row>
    <row r="71" spans="2:12" ht="15.45" customHeight="1" x14ac:dyDescent="0.3">
      <c r="B71" s="128"/>
      <c r="C71" s="129"/>
      <c r="D71" s="111"/>
      <c r="E71" s="112"/>
      <c r="F71" s="112"/>
      <c r="G71" s="112"/>
      <c r="H71" s="112"/>
      <c r="I71" s="112"/>
      <c r="J71" s="112"/>
      <c r="K71" s="112"/>
      <c r="L71" s="113"/>
    </row>
    <row r="73" spans="2:12" ht="15.45" customHeight="1" x14ac:dyDescent="0.3">
      <c r="B73" s="124" t="s">
        <v>246</v>
      </c>
      <c r="C73" s="125"/>
      <c r="D73" s="105" t="s">
        <v>250</v>
      </c>
      <c r="E73" s="106"/>
      <c r="F73" s="106"/>
      <c r="G73" s="106"/>
      <c r="H73" s="106"/>
      <c r="I73" s="106"/>
      <c r="J73" s="106"/>
      <c r="K73" s="106"/>
      <c r="L73" s="107"/>
    </row>
    <row r="74" spans="2:12" ht="15.45" customHeight="1" x14ac:dyDescent="0.3">
      <c r="B74" s="126"/>
      <c r="C74" s="127"/>
      <c r="D74" s="108"/>
      <c r="E74" s="109"/>
      <c r="F74" s="109"/>
      <c r="G74" s="109"/>
      <c r="H74" s="109"/>
      <c r="I74" s="109"/>
      <c r="J74" s="109"/>
      <c r="K74" s="109"/>
      <c r="L74" s="110"/>
    </row>
    <row r="75" spans="2:12" ht="15.45" customHeight="1" x14ac:dyDescent="0.3">
      <c r="B75" s="126"/>
      <c r="C75" s="127"/>
      <c r="D75" s="108"/>
      <c r="E75" s="109"/>
      <c r="F75" s="109"/>
      <c r="G75" s="109"/>
      <c r="H75" s="109"/>
      <c r="I75" s="109"/>
      <c r="J75" s="109"/>
      <c r="K75" s="109"/>
      <c r="L75" s="110"/>
    </row>
    <row r="76" spans="2:12" ht="15.45" customHeight="1" x14ac:dyDescent="0.3">
      <c r="B76" s="126"/>
      <c r="C76" s="127"/>
      <c r="D76" s="108"/>
      <c r="E76" s="109"/>
      <c r="F76" s="109"/>
      <c r="G76" s="109"/>
      <c r="H76" s="109"/>
      <c r="I76" s="109"/>
      <c r="J76" s="109"/>
      <c r="K76" s="109"/>
      <c r="L76" s="110"/>
    </row>
    <row r="77" spans="2:12" ht="15.45" customHeight="1" x14ac:dyDescent="0.3">
      <c r="B77" s="126"/>
      <c r="C77" s="127"/>
      <c r="D77" s="108"/>
      <c r="E77" s="109"/>
      <c r="F77" s="109"/>
      <c r="G77" s="109"/>
      <c r="H77" s="109"/>
      <c r="I77" s="109"/>
      <c r="J77" s="109"/>
      <c r="K77" s="109"/>
      <c r="L77" s="110"/>
    </row>
    <row r="78" spans="2:12" ht="15.45" customHeight="1" x14ac:dyDescent="0.3">
      <c r="B78" s="128"/>
      <c r="C78" s="129"/>
      <c r="D78" s="111"/>
      <c r="E78" s="112"/>
      <c r="F78" s="112"/>
      <c r="G78" s="112"/>
      <c r="H78" s="112"/>
      <c r="I78" s="112"/>
      <c r="J78" s="112"/>
      <c r="K78" s="112"/>
      <c r="L78" s="113"/>
    </row>
    <row r="79" spans="2:12" ht="15.45" customHeight="1" thickBot="1" x14ac:dyDescent="0.35"/>
    <row r="80" spans="2:12" ht="15.45" customHeight="1" x14ac:dyDescent="0.3">
      <c r="B80" s="61" t="s">
        <v>154</v>
      </c>
      <c r="C80" s="62"/>
      <c r="D80" s="62"/>
      <c r="E80" s="62"/>
      <c r="F80" s="62"/>
      <c r="G80" s="62"/>
      <c r="H80" s="62"/>
      <c r="I80" s="62"/>
      <c r="J80" s="62"/>
      <c r="K80" s="62"/>
      <c r="L80" s="63"/>
    </row>
    <row r="81" spans="2:12" ht="15.45" customHeight="1" thickBot="1" x14ac:dyDescent="0.35">
      <c r="B81" s="64"/>
      <c r="C81" s="65"/>
      <c r="D81" s="65"/>
      <c r="E81" s="65"/>
      <c r="F81" s="65"/>
      <c r="G81" s="65"/>
      <c r="H81" s="65"/>
      <c r="I81" s="65"/>
      <c r="J81" s="65"/>
      <c r="K81" s="65"/>
      <c r="L81" s="66"/>
    </row>
    <row r="83" spans="2:12" ht="15.45" customHeight="1" x14ac:dyDescent="0.3">
      <c r="B83" s="124" t="s">
        <v>155</v>
      </c>
      <c r="C83" s="125"/>
      <c r="D83" s="105" t="s">
        <v>251</v>
      </c>
      <c r="E83" s="106"/>
      <c r="F83" s="106"/>
      <c r="G83" s="106"/>
      <c r="H83" s="106"/>
      <c r="I83" s="106"/>
      <c r="J83" s="106"/>
      <c r="K83" s="106"/>
      <c r="L83" s="107"/>
    </row>
    <row r="84" spans="2:12" ht="15.45" customHeight="1" x14ac:dyDescent="0.3">
      <c r="B84" s="126"/>
      <c r="C84" s="127"/>
      <c r="D84" s="108"/>
      <c r="E84" s="109"/>
      <c r="F84" s="109"/>
      <c r="G84" s="109"/>
      <c r="H84" s="109"/>
      <c r="I84" s="109"/>
      <c r="J84" s="109"/>
      <c r="K84" s="109"/>
      <c r="L84" s="110"/>
    </row>
    <row r="85" spans="2:12" ht="15.45" customHeight="1" x14ac:dyDescent="0.3">
      <c r="B85" s="126"/>
      <c r="C85" s="127"/>
      <c r="D85" s="108"/>
      <c r="E85" s="109"/>
      <c r="F85" s="109"/>
      <c r="G85" s="109"/>
      <c r="H85" s="109"/>
      <c r="I85" s="109"/>
      <c r="J85" s="109"/>
      <c r="K85" s="109"/>
      <c r="L85" s="110"/>
    </row>
    <row r="86" spans="2:12" ht="15.45" customHeight="1" x14ac:dyDescent="0.3">
      <c r="B86" s="126"/>
      <c r="C86" s="127"/>
      <c r="D86" s="108"/>
      <c r="E86" s="109"/>
      <c r="F86" s="109"/>
      <c r="G86" s="109"/>
      <c r="H86" s="109"/>
      <c r="I86" s="109"/>
      <c r="J86" s="109"/>
      <c r="K86" s="109"/>
      <c r="L86" s="110"/>
    </row>
    <row r="87" spans="2:12" ht="15.45" customHeight="1" x14ac:dyDescent="0.3">
      <c r="B87" s="126"/>
      <c r="C87" s="127"/>
      <c r="D87" s="108"/>
      <c r="E87" s="109"/>
      <c r="F87" s="109"/>
      <c r="G87" s="109"/>
      <c r="H87" s="109"/>
      <c r="I87" s="109"/>
      <c r="J87" s="109"/>
      <c r="K87" s="109"/>
      <c r="L87" s="110"/>
    </row>
    <row r="88" spans="2:12" ht="15.45" customHeight="1" x14ac:dyDescent="0.3">
      <c r="B88" s="128"/>
      <c r="C88" s="129"/>
      <c r="D88" s="111"/>
      <c r="E88" s="112"/>
      <c r="F88" s="112"/>
      <c r="G88" s="112"/>
      <c r="H88" s="112"/>
      <c r="I88" s="112"/>
      <c r="J88" s="112"/>
      <c r="K88" s="112"/>
      <c r="L88" s="113"/>
    </row>
    <row r="90" spans="2:12" ht="15.45" customHeight="1" x14ac:dyDescent="0.3">
      <c r="B90" s="124" t="s">
        <v>156</v>
      </c>
      <c r="C90" s="125"/>
      <c r="D90" s="105" t="s">
        <v>220</v>
      </c>
      <c r="E90" s="106"/>
      <c r="F90" s="106"/>
      <c r="G90" s="106"/>
      <c r="H90" s="106"/>
      <c r="I90" s="106"/>
      <c r="J90" s="106"/>
      <c r="K90" s="106"/>
      <c r="L90" s="107"/>
    </row>
    <row r="91" spans="2:12" ht="15.45" customHeight="1" x14ac:dyDescent="0.3">
      <c r="B91" s="126"/>
      <c r="C91" s="127"/>
      <c r="D91" s="108"/>
      <c r="E91" s="109"/>
      <c r="F91" s="109"/>
      <c r="G91" s="109"/>
      <c r="H91" s="109"/>
      <c r="I91" s="109"/>
      <c r="J91" s="109"/>
      <c r="K91" s="109"/>
      <c r="L91" s="110"/>
    </row>
    <row r="92" spans="2:12" ht="15.45" customHeight="1" x14ac:dyDescent="0.3">
      <c r="B92" s="126"/>
      <c r="C92" s="127"/>
      <c r="D92" s="108"/>
      <c r="E92" s="109"/>
      <c r="F92" s="109"/>
      <c r="G92" s="109"/>
      <c r="H92" s="109"/>
      <c r="I92" s="109"/>
      <c r="J92" s="109"/>
      <c r="K92" s="109"/>
      <c r="L92" s="110"/>
    </row>
    <row r="93" spans="2:12" ht="15.45" customHeight="1" x14ac:dyDescent="0.3">
      <c r="B93" s="126"/>
      <c r="C93" s="127"/>
      <c r="D93" s="108"/>
      <c r="E93" s="109"/>
      <c r="F93" s="109"/>
      <c r="G93" s="109"/>
      <c r="H93" s="109"/>
      <c r="I93" s="109"/>
      <c r="J93" s="109"/>
      <c r="K93" s="109"/>
      <c r="L93" s="110"/>
    </row>
    <row r="94" spans="2:12" ht="15.45" customHeight="1" x14ac:dyDescent="0.3">
      <c r="B94" s="126"/>
      <c r="C94" s="127"/>
      <c r="D94" s="108"/>
      <c r="E94" s="109"/>
      <c r="F94" s="109"/>
      <c r="G94" s="109"/>
      <c r="H94" s="109"/>
      <c r="I94" s="109"/>
      <c r="J94" s="109"/>
      <c r="K94" s="109"/>
      <c r="L94" s="110"/>
    </row>
    <row r="95" spans="2:12" ht="15.45" customHeight="1" x14ac:dyDescent="0.3">
      <c r="B95" s="128"/>
      <c r="C95" s="129"/>
      <c r="D95" s="111"/>
      <c r="E95" s="112"/>
      <c r="F95" s="112"/>
      <c r="G95" s="112"/>
      <c r="H95" s="112"/>
      <c r="I95" s="112"/>
      <c r="J95" s="112"/>
      <c r="K95" s="112"/>
      <c r="L95" s="113"/>
    </row>
    <row r="97" spans="2:12" ht="15.45" customHeight="1" x14ac:dyDescent="0.3">
      <c r="B97" s="124" t="s">
        <v>157</v>
      </c>
      <c r="C97" s="125"/>
      <c r="D97" s="105" t="s">
        <v>221</v>
      </c>
      <c r="E97" s="106"/>
      <c r="F97" s="106"/>
      <c r="G97" s="106"/>
      <c r="H97" s="106"/>
      <c r="I97" s="106"/>
      <c r="J97" s="106"/>
      <c r="K97" s="106"/>
      <c r="L97" s="107"/>
    </row>
    <row r="98" spans="2:12" ht="15.45" customHeight="1" x14ac:dyDescent="0.3">
      <c r="B98" s="126"/>
      <c r="C98" s="127"/>
      <c r="D98" s="108"/>
      <c r="E98" s="109"/>
      <c r="F98" s="109"/>
      <c r="G98" s="109"/>
      <c r="H98" s="109"/>
      <c r="I98" s="109"/>
      <c r="J98" s="109"/>
      <c r="K98" s="109"/>
      <c r="L98" s="110"/>
    </row>
    <row r="99" spans="2:12" ht="15.45" customHeight="1" x14ac:dyDescent="0.3">
      <c r="B99" s="126"/>
      <c r="C99" s="127"/>
      <c r="D99" s="108"/>
      <c r="E99" s="109"/>
      <c r="F99" s="109"/>
      <c r="G99" s="109"/>
      <c r="H99" s="109"/>
      <c r="I99" s="109"/>
      <c r="J99" s="109"/>
      <c r="K99" s="109"/>
      <c r="L99" s="110"/>
    </row>
    <row r="100" spans="2:12" ht="15.45" customHeight="1" x14ac:dyDescent="0.3">
      <c r="B100" s="126"/>
      <c r="C100" s="127"/>
      <c r="D100" s="108"/>
      <c r="E100" s="109"/>
      <c r="F100" s="109"/>
      <c r="G100" s="109"/>
      <c r="H100" s="109"/>
      <c r="I100" s="109"/>
      <c r="J100" s="109"/>
      <c r="K100" s="109"/>
      <c r="L100" s="110"/>
    </row>
    <row r="101" spans="2:12" ht="15.45" customHeight="1" x14ac:dyDescent="0.3">
      <c r="B101" s="126"/>
      <c r="C101" s="127"/>
      <c r="D101" s="108"/>
      <c r="E101" s="109"/>
      <c r="F101" s="109"/>
      <c r="G101" s="109"/>
      <c r="H101" s="109"/>
      <c r="I101" s="109"/>
      <c r="J101" s="109"/>
      <c r="K101" s="109"/>
      <c r="L101" s="110"/>
    </row>
    <row r="102" spans="2:12" ht="15.45" customHeight="1" x14ac:dyDescent="0.3">
      <c r="B102" s="128"/>
      <c r="C102" s="129"/>
      <c r="D102" s="111"/>
      <c r="E102" s="112"/>
      <c r="F102" s="112"/>
      <c r="G102" s="112"/>
      <c r="H102" s="112"/>
      <c r="I102" s="112"/>
      <c r="J102" s="112"/>
      <c r="K102" s="112"/>
      <c r="L102" s="113"/>
    </row>
    <row r="104" spans="2:12" ht="15.45" customHeight="1" x14ac:dyDescent="0.3">
      <c r="B104" s="124" t="s">
        <v>158</v>
      </c>
      <c r="C104" s="125"/>
      <c r="D104" s="105" t="s">
        <v>197</v>
      </c>
      <c r="E104" s="106"/>
      <c r="F104" s="106"/>
      <c r="G104" s="106"/>
      <c r="H104" s="106"/>
      <c r="I104" s="106"/>
      <c r="J104" s="106"/>
      <c r="K104" s="106"/>
      <c r="L104" s="107"/>
    </row>
    <row r="105" spans="2:12" ht="15.45" customHeight="1" x14ac:dyDescent="0.3">
      <c r="B105" s="126"/>
      <c r="C105" s="127"/>
      <c r="D105" s="108"/>
      <c r="E105" s="109"/>
      <c r="F105" s="109"/>
      <c r="G105" s="109"/>
      <c r="H105" s="109"/>
      <c r="I105" s="109"/>
      <c r="J105" s="109"/>
      <c r="K105" s="109"/>
      <c r="L105" s="110"/>
    </row>
    <row r="106" spans="2:12" ht="15.45" customHeight="1" x14ac:dyDescent="0.3">
      <c r="B106" s="126"/>
      <c r="C106" s="127"/>
      <c r="D106" s="108"/>
      <c r="E106" s="109"/>
      <c r="F106" s="109"/>
      <c r="G106" s="109"/>
      <c r="H106" s="109"/>
      <c r="I106" s="109"/>
      <c r="J106" s="109"/>
      <c r="K106" s="109"/>
      <c r="L106" s="110"/>
    </row>
    <row r="107" spans="2:12" ht="15.45" customHeight="1" x14ac:dyDescent="0.3">
      <c r="B107" s="126"/>
      <c r="C107" s="127"/>
      <c r="D107" s="108"/>
      <c r="E107" s="109"/>
      <c r="F107" s="109"/>
      <c r="G107" s="109"/>
      <c r="H107" s="109"/>
      <c r="I107" s="109"/>
      <c r="J107" s="109"/>
      <c r="K107" s="109"/>
      <c r="L107" s="110"/>
    </row>
    <row r="108" spans="2:12" ht="15.45" customHeight="1" x14ac:dyDescent="0.3">
      <c r="B108" s="126"/>
      <c r="C108" s="127"/>
      <c r="D108" s="108"/>
      <c r="E108" s="109"/>
      <c r="F108" s="109"/>
      <c r="G108" s="109"/>
      <c r="H108" s="109"/>
      <c r="I108" s="109"/>
      <c r="J108" s="109"/>
      <c r="K108" s="109"/>
      <c r="L108" s="110"/>
    </row>
    <row r="109" spans="2:12" ht="15.45" customHeight="1" x14ac:dyDescent="0.3">
      <c r="B109" s="128"/>
      <c r="C109" s="129"/>
      <c r="D109" s="111"/>
      <c r="E109" s="112"/>
      <c r="F109" s="112"/>
      <c r="G109" s="112"/>
      <c r="H109" s="112"/>
      <c r="I109" s="112"/>
      <c r="J109" s="112"/>
      <c r="K109" s="112"/>
      <c r="L109" s="113"/>
    </row>
  </sheetData>
  <mergeCells count="29">
    <mergeCell ref="B97:C102"/>
    <mergeCell ref="D97:L102"/>
    <mergeCell ref="B104:C109"/>
    <mergeCell ref="D104:L109"/>
    <mergeCell ref="B8:C11"/>
    <mergeCell ref="D8:L11"/>
    <mergeCell ref="B13:C16"/>
    <mergeCell ref="D13:L16"/>
    <mergeCell ref="B47:C52"/>
    <mergeCell ref="B21:L21"/>
    <mergeCell ref="D47:L52"/>
    <mergeCell ref="B54:C59"/>
    <mergeCell ref="D54:L59"/>
    <mergeCell ref="D83:L88"/>
    <mergeCell ref="B83:C88"/>
    <mergeCell ref="B61:L62"/>
    <mergeCell ref="B90:C95"/>
    <mergeCell ref="D90:L95"/>
    <mergeCell ref="B2:L3"/>
    <mergeCell ref="B80:L81"/>
    <mergeCell ref="B5:L6"/>
    <mergeCell ref="B40:C45"/>
    <mergeCell ref="D40:L45"/>
    <mergeCell ref="B18:L19"/>
    <mergeCell ref="B66:C71"/>
    <mergeCell ref="D66:L71"/>
    <mergeCell ref="B73:C78"/>
    <mergeCell ref="D73:L78"/>
    <mergeCell ref="B64:L6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vt:lpstr>
      <vt:lpstr>INDICATORS</vt:lpstr>
      <vt:lpstr>INTERPRETATION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dc:creator>
  <cp:lastModifiedBy>Ankur Urana</cp:lastModifiedBy>
  <dcterms:created xsi:type="dcterms:W3CDTF">2020-06-29T16:40:02Z</dcterms:created>
  <dcterms:modified xsi:type="dcterms:W3CDTF">2022-12-21T10:34:43Z</dcterms:modified>
</cp:coreProperties>
</file>