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mol\Downloads\"/>
    </mc:Choice>
  </mc:AlternateContent>
  <xr:revisionPtr revIDLastSave="0" documentId="13_ncr:1_{70200D09-F02F-403F-886A-11EAB9BAA10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Data Sheet" sheetId="6" r:id="rId5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6" l="1"/>
  <c r="C6" i="3"/>
  <c r="D6" i="3"/>
  <c r="E6" i="3"/>
  <c r="F6" i="3"/>
  <c r="G6" i="3"/>
  <c r="G14" i="3" s="1"/>
  <c r="H6" i="3"/>
  <c r="I6" i="3"/>
  <c r="L6" i="1" s="1"/>
  <c r="L19" i="1" s="1"/>
  <c r="L24" i="1" s="1"/>
  <c r="J6" i="3"/>
  <c r="K6" i="3"/>
  <c r="B6" i="3"/>
  <c r="C5" i="1"/>
  <c r="D5" i="1"/>
  <c r="E5" i="1"/>
  <c r="E6" i="1" s="1"/>
  <c r="E19" i="1" s="1"/>
  <c r="F5" i="1"/>
  <c r="G5" i="1"/>
  <c r="G6" i="1" s="1"/>
  <c r="G19" i="1" s="1"/>
  <c r="H5" i="1"/>
  <c r="I5" i="1"/>
  <c r="J5" i="1"/>
  <c r="K5" i="1"/>
  <c r="B5" i="1"/>
  <c r="K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F4" i="2"/>
  <c r="G4" i="2"/>
  <c r="H4" i="2"/>
  <c r="I4" i="2"/>
  <c r="I5" i="2"/>
  <c r="J4" i="2"/>
  <c r="J5" i="2"/>
  <c r="K4" i="2"/>
  <c r="C5" i="2"/>
  <c r="D5" i="2"/>
  <c r="F5" i="2"/>
  <c r="F23" i="2" s="1"/>
  <c r="G5" i="2"/>
  <c r="H5" i="2"/>
  <c r="H23" i="2" s="1"/>
  <c r="K5" i="2"/>
  <c r="K23" i="2" s="1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F16" i="2" s="1"/>
  <c r="G13" i="2"/>
  <c r="H13" i="2"/>
  <c r="H16" i="2" s="1"/>
  <c r="I13" i="2"/>
  <c r="J13" i="2"/>
  <c r="J16" i="2" s="1"/>
  <c r="K13" i="2"/>
  <c r="K16" i="2" s="1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I14" i="3" s="1"/>
  <c r="J4" i="3"/>
  <c r="L4" i="1" s="1"/>
  <c r="L23" i="1" s="1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L10" i="1" s="1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21" i="2" s="1"/>
  <c r="F4" i="1"/>
  <c r="G4" i="1"/>
  <c r="G20" i="2" s="1"/>
  <c r="H4" i="1"/>
  <c r="I4" i="1"/>
  <c r="J4" i="1"/>
  <c r="J6" i="1" s="1"/>
  <c r="J19" i="1" s="1"/>
  <c r="K4" i="1"/>
  <c r="K6" i="1" s="1"/>
  <c r="K19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F12" i="1"/>
  <c r="F13" i="1" s="1"/>
  <c r="F14" i="1" s="1"/>
  <c r="G12" i="1"/>
  <c r="G13" i="1" s="1"/>
  <c r="G14" i="1" s="1"/>
  <c r="H12" i="1"/>
  <c r="H13" i="1" s="1"/>
  <c r="I12" i="1"/>
  <c r="I13" i="1" s="1"/>
  <c r="J12" i="1"/>
  <c r="J13" i="1" s="1"/>
  <c r="J14" i="1" s="1"/>
  <c r="K12" i="1"/>
  <c r="C15" i="1"/>
  <c r="D15" i="1"/>
  <c r="E15" i="1"/>
  <c r="F15" i="1"/>
  <c r="G15" i="1"/>
  <c r="H15" i="1"/>
  <c r="I15" i="1"/>
  <c r="J15" i="1"/>
  <c r="K15" i="1"/>
  <c r="K14" i="1"/>
  <c r="B15" i="1"/>
  <c r="B7" i="1"/>
  <c r="B4" i="1"/>
  <c r="A1" i="1"/>
  <c r="A1" i="3" s="1"/>
  <c r="H1" i="1"/>
  <c r="E1" i="2"/>
  <c r="E1" i="3"/>
  <c r="C23" i="2"/>
  <c r="C16" i="2"/>
  <c r="G23" i="2"/>
  <c r="C6" i="1"/>
  <c r="C19" i="1"/>
  <c r="D6" i="1"/>
  <c r="D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E14" i="3"/>
  <c r="J20" i="2"/>
  <c r="C20" i="2"/>
  <c r="E20" i="2"/>
  <c r="L12" i="1"/>
  <c r="L13" i="1" s="1"/>
  <c r="L14" i="1" s="1"/>
  <c r="L25" i="1" s="1"/>
  <c r="L11" i="1"/>
  <c r="A1" i="2"/>
  <c r="A1" i="4"/>
  <c r="N11" i="1" l="1"/>
  <c r="M11" i="1"/>
  <c r="B14" i="1"/>
  <c r="C14" i="3"/>
  <c r="F24" i="2"/>
  <c r="E24" i="2"/>
  <c r="D24" i="2"/>
  <c r="C24" i="2"/>
  <c r="J23" i="1"/>
  <c r="I23" i="1"/>
  <c r="L7" i="1"/>
  <c r="J23" i="2"/>
  <c r="H23" i="1"/>
  <c r="K24" i="2"/>
  <c r="K20" i="2"/>
  <c r="I23" i="2"/>
  <c r="F20" i="2"/>
  <c r="E14" i="1"/>
  <c r="J24" i="2"/>
  <c r="B20" i="2"/>
  <c r="D14" i="1"/>
  <c r="I24" i="2"/>
  <c r="I14" i="1"/>
  <c r="K25" i="1" s="1"/>
  <c r="M25" i="1" s="1"/>
  <c r="M14" i="1" s="1"/>
  <c r="H14" i="1"/>
  <c r="L9" i="1"/>
  <c r="E16" i="2"/>
  <c r="B14" i="3"/>
  <c r="I6" i="1"/>
  <c r="I19" i="1" s="1"/>
  <c r="H24" i="1" s="1"/>
  <c r="B16" i="2"/>
  <c r="D23" i="2"/>
  <c r="H24" i="2"/>
  <c r="B23" i="2"/>
  <c r="G24" i="2"/>
  <c r="D13" i="1"/>
  <c r="E13" i="1" s="1"/>
  <c r="B6" i="1"/>
  <c r="B19" i="1" s="1"/>
  <c r="L8" i="1"/>
  <c r="D14" i="3"/>
  <c r="E23" i="2"/>
  <c r="J25" i="1"/>
  <c r="M9" i="1"/>
  <c r="N9" i="1"/>
  <c r="N8" i="1"/>
  <c r="M8" i="1"/>
  <c r="N23" i="1"/>
  <c r="N4" i="1" s="1"/>
  <c r="H25" i="1"/>
  <c r="I25" i="1"/>
  <c r="I20" i="2"/>
  <c r="H20" i="2"/>
  <c r="K23" i="1"/>
  <c r="M23" i="1" s="1"/>
  <c r="M4" i="1" s="1"/>
  <c r="H6" i="1"/>
  <c r="H19" i="1" s="1"/>
  <c r="F6" i="1"/>
  <c r="F19" i="1" s="1"/>
  <c r="E1" i="4"/>
  <c r="K24" i="1" l="1"/>
  <c r="M24" i="1" s="1"/>
  <c r="M6" i="1" s="1"/>
  <c r="M10" i="1" s="1"/>
  <c r="M12" i="1" s="1"/>
  <c r="M13" i="1" s="1"/>
  <c r="M15" i="1" s="1"/>
  <c r="I24" i="1"/>
  <c r="J24" i="1"/>
  <c r="N24" i="1" s="1"/>
  <c r="N6" i="1" s="1"/>
  <c r="N25" i="1"/>
  <c r="N14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<sst xmlns="http://schemas.openxmlformats.org/spreadsheetml/2006/main" count="133" uniqueCount="81">
  <si>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</si>
  <si>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</si>
  <si>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</si>
  <si>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</si>
  <si>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</si>
  <si>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</si>
  <si>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</si>
  <si>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</si>
  <si>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</si>
  <si>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</si>
  <si>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</si>
  <si>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</si>
  <si>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</si>
  <si>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</si>
  <si>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</si>
  <si>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</si>
  <si>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</si>
  <si>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</si>
  <si>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</si>
  <si>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</si>
  <si>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</si>
  <si>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</si>
  <si>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</si>
  <si>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</si>
  <si>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</si>
  <si>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</si>
  <si>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</si>
  <si>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</si>
  <si>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</si>
  <si>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</si>
  <si>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</si>
  <si>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</si>
  <si>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</si>
  <si>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</si>
  <si>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</si>
  <si>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</si>
  <si>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</si>
  <si>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</si>
  <si>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</si>
  <si>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</si>
  <si>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</si>
  <si>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</si>
  <si>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</si>
  <si>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</si>
  <si>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</si>
  <si>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</si>
  <si>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</si>
  <si>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</si>
  <si>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EPS</t>
  </si>
  <si>
    <t>Price</t>
  </si>
  <si>
    <t>Return on Equity</t>
  </si>
  <si>
    <t>Return on Capital Emp</t>
  </si>
  <si>
    <t>LATEST VERSION</t>
  </si>
  <si>
    <t>CURRENT VERSION</t>
  </si>
  <si>
    <t>AMBUJA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</si>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</sst>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43" fontId="1" fillId="0" borderId="0" xfId="1" applyFont="1" applyBorder="1"/>
    <xf numFmtId="0" fontId="1" fillId="0" borderId="0" xfId="0" applyFont="1"/>
    <xf numFmtId="0" fontId="6" fillId="0" borderId="0" xfId="0" applyFont="1"/>
    <xf numFmtId="43" fontId="0" fillId="0" borderId="0" xfId="1" applyFont="1" applyBorder="1"/>
    <xf numFmtId="10" fontId="0" fillId="0" borderId="0" xfId="0" applyNumberFormat="1"/>
    <xf numFmtId="43" fontId="3" fillId="0" borderId="0" xfId="1" applyFont="1" applyBorder="1"/>
    <xf numFmtId="9" fontId="3" fillId="0" borderId="0" xfId="1" applyNumberFormat="1" applyFont="1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3" fontId="0" fillId="0" borderId="0" xfId="1" applyFont="1" applyBorder="1" applyAlignment="1">
      <alignment horizontal="center"/>
    </xf>
    <xf numFmtId="43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7" fillId="0" borderId="0" xfId="1" applyNumberFormat="1" applyFont="1" applyFill="1" applyBorder="1"/>
    <xf numFmtId="0" fontId="7" fillId="0" borderId="0" xfId="0" applyFont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AMBUJA CEMENTS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42004</v>
      </c>
      <c r="C3" s="12">
        <f>'Data Sheet'!C16</f>
        <v>42369</v>
      </c>
      <c r="D3" s="12">
        <f>'Data Sheet'!D16</f>
        <v>42735</v>
      </c>
      <c r="E3" s="12">
        <f>'Data Sheet'!E16</f>
        <v>43100</v>
      </c>
      <c r="F3" s="12">
        <f>'Data Sheet'!F16</f>
        <v>43465</v>
      </c>
      <c r="G3" s="12">
        <f>'Data Sheet'!G16</f>
        <v>43830</v>
      </c>
      <c r="H3" s="12">
        <f>'Data Sheet'!H16</f>
        <v>44196</v>
      </c>
      <c r="I3" s="12">
        <f>'Data Sheet'!I16</f>
        <v>44561</v>
      </c>
      <c r="J3" s="12">
        <f>'Data Sheet'!J16</f>
        <v>45016</v>
      </c>
      <c r="K3" s="12">
        <f>'Data Sheet'!K16</f>
        <v>45382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9955.34</v>
      </c>
      <c r="C4" s="1">
        <f>'Data Sheet'!C17</f>
        <v>9436.89</v>
      </c>
      <c r="D4" s="1">
        <f>'Data Sheet'!D17</f>
        <v>20093.77</v>
      </c>
      <c r="E4" s="1">
        <f>'Data Sheet'!E17</f>
        <v>23608.69</v>
      </c>
      <c r="F4" s="1">
        <f>'Data Sheet'!F17</f>
        <v>26040.94</v>
      </c>
      <c r="G4" s="1">
        <f>'Data Sheet'!G17</f>
        <v>27103.55</v>
      </c>
      <c r="H4" s="1">
        <f>'Data Sheet'!H17</f>
        <v>24516.17</v>
      </c>
      <c r="I4" s="1">
        <f>'Data Sheet'!I17</f>
        <v>28965.46</v>
      </c>
      <c r="J4" s="1">
        <f>'Data Sheet'!J17</f>
        <v>38937.03</v>
      </c>
      <c r="K4" s="1">
        <f>'Data Sheet'!K17</f>
        <v>33159.64</v>
      </c>
      <c r="L4" s="1">
        <f>SUM(Quarters!H4:K4)</f>
        <v>32758.219999999998</v>
      </c>
      <c r="M4" s="1">
        <f>$K4+M23*K4</f>
        <v>36671.516322675743</v>
      </c>
      <c r="N4" s="1">
        <f>$K4+N23*L4</f>
        <v>32763.079462177513</v>
      </c>
    </row>
    <row r="5" spans="1:14" x14ac:dyDescent="0.3">
      <c r="A5" t="s">
        <v>7</v>
      </c>
      <c r="B5" s="6">
        <f>SUM('Data Sheet'!B18,'Data Sheet'!B20:B24, -1*'Data Sheet'!B19)</f>
        <v>8021.7199999999993</v>
      </c>
      <c r="C5" s="6">
        <f>SUM('Data Sheet'!C18,'Data Sheet'!C20:C24, -1*'Data Sheet'!C19)</f>
        <v>7894.6299999999992</v>
      </c>
      <c r="D5" s="6">
        <f>SUM('Data Sheet'!D18,'Data Sheet'!D20:D24, -1*'Data Sheet'!D19)</f>
        <v>16912.580000000002</v>
      </c>
      <c r="E5" s="6">
        <f>SUM('Data Sheet'!E18,'Data Sheet'!E20:E24, -1*'Data Sheet'!E19)</f>
        <v>19751.11</v>
      </c>
      <c r="F5" s="6">
        <f>SUM('Data Sheet'!F18,'Data Sheet'!F20:F24, -1*'Data Sheet'!F19)</f>
        <v>22030.15</v>
      </c>
      <c r="G5" s="6">
        <f>SUM('Data Sheet'!G18,'Data Sheet'!G20:G24, -1*'Data Sheet'!G19)</f>
        <v>22506.559999999998</v>
      </c>
      <c r="H5" s="6">
        <f>SUM('Data Sheet'!H18,'Data Sheet'!H20:H24, -1*'Data Sheet'!H19)</f>
        <v>19510.599999999999</v>
      </c>
      <c r="I5" s="6">
        <f>SUM('Data Sheet'!I18,'Data Sheet'!I20:I24, -1*'Data Sheet'!I19)</f>
        <v>22755.059999999998</v>
      </c>
      <c r="J5" s="6">
        <f>SUM('Data Sheet'!J18,'Data Sheet'!J20:J24, -1*'Data Sheet'!J19)</f>
        <v>33814.660000000003</v>
      </c>
      <c r="K5" s="6">
        <f>SUM('Data Sheet'!K18,'Data Sheet'!K20:K24, -1*'Data Sheet'!K19)</f>
        <v>26760.130000000005</v>
      </c>
      <c r="L5" s="6">
        <f>SUM(Quarters!H5:K5)</f>
        <v>26745.839999999997</v>
      </c>
      <c r="M5" s="6">
        <f t="shared" ref="M5:N5" si="0">M4-M6</f>
        <v>29940.897525069246</v>
      </c>
      <c r="N5" s="6">
        <f t="shared" si="0"/>
        <v>27091.563573628016</v>
      </c>
    </row>
    <row r="6" spans="1:14" s="2" customFormat="1" x14ac:dyDescent="0.3">
      <c r="A6" s="2" t="s">
        <v>8</v>
      </c>
      <c r="B6" s="1">
        <f>B4-B5</f>
        <v>1933.6200000000008</v>
      </c>
      <c r="C6" s="1">
        <f t="shared" ref="C6:K6" si="1">C4-C5</f>
        <v>1542.2600000000002</v>
      </c>
      <c r="D6" s="1">
        <f t="shared" si="1"/>
        <v>3181.1899999999987</v>
      </c>
      <c r="E6" s="1">
        <f t="shared" si="1"/>
        <v>3857.5799999999981</v>
      </c>
      <c r="F6" s="1">
        <f t="shared" si="1"/>
        <v>4010.7899999999972</v>
      </c>
      <c r="G6" s="1">
        <f t="shared" si="1"/>
        <v>4596.9900000000016</v>
      </c>
      <c r="H6" s="1">
        <f t="shared" si="1"/>
        <v>5005.57</v>
      </c>
      <c r="I6" s="1">
        <f t="shared" si="1"/>
        <v>6210.4000000000015</v>
      </c>
      <c r="J6" s="1">
        <f t="shared" si="1"/>
        <v>5122.3699999999953</v>
      </c>
      <c r="K6" s="1">
        <f t="shared" si="1"/>
        <v>6399.5099999999948</v>
      </c>
      <c r="L6" s="1">
        <f>SUM(Quarters!H6:K6)</f>
        <v>6012.3799999999992</v>
      </c>
      <c r="M6" s="1">
        <f>M4*M24</f>
        <v>6730.6187976064994</v>
      </c>
      <c r="N6" s="1">
        <f>N4*N24</f>
        <v>5671.5158885494948</v>
      </c>
    </row>
    <row r="7" spans="1:14" x14ac:dyDescent="0.3">
      <c r="A7" t="s">
        <v>9</v>
      </c>
      <c r="B7" s="6">
        <f>'Data Sheet'!B25</f>
        <v>418.98</v>
      </c>
      <c r="C7" s="6">
        <f>'Data Sheet'!C25</f>
        <v>353.22</v>
      </c>
      <c r="D7" s="6">
        <f>'Data Sheet'!D25</f>
        <v>440.57</v>
      </c>
      <c r="E7" s="6">
        <f>'Data Sheet'!E25</f>
        <v>335.38</v>
      </c>
      <c r="F7" s="6">
        <f>'Data Sheet'!F25</f>
        <v>232.19</v>
      </c>
      <c r="G7" s="6">
        <f>'Data Sheet'!G25</f>
        <v>600.71</v>
      </c>
      <c r="H7" s="6">
        <f>'Data Sheet'!H25</f>
        <v>288.02</v>
      </c>
      <c r="I7" s="6">
        <f>'Data Sheet'!I25</f>
        <v>252.22</v>
      </c>
      <c r="J7" s="6">
        <f>'Data Sheet'!J25</f>
        <v>446.69</v>
      </c>
      <c r="K7" s="6">
        <f>'Data Sheet'!K25</f>
        <v>1400.87</v>
      </c>
      <c r="L7" s="6">
        <f>SUM(Quarters!H7:K7)</f>
        <v>1490.4700000000003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513.03</v>
      </c>
      <c r="C8" s="6">
        <f>'Data Sheet'!C26</f>
        <v>629.76</v>
      </c>
      <c r="D8" s="6">
        <f>'Data Sheet'!D26</f>
        <v>1460.93</v>
      </c>
      <c r="E8" s="6">
        <f>'Data Sheet'!E26</f>
        <v>1219.45</v>
      </c>
      <c r="F8" s="6">
        <f>'Data Sheet'!F26</f>
        <v>1153.94</v>
      </c>
      <c r="G8" s="6">
        <f>'Data Sheet'!G26</f>
        <v>1152.52</v>
      </c>
      <c r="H8" s="6">
        <f>'Data Sheet'!H26</f>
        <v>1161.78</v>
      </c>
      <c r="I8" s="6">
        <f>'Data Sheet'!I26</f>
        <v>1152.49</v>
      </c>
      <c r="J8" s="6">
        <f>'Data Sheet'!J26</f>
        <v>1644.67</v>
      </c>
      <c r="K8" s="6">
        <f>'Data Sheet'!K26</f>
        <v>1623.38</v>
      </c>
      <c r="L8" s="6">
        <f>SUM(Quarters!H8:K8)</f>
        <v>1719.09</v>
      </c>
      <c r="M8" s="6">
        <f>+$L8</f>
        <v>1719.09</v>
      </c>
      <c r="N8" s="6">
        <f>+$L8</f>
        <v>1719.09</v>
      </c>
    </row>
    <row r="9" spans="1:14" x14ac:dyDescent="0.3">
      <c r="A9" t="s">
        <v>11</v>
      </c>
      <c r="B9" s="6">
        <f>'Data Sheet'!B27</f>
        <v>65.55</v>
      </c>
      <c r="C9" s="6">
        <f>'Data Sheet'!C27</f>
        <v>92.47</v>
      </c>
      <c r="D9" s="6">
        <f>'Data Sheet'!D27</f>
        <v>152.99</v>
      </c>
      <c r="E9" s="6">
        <f>'Data Sheet'!E27</f>
        <v>205.78</v>
      </c>
      <c r="F9" s="6">
        <f>'Data Sheet'!F27</f>
        <v>170.5</v>
      </c>
      <c r="G9" s="6">
        <f>'Data Sheet'!G27</f>
        <v>169.87</v>
      </c>
      <c r="H9" s="6">
        <f>'Data Sheet'!H27</f>
        <v>140.22</v>
      </c>
      <c r="I9" s="6">
        <f>'Data Sheet'!I27</f>
        <v>145.66</v>
      </c>
      <c r="J9" s="6">
        <f>'Data Sheet'!J27</f>
        <v>194.9</v>
      </c>
      <c r="K9" s="6">
        <f>'Data Sheet'!K27</f>
        <v>276.38</v>
      </c>
      <c r="L9" s="6">
        <f>SUM(Quarters!H9:K9)</f>
        <v>292.11</v>
      </c>
      <c r="M9" s="6">
        <f>+$L9</f>
        <v>292.11</v>
      </c>
      <c r="N9" s="6">
        <f>+$L9</f>
        <v>292.11</v>
      </c>
    </row>
    <row r="10" spans="1:14" x14ac:dyDescent="0.3">
      <c r="A10" t="s">
        <v>12</v>
      </c>
      <c r="B10" s="6">
        <f>'Data Sheet'!B28</f>
        <v>1774.02</v>
      </c>
      <c r="C10" s="6">
        <f>'Data Sheet'!C28</f>
        <v>1173.25</v>
      </c>
      <c r="D10" s="6">
        <f>'Data Sheet'!D28</f>
        <v>2007.84</v>
      </c>
      <c r="E10" s="6">
        <f>'Data Sheet'!E28</f>
        <v>2767.73</v>
      </c>
      <c r="F10" s="6">
        <f>'Data Sheet'!F28</f>
        <v>2918.54</v>
      </c>
      <c r="G10" s="6">
        <f>'Data Sheet'!G28</f>
        <v>3875.31</v>
      </c>
      <c r="H10" s="6">
        <f>'Data Sheet'!H28</f>
        <v>3991.59</v>
      </c>
      <c r="I10" s="6">
        <f>'Data Sheet'!I28</f>
        <v>5164.47</v>
      </c>
      <c r="J10" s="6">
        <f>'Data Sheet'!J28</f>
        <v>3729.49</v>
      </c>
      <c r="K10" s="6">
        <f>'Data Sheet'!K28</f>
        <v>5900.62</v>
      </c>
      <c r="L10" s="6">
        <f>SUM(Quarters!H10:K10)</f>
        <v>5491.6500000000005</v>
      </c>
      <c r="M10" s="6">
        <f>M6+M7-SUM(M8:M9)</f>
        <v>4719.4187976064995</v>
      </c>
      <c r="N10" s="6">
        <f>N6+N7-SUM(N8:N9)</f>
        <v>3660.315888549495</v>
      </c>
    </row>
    <row r="11" spans="1:14" x14ac:dyDescent="0.3">
      <c r="A11" t="s">
        <v>13</v>
      </c>
      <c r="B11" s="6">
        <f>'Data Sheet'!B29</f>
        <v>287.51</v>
      </c>
      <c r="C11" s="6">
        <f>'Data Sheet'!C29</f>
        <v>365.37</v>
      </c>
      <c r="D11" s="6">
        <f>'Data Sheet'!D29</f>
        <v>573.77</v>
      </c>
      <c r="E11" s="6">
        <f>'Data Sheet'!E29</f>
        <v>822.85</v>
      </c>
      <c r="F11" s="6">
        <f>'Data Sheet'!F29</f>
        <v>-54.15</v>
      </c>
      <c r="G11" s="6">
        <f>'Data Sheet'!G29</f>
        <v>1092.1500000000001</v>
      </c>
      <c r="H11" s="6">
        <f>'Data Sheet'!H29</f>
        <v>884.75</v>
      </c>
      <c r="I11" s="6">
        <f>'Data Sheet'!I29</f>
        <v>1453.43</v>
      </c>
      <c r="J11" s="6">
        <f>'Data Sheet'!J29</f>
        <v>705.11</v>
      </c>
      <c r="K11" s="6">
        <f>'Data Sheet'!K29</f>
        <v>1162.6099999999999</v>
      </c>
      <c r="L11" s="6">
        <f>SUM(Quarters!H11:K11)</f>
        <v>1099.45</v>
      </c>
      <c r="M11" s="7">
        <f>IF($L10&gt;0,$L11/$L10,0)</f>
        <v>0.20020394599073138</v>
      </c>
      <c r="N11" s="7">
        <f>IF($L10&gt;0,$L11/$L10,0)</f>
        <v>0.20020394599073138</v>
      </c>
    </row>
    <row r="12" spans="1:14" s="2" customFormat="1" x14ac:dyDescent="0.3">
      <c r="A12" s="2" t="s">
        <v>14</v>
      </c>
      <c r="B12" s="1">
        <f>'Data Sheet'!B30</f>
        <v>1486.5</v>
      </c>
      <c r="C12" s="1">
        <f>'Data Sheet'!C30</f>
        <v>807.88</v>
      </c>
      <c r="D12" s="1">
        <f>'Data Sheet'!D30</f>
        <v>1105.08</v>
      </c>
      <c r="E12" s="1">
        <f>'Data Sheet'!E30</f>
        <v>1516.36</v>
      </c>
      <c r="F12" s="1">
        <f>'Data Sheet'!F30</f>
        <v>2177.4</v>
      </c>
      <c r="G12" s="1">
        <f>'Data Sheet'!G30</f>
        <v>2095</v>
      </c>
      <c r="H12" s="1">
        <f>'Data Sheet'!H30</f>
        <v>2365.44</v>
      </c>
      <c r="I12" s="1">
        <f>'Data Sheet'!I30</f>
        <v>2780.38</v>
      </c>
      <c r="J12" s="1">
        <f>'Data Sheet'!J30</f>
        <v>2583.4</v>
      </c>
      <c r="K12" s="1">
        <f>'Data Sheet'!K30</f>
        <v>3576.79</v>
      </c>
      <c r="L12" s="1">
        <f>SUM(Quarters!H12:K12)</f>
        <v>3317.48</v>
      </c>
      <c r="M12" s="1">
        <f>M10-M11*M10</f>
        <v>3774.5725315428454</v>
      </c>
      <c r="N12" s="1">
        <f>N10-N11*N10</f>
        <v>2927.5062040893158</v>
      </c>
    </row>
    <row r="13" spans="1:14" x14ac:dyDescent="0.3">
      <c r="A13" t="s">
        <v>48</v>
      </c>
      <c r="B13" s="6">
        <f>IF('Data Sheet'!B93&gt;0,B12/'Data Sheet'!B93,0)</f>
        <v>9.5921791314447962</v>
      </c>
      <c r="C13" s="6">
        <f>IF('Data Sheet'!C93&gt;0,C12/'Data Sheet'!C93,0)</f>
        <v>5.2057477930279017</v>
      </c>
      <c r="D13" s="6">
        <f>IF('Data Sheet'!D93&gt;0,D12/'Data Sheet'!D93,0)</f>
        <v>5.5654713940370666</v>
      </c>
      <c r="E13" s="6">
        <f>IF('Data Sheet'!E93&gt;0,E12/'Data Sheet'!E93,0)</f>
        <v>7.6367848509266718</v>
      </c>
      <c r="F13" s="6">
        <f>IF('Data Sheet'!F93&gt;0,F12/'Data Sheet'!F93,0)</f>
        <v>10.965954875100726</v>
      </c>
      <c r="G13" s="6">
        <f>IF('Data Sheet'!G93&gt;0,G12/'Data Sheet'!G93,0)</f>
        <v>10.550966962127317</v>
      </c>
      <c r="H13" s="6">
        <f>IF('Data Sheet'!H93&gt;0,H12/'Data Sheet'!H93,0)</f>
        <v>11.912973408541498</v>
      </c>
      <c r="I13" s="6">
        <f>IF('Data Sheet'!I93&gt;0,I12/'Data Sheet'!I93,0)</f>
        <v>14.002719580983079</v>
      </c>
      <c r="J13" s="6">
        <f>IF('Data Sheet'!J93&gt;0,J12/'Data Sheet'!J93,0)</f>
        <v>13.010676873489121</v>
      </c>
      <c r="K13" s="6">
        <f>IF('Data Sheet'!K93&gt;0,K12/'Data Sheet'!K93,0)</f>
        <v>16.275151294535195</v>
      </c>
      <c r="L13" s="6">
        <f>IF('Data Sheet'!$B6&gt;0,'Profit &amp; Loss'!L12/'Data Sheet'!$B6,0)</f>
        <v>13.466436611702804</v>
      </c>
      <c r="M13" s="6">
        <f>IF('Data Sheet'!$B6&gt;0,'Profit &amp; Loss'!M12/'Data Sheet'!$B6,0)</f>
        <v>15.321883397125623</v>
      </c>
      <c r="N13" s="6">
        <f>IF('Data Sheet'!$B6&gt;0,'Profit &amp; Loss'!N12/'Data Sheet'!$B6,0)</f>
        <v>11.883440662109631</v>
      </c>
    </row>
    <row r="14" spans="1:14" x14ac:dyDescent="0.3">
      <c r="A14" t="s">
        <v>16</v>
      </c>
      <c r="B14" s="6">
        <f>IF(B15&gt;0,B15/B13,"")</f>
        <v>23.857978136562394</v>
      </c>
      <c r="C14" s="6">
        <f t="shared" ref="C14:K14" si="2">IF(C15&gt;0,C15/C13,"")</f>
        <v>39.004962989552901</v>
      </c>
      <c r="D14" s="6">
        <f t="shared" si="2"/>
        <v>37.067839432439285</v>
      </c>
      <c r="E14" s="6">
        <f t="shared" si="2"/>
        <v>35.623630272494658</v>
      </c>
      <c r="F14" s="6">
        <f t="shared" si="2"/>
        <v>20.527168182235691</v>
      </c>
      <c r="G14" s="6">
        <f t="shared" si="2"/>
        <v>18.600190930787587</v>
      </c>
      <c r="H14" s="6">
        <f t="shared" si="2"/>
        <v>20.888991477272729</v>
      </c>
      <c r="I14" s="6">
        <f t="shared" si="2"/>
        <v>26.959048763118709</v>
      </c>
      <c r="J14" s="6">
        <f t="shared" si="2"/>
        <v>28.096155454052802</v>
      </c>
      <c r="K14" s="6">
        <f t="shared" si="2"/>
        <v>37.624842246819078</v>
      </c>
      <c r="L14" s="6">
        <f t="shared" ref="L14" si="3">IF(L13&gt;0,L15/L13,0)</f>
        <v>47.770618059490943</v>
      </c>
      <c r="M14" s="6">
        <f>M25</f>
        <v>47.770618059490943</v>
      </c>
      <c r="N14" s="6">
        <f>N25</f>
        <v>29.511330673284021</v>
      </c>
    </row>
    <row r="15" spans="1:14" s="2" customFormat="1" x14ac:dyDescent="0.3">
      <c r="A15" s="2" t="s">
        <v>49</v>
      </c>
      <c r="B15" s="1">
        <f>'Data Sheet'!B90</f>
        <v>228.85</v>
      </c>
      <c r="C15" s="1">
        <f>'Data Sheet'!C90</f>
        <v>203.05</v>
      </c>
      <c r="D15" s="1">
        <f>'Data Sheet'!D90</f>
        <v>206.3</v>
      </c>
      <c r="E15" s="1">
        <f>'Data Sheet'!E90</f>
        <v>272.05</v>
      </c>
      <c r="F15" s="1">
        <f>'Data Sheet'!F90</f>
        <v>225.1</v>
      </c>
      <c r="G15" s="1">
        <f>'Data Sheet'!G90</f>
        <v>196.25</v>
      </c>
      <c r="H15" s="1">
        <f>'Data Sheet'!H90</f>
        <v>248.85</v>
      </c>
      <c r="I15" s="1">
        <f>'Data Sheet'!I90</f>
        <v>377.5</v>
      </c>
      <c r="J15" s="1">
        <f>'Data Sheet'!J90</f>
        <v>365.55</v>
      </c>
      <c r="K15" s="1">
        <f>'Data Sheet'!K90</f>
        <v>612.35</v>
      </c>
      <c r="L15" s="1">
        <f>'Data Sheet'!B8</f>
        <v>643.29999999999995</v>
      </c>
      <c r="M15" s="8">
        <f>M13*M14</f>
        <v>731.93583971614373</v>
      </c>
      <c r="N15" s="9">
        <f>N13*N14</f>
        <v>350.69614691586656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0.45872182980154724</v>
      </c>
      <c r="C18" s="5">
        <f>IF('Data Sheet'!C30&gt;0, 'Data Sheet'!C31/'Data Sheet'!C30, 0)</f>
        <v>0.53786453433678261</v>
      </c>
      <c r="D18" s="5">
        <f>IF('Data Sheet'!D30&gt;0, 'Data Sheet'!D31/'Data Sheet'!D30, 0)</f>
        <v>0.50311289680385141</v>
      </c>
      <c r="E18" s="5">
        <f>IF('Data Sheet'!E30&gt;0, 'Data Sheet'!E31/'Data Sheet'!E30, 0)</f>
        <v>0.47141180194676729</v>
      </c>
      <c r="F18" s="5">
        <f>IF('Data Sheet'!F30&gt;0, 'Data Sheet'!F31/'Data Sheet'!F30, 0)</f>
        <v>0.13679158629558189</v>
      </c>
      <c r="G18" s="5">
        <f>IF('Data Sheet'!G30&gt;0, 'Data Sheet'!G31/'Data Sheet'!G30, 0)</f>
        <v>0.14217183770883057</v>
      </c>
      <c r="H18" s="5">
        <f>IF('Data Sheet'!H30&gt;0, 'Data Sheet'!H31/'Data Sheet'!H30, 0)</f>
        <v>1.5109958400974026</v>
      </c>
      <c r="I18" s="5">
        <f>IF('Data Sheet'!I30&gt;0, 'Data Sheet'!I31/'Data Sheet'!I30, 0)</f>
        <v>0.44992411109272834</v>
      </c>
      <c r="J18" s="5">
        <f>IF('Data Sheet'!J30&gt;0, 'Data Sheet'!J31/'Data Sheet'!J30, 0)</f>
        <v>0.19215375087094527</v>
      </c>
      <c r="K18" s="5">
        <f>IF('Data Sheet'!K30&gt;0, 'Data Sheet'!K31/'Data Sheet'!K30, 0)</f>
        <v>0.12288672245225468</v>
      </c>
    </row>
    <row r="19" spans="1:14" x14ac:dyDescent="0.3">
      <c r="A19" t="s">
        <v>18</v>
      </c>
      <c r="B19" s="5">
        <f t="shared" ref="B19:L19" si="4">IF(B6&gt;0,B6/B4,0)</f>
        <v>0.19422942862825385</v>
      </c>
      <c r="C19" s="5">
        <f t="shared" ref="C19:K19" si="5">IF(C6&gt;0,C6/C4,0)</f>
        <v>0.16342884149333101</v>
      </c>
      <c r="D19" s="5">
        <f t="shared" si="5"/>
        <v>0.15831722966869824</v>
      </c>
      <c r="E19" s="5">
        <f t="shared" si="5"/>
        <v>0.1633966137045299</v>
      </c>
      <c r="F19" s="5">
        <f t="shared" si="5"/>
        <v>0.15401863373595567</v>
      </c>
      <c r="G19" s="5">
        <f t="shared" si="5"/>
        <v>0.16960840923052523</v>
      </c>
      <c r="H19" s="5">
        <f t="shared" si="5"/>
        <v>0.20417422460359835</v>
      </c>
      <c r="I19" s="5">
        <f t="shared" si="5"/>
        <v>0.21440709037591676</v>
      </c>
      <c r="J19" s="5">
        <f t="shared" si="5"/>
        <v>0.13155523161371052</v>
      </c>
      <c r="K19" s="5">
        <f t="shared" si="5"/>
        <v>0.19299093717543359</v>
      </c>
      <c r="L19" s="5">
        <f t="shared" si="4"/>
        <v>0.18353805548653132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56</v>
      </c>
      <c r="I22" s="12" t="s">
        <v>57</v>
      </c>
      <c r="J22" s="12" t="s">
        <v>58</v>
      </c>
      <c r="K22" s="12" t="s">
        <v>59</v>
      </c>
      <c r="L22" s="13" t="s">
        <v>60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0.14304024952528649</v>
      </c>
      <c r="I23" s="5">
        <f>IF(D4=0,"",POWER($K4/D4,1/7)-1)</f>
        <v>7.4183160905000989E-2</v>
      </c>
      <c r="J23" s="5">
        <f>IF(F4=0,"",POWER($K4/F4,1/5)-1)</f>
        <v>4.951978480692043E-2</v>
      </c>
      <c r="K23" s="5">
        <f>IF(H4=0,"",POWER($K4/H4, 1/3)-1)</f>
        <v>0.10590815589903091</v>
      </c>
      <c r="L23" s="5">
        <f>IF(ISERROR(MAX(IF(J4=0,"",(K4-J4)/J4),IF(K4=0,"",(L4-K4)/K4))),"",MAX(IF(J4=0,"",(K4-J4)/J4),IF(K4=0,"",(L4-K4)/K4)))</f>
        <v>-1.2105680278796811E-2</v>
      </c>
      <c r="M23" s="16">
        <f>MAX(K23:L23)</f>
        <v>0.10590815589903091</v>
      </c>
      <c r="N23" s="16">
        <f>MIN(H23:L23)</f>
        <v>-1.2105680278796811E-2</v>
      </c>
    </row>
    <row r="24" spans="1:14" x14ac:dyDescent="0.3">
      <c r="G24" t="s">
        <v>18</v>
      </c>
      <c r="H24" s="5">
        <f>IF(SUM(B4:$K$4)=0,"",SUMPRODUCT(B19:$K$19,B4:$K$4)/SUM(B4:$K$4))</f>
        <v>0.1731069234531763</v>
      </c>
      <c r="I24" s="5">
        <f>IF(SUM(E4:$K$4)=0,"",SUMPRODUCT(E19:$K$19,E4:$K$4)/SUM(E4:$K$4))</f>
        <v>0.17398780456704016</v>
      </c>
      <c r="J24" s="5">
        <f>IF(SUM(G4:$K$4)=0,"",SUMPRODUCT(G19:$K$19,G4:$K$4)/SUM(G4:$K$4))</f>
        <v>0.17903136489373161</v>
      </c>
      <c r="K24" s="5">
        <f>IF(SUM(I4:$K$4)=0, "", SUMPRODUCT(I19:$K$19,I4:$K$4)/SUM(I4:$K$4))</f>
        <v>0.17545919524949646</v>
      </c>
      <c r="L24" s="5">
        <f>L19</f>
        <v>0.18353805548653132</v>
      </c>
      <c r="M24" s="16">
        <f>MAX(K24:L24)</f>
        <v>0.18353805548653132</v>
      </c>
      <c r="N24" s="16">
        <f>MIN(H24:L24)</f>
        <v>0.1731069234531763</v>
      </c>
    </row>
    <row r="25" spans="1:14" x14ac:dyDescent="0.3">
      <c r="G25" t="s">
        <v>23</v>
      </c>
      <c r="H25" s="6">
        <f>IF(ISERROR(AVERAGEIF(B14:$L14,"&gt;0")),"",AVERAGEIF(B14:$L14,"&gt;0"))</f>
        <v>30.547402358620616</v>
      </c>
      <c r="I25" s="6">
        <f>IF(ISERROR(AVERAGEIF(E14:$L14,"&gt;0")),"",AVERAGEIF(E14:$L14,"&gt;0"))</f>
        <v>29.511330673284021</v>
      </c>
      <c r="J25" s="6">
        <f>IF(ISERROR(AVERAGEIF(G14:$L14,"&gt;0")),"",AVERAGEIF(G14:$L14,"&gt;0"))</f>
        <v>29.98997448859031</v>
      </c>
      <c r="K25" s="6">
        <f>IF(ISERROR(AVERAGEIF(I14:$L14,"&gt;0")),"",AVERAGEIF(I14:$L14,"&gt;0"))</f>
        <v>35.11266613087038</v>
      </c>
      <c r="L25" s="6">
        <f>L14</f>
        <v>47.770618059490943</v>
      </c>
      <c r="M25" s="1">
        <f>MAX(K25:L25)</f>
        <v>47.770618059490943</v>
      </c>
      <c r="N25" s="1">
        <f>MIN(H25:L25)</f>
        <v>29.511330673284021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25" zoomScaleNormal="125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AMBUJA CEMENTS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44651</v>
      </c>
      <c r="C3" s="12">
        <f>'Data Sheet'!C41</f>
        <v>44742</v>
      </c>
      <c r="D3" s="12">
        <f>'Data Sheet'!D41</f>
        <v>44834</v>
      </c>
      <c r="E3" s="12">
        <f>'Data Sheet'!E41</f>
        <v>44926</v>
      </c>
      <c r="F3" s="12">
        <f>'Data Sheet'!F41</f>
        <v>45016</v>
      </c>
      <c r="G3" s="12">
        <f>'Data Sheet'!G41</f>
        <v>45107</v>
      </c>
      <c r="H3" s="12">
        <f>'Data Sheet'!H41</f>
        <v>45199</v>
      </c>
      <c r="I3" s="12">
        <f>'Data Sheet'!I41</f>
        <v>45291</v>
      </c>
      <c r="J3" s="12">
        <f>'Data Sheet'!J41</f>
        <v>45382</v>
      </c>
      <c r="K3" s="12">
        <f>'Data Sheet'!K41</f>
        <v>45473</v>
      </c>
    </row>
    <row r="4" spans="1:11" s="2" customFormat="1" x14ac:dyDescent="0.3">
      <c r="A4" s="2" t="s">
        <v>6</v>
      </c>
      <c r="B4" s="1">
        <f>'Data Sheet'!B42</f>
        <v>7900.04</v>
      </c>
      <c r="C4" s="1">
        <f>'Data Sheet'!C42</f>
        <v>8032.88</v>
      </c>
      <c r="D4" s="1">
        <f>'Data Sheet'!D42</f>
        <v>7143.17</v>
      </c>
      <c r="E4" s="1">
        <f>'Data Sheet'!E42</f>
        <v>7906.74</v>
      </c>
      <c r="F4" s="1">
        <f>'Data Sheet'!F42</f>
        <v>7965.98</v>
      </c>
      <c r="G4" s="1">
        <f>'Data Sheet'!G42</f>
        <v>8712.9</v>
      </c>
      <c r="H4" s="1">
        <f>'Data Sheet'!H42</f>
        <v>7423.95</v>
      </c>
      <c r="I4" s="1">
        <f>'Data Sheet'!I42</f>
        <v>8128.8</v>
      </c>
      <c r="J4" s="1">
        <f>'Data Sheet'!J42</f>
        <v>8893.99</v>
      </c>
      <c r="K4" s="1">
        <f>'Data Sheet'!K42</f>
        <v>8311.48</v>
      </c>
    </row>
    <row r="5" spans="1:11" x14ac:dyDescent="0.3">
      <c r="A5" t="s">
        <v>7</v>
      </c>
      <c r="B5" s="6">
        <f>'Data Sheet'!B43</f>
        <v>6476.03</v>
      </c>
      <c r="C5" s="6">
        <f>'Data Sheet'!C43</f>
        <v>6921.73</v>
      </c>
      <c r="D5" s="6">
        <f>'Data Sheet'!D43</f>
        <v>6808.72</v>
      </c>
      <c r="E5" s="6">
        <f>'Data Sheet'!E43</f>
        <v>6885.32</v>
      </c>
      <c r="F5" s="6">
        <f>'Data Sheet'!F43</f>
        <v>6726.95</v>
      </c>
      <c r="G5" s="6">
        <f>'Data Sheet'!G43</f>
        <v>7045.95</v>
      </c>
      <c r="H5" s="6">
        <f>'Data Sheet'!H43</f>
        <v>6122.13</v>
      </c>
      <c r="I5" s="6">
        <f>'Data Sheet'!I43</f>
        <v>6396.7</v>
      </c>
      <c r="J5" s="6">
        <f>'Data Sheet'!J43</f>
        <v>7195.34</v>
      </c>
      <c r="K5" s="6">
        <f>'Data Sheet'!K43</f>
        <v>7031.67</v>
      </c>
    </row>
    <row r="6" spans="1:11" s="2" customFormat="1" x14ac:dyDescent="0.3">
      <c r="A6" s="2" t="s">
        <v>8</v>
      </c>
      <c r="B6" s="1">
        <f>'Data Sheet'!B50</f>
        <v>1424.01</v>
      </c>
      <c r="C6" s="1">
        <f>'Data Sheet'!C50</f>
        <v>1111.1500000000001</v>
      </c>
      <c r="D6" s="1">
        <f>'Data Sheet'!D50</f>
        <v>334.45</v>
      </c>
      <c r="E6" s="1">
        <f>'Data Sheet'!E50</f>
        <v>1021.42</v>
      </c>
      <c r="F6" s="1">
        <f>'Data Sheet'!F50</f>
        <v>1239.03</v>
      </c>
      <c r="G6" s="1">
        <f>'Data Sheet'!G50</f>
        <v>1666.95</v>
      </c>
      <c r="H6" s="1">
        <f>'Data Sheet'!H50</f>
        <v>1301.82</v>
      </c>
      <c r="I6" s="1">
        <f>'Data Sheet'!I50</f>
        <v>1732.1</v>
      </c>
      <c r="J6" s="1">
        <f>'Data Sheet'!J50</f>
        <v>1698.65</v>
      </c>
      <c r="K6" s="1">
        <f>'Data Sheet'!K50</f>
        <v>1279.81</v>
      </c>
    </row>
    <row r="7" spans="1:11" x14ac:dyDescent="0.3">
      <c r="A7" t="s">
        <v>9</v>
      </c>
      <c r="B7" s="6">
        <f>'Data Sheet'!B44</f>
        <v>96.59</v>
      </c>
      <c r="C7" s="6">
        <f>'Data Sheet'!C44</f>
        <v>143.06</v>
      </c>
      <c r="D7" s="6">
        <f>'Data Sheet'!D44</f>
        <v>75.3</v>
      </c>
      <c r="E7" s="6">
        <f>'Data Sheet'!E44</f>
        <v>-17.57</v>
      </c>
      <c r="F7" s="6">
        <f>'Data Sheet'!F44</f>
        <v>141.62</v>
      </c>
      <c r="G7" s="6">
        <f>'Data Sheet'!G44</f>
        <v>268.5</v>
      </c>
      <c r="H7" s="6">
        <f>'Data Sheet'!H44</f>
        <v>480.04</v>
      </c>
      <c r="I7" s="6">
        <f>'Data Sheet'!I44</f>
        <v>203.86</v>
      </c>
      <c r="J7" s="6">
        <f>'Data Sheet'!J44</f>
        <v>448.46</v>
      </c>
      <c r="K7" s="6">
        <f>'Data Sheet'!K44</f>
        <v>358.11</v>
      </c>
    </row>
    <row r="8" spans="1:11" x14ac:dyDescent="0.3">
      <c r="A8" t="s">
        <v>10</v>
      </c>
      <c r="B8" s="6">
        <f>'Data Sheet'!B45</f>
        <v>305.52</v>
      </c>
      <c r="C8" s="6">
        <f>'Data Sheet'!C45</f>
        <v>318.76</v>
      </c>
      <c r="D8" s="6">
        <f>'Data Sheet'!D45</f>
        <v>330.67</v>
      </c>
      <c r="E8" s="6">
        <f>'Data Sheet'!E45</f>
        <v>337.39</v>
      </c>
      <c r="F8" s="6">
        <f>'Data Sheet'!F45</f>
        <v>352.33</v>
      </c>
      <c r="G8" s="6">
        <f>'Data Sheet'!G45</f>
        <v>371.72</v>
      </c>
      <c r="H8" s="6">
        <f>'Data Sheet'!H45</f>
        <v>380.9</v>
      </c>
      <c r="I8" s="6">
        <f>'Data Sheet'!I45</f>
        <v>417.7</v>
      </c>
      <c r="J8" s="6">
        <f>'Data Sheet'!J45</f>
        <v>453.06</v>
      </c>
      <c r="K8" s="6">
        <f>'Data Sheet'!K45</f>
        <v>467.43</v>
      </c>
    </row>
    <row r="9" spans="1:11" x14ac:dyDescent="0.3">
      <c r="A9" t="s">
        <v>11</v>
      </c>
      <c r="B9" s="6">
        <f>'Data Sheet'!B46</f>
        <v>31.96</v>
      </c>
      <c r="C9" s="6">
        <f>'Data Sheet'!C46</f>
        <v>39.96</v>
      </c>
      <c r="D9" s="6">
        <f>'Data Sheet'!D46</f>
        <v>40.51</v>
      </c>
      <c r="E9" s="6">
        <f>'Data Sheet'!E46</f>
        <v>43.04</v>
      </c>
      <c r="F9" s="6">
        <f>'Data Sheet'!F46</f>
        <v>39.43</v>
      </c>
      <c r="G9" s="6">
        <f>'Data Sheet'!G46</f>
        <v>52.07</v>
      </c>
      <c r="H9" s="6">
        <f>'Data Sheet'!H46</f>
        <v>61.25</v>
      </c>
      <c r="I9" s="6">
        <f>'Data Sheet'!I46</f>
        <v>70.14</v>
      </c>
      <c r="J9" s="6">
        <f>'Data Sheet'!J46</f>
        <v>92.91</v>
      </c>
      <c r="K9" s="6">
        <f>'Data Sheet'!K46</f>
        <v>67.81</v>
      </c>
    </row>
    <row r="10" spans="1:11" x14ac:dyDescent="0.3">
      <c r="A10" t="s">
        <v>12</v>
      </c>
      <c r="B10" s="6">
        <f>'Data Sheet'!B47</f>
        <v>1183.1199999999999</v>
      </c>
      <c r="C10" s="6">
        <f>'Data Sheet'!C47</f>
        <v>895.49</v>
      </c>
      <c r="D10" s="6">
        <f>'Data Sheet'!D47</f>
        <v>38.57</v>
      </c>
      <c r="E10" s="6">
        <f>'Data Sheet'!E47</f>
        <v>623.41999999999996</v>
      </c>
      <c r="F10" s="6">
        <f>'Data Sheet'!F47</f>
        <v>988.89</v>
      </c>
      <c r="G10" s="6">
        <f>'Data Sheet'!G47</f>
        <v>1511.66</v>
      </c>
      <c r="H10" s="6">
        <f>'Data Sheet'!H47</f>
        <v>1339.71</v>
      </c>
      <c r="I10" s="6">
        <f>'Data Sheet'!I47</f>
        <v>1448.12</v>
      </c>
      <c r="J10" s="6">
        <f>'Data Sheet'!J47</f>
        <v>1601.14</v>
      </c>
      <c r="K10" s="6">
        <f>'Data Sheet'!K47</f>
        <v>1102.68</v>
      </c>
    </row>
    <row r="11" spans="1:11" x14ac:dyDescent="0.3">
      <c r="A11" t="s">
        <v>13</v>
      </c>
      <c r="B11" s="6">
        <f>'Data Sheet'!B48</f>
        <v>326.66000000000003</v>
      </c>
      <c r="C11" s="6">
        <f>'Data Sheet'!C48</f>
        <v>30.05</v>
      </c>
      <c r="D11" s="6">
        <f>'Data Sheet'!D48</f>
        <v>-12.73</v>
      </c>
      <c r="E11" s="6">
        <f>'Data Sheet'!E48</f>
        <v>135.54</v>
      </c>
      <c r="F11" s="6">
        <f>'Data Sheet'!F48</f>
        <v>225.59</v>
      </c>
      <c r="G11" s="6">
        <f>'Data Sheet'!G48</f>
        <v>376.2</v>
      </c>
      <c r="H11" s="6">
        <f>'Data Sheet'!H48</f>
        <v>352.47</v>
      </c>
      <c r="I11" s="6">
        <f>'Data Sheet'!I48</f>
        <v>358.57</v>
      </c>
      <c r="J11" s="6">
        <f>'Data Sheet'!J48</f>
        <v>75.36</v>
      </c>
      <c r="K11" s="6">
        <f>'Data Sheet'!K48</f>
        <v>313.05</v>
      </c>
    </row>
    <row r="12" spans="1:11" s="2" customFormat="1" x14ac:dyDescent="0.3">
      <c r="A12" s="2" t="s">
        <v>14</v>
      </c>
      <c r="B12" s="1">
        <f>'Data Sheet'!B49</f>
        <v>658.87</v>
      </c>
      <c r="C12" s="1">
        <f>'Data Sheet'!C49</f>
        <v>752</v>
      </c>
      <c r="D12" s="1">
        <f>'Data Sheet'!D49</f>
        <v>93.18</v>
      </c>
      <c r="E12" s="1">
        <f>'Data Sheet'!E49</f>
        <v>434.41</v>
      </c>
      <c r="F12" s="1">
        <f>'Data Sheet'!F49</f>
        <v>644.94000000000005</v>
      </c>
      <c r="G12" s="1">
        <f>'Data Sheet'!G49</f>
        <v>905.61</v>
      </c>
      <c r="H12" s="1">
        <f>'Data Sheet'!H49</f>
        <v>792.96</v>
      </c>
      <c r="I12" s="1">
        <f>'Data Sheet'!I49</f>
        <v>823.05</v>
      </c>
      <c r="J12" s="1">
        <f>'Data Sheet'!J49</f>
        <v>1055.1600000000001</v>
      </c>
      <c r="K12" s="1">
        <f>'Data Sheet'!K49</f>
        <v>646.30999999999995</v>
      </c>
    </row>
    <row r="14" spans="1:11" s="2" customFormat="1" x14ac:dyDescent="0.3">
      <c r="A14" s="2" t="s">
        <v>18</v>
      </c>
      <c r="B14" s="10">
        <f>IF(B4&gt;0,B6/B4,"")</f>
        <v>0.18025351770370782</v>
      </c>
      <c r="C14" s="10">
        <f t="shared" ref="C14:K14" si="0">IF(C4&gt;0,C6/C4,"")</f>
        <v>0.1383252332911733</v>
      </c>
      <c r="D14" s="10">
        <f t="shared" si="0"/>
        <v>4.6820949242423179E-2</v>
      </c>
      <c r="E14" s="10">
        <f t="shared" si="0"/>
        <v>0.12918345613995147</v>
      </c>
      <c r="F14" s="10">
        <f t="shared" si="0"/>
        <v>0.15554018463516103</v>
      </c>
      <c r="G14" s="10">
        <f t="shared" si="0"/>
        <v>0.19131976724167615</v>
      </c>
      <c r="H14" s="10">
        <f t="shared" si="0"/>
        <v>0.17535409047744124</v>
      </c>
      <c r="I14" s="10">
        <f t="shared" si="0"/>
        <v>0.21308188170455664</v>
      </c>
      <c r="J14" s="10">
        <f t="shared" si="0"/>
        <v>0.19098852146224587</v>
      </c>
      <c r="K14" s="10">
        <f t="shared" si="0"/>
        <v>0.15398099977380683</v>
      </c>
    </row>
    <row r="22" s="19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AMBUJA CEMENTS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42004</v>
      </c>
      <c r="C3" s="12">
        <f>'Data Sheet'!C56</f>
        <v>42369</v>
      </c>
      <c r="D3" s="12">
        <f>'Data Sheet'!D56</f>
        <v>42735</v>
      </c>
      <c r="E3" s="12">
        <f>'Data Sheet'!E56</f>
        <v>43100</v>
      </c>
      <c r="F3" s="12">
        <f>'Data Sheet'!F56</f>
        <v>43465</v>
      </c>
      <c r="G3" s="12">
        <f>'Data Sheet'!G56</f>
        <v>43830</v>
      </c>
      <c r="H3" s="12">
        <f>'Data Sheet'!H56</f>
        <v>44196</v>
      </c>
      <c r="I3" s="12">
        <f>'Data Sheet'!I56</f>
        <v>44561</v>
      </c>
      <c r="J3" s="12">
        <f>'Data Sheet'!J56</f>
        <v>45016</v>
      </c>
      <c r="K3" s="12">
        <f>'Data Sheet'!K56</f>
        <v>45382</v>
      </c>
    </row>
    <row r="4" spans="1:11" x14ac:dyDescent="0.3">
      <c r="A4" t="s">
        <v>24</v>
      </c>
      <c r="B4" s="14">
        <f>'Data Sheet'!B57</f>
        <v>309.95</v>
      </c>
      <c r="C4" s="14">
        <f>'Data Sheet'!C57</f>
        <v>310.38</v>
      </c>
      <c r="D4" s="14">
        <f>'Data Sheet'!D57</f>
        <v>397.13</v>
      </c>
      <c r="E4" s="14">
        <f>'Data Sheet'!E57</f>
        <v>397.13</v>
      </c>
      <c r="F4" s="14">
        <f>'Data Sheet'!F57</f>
        <v>397.13</v>
      </c>
      <c r="G4" s="14">
        <f>'Data Sheet'!G57</f>
        <v>397.13</v>
      </c>
      <c r="H4" s="14">
        <f>'Data Sheet'!H57</f>
        <v>397.13</v>
      </c>
      <c r="I4" s="14">
        <f>'Data Sheet'!I57</f>
        <v>397.13</v>
      </c>
      <c r="J4" s="14">
        <f>'Data Sheet'!J57</f>
        <v>397.13</v>
      </c>
      <c r="K4" s="14">
        <f>'Data Sheet'!K57</f>
        <v>439.54</v>
      </c>
    </row>
    <row r="5" spans="1:11" x14ac:dyDescent="0.3">
      <c r="A5" t="s">
        <v>25</v>
      </c>
      <c r="B5" s="14">
        <f>'Data Sheet'!B58</f>
        <v>9760.02</v>
      </c>
      <c r="C5" s="14">
        <f>'Data Sheet'!C58</f>
        <v>9961.02</v>
      </c>
      <c r="D5" s="14">
        <f>'Data Sheet'!D58</f>
        <v>19423.79</v>
      </c>
      <c r="E5" s="14">
        <f>'Data Sheet'!E58</f>
        <v>20275.07</v>
      </c>
      <c r="F5" s="14">
        <f>'Data Sheet'!F58</f>
        <v>21973.35</v>
      </c>
      <c r="G5" s="14">
        <f>'Data Sheet'!G58</f>
        <v>23680.86</v>
      </c>
      <c r="H5" s="14">
        <f>'Data Sheet'!H58</f>
        <v>22360.47</v>
      </c>
      <c r="I5" s="14">
        <f>'Data Sheet'!I58</f>
        <v>24956.61</v>
      </c>
      <c r="J5" s="14">
        <f>'Data Sheet'!J58</f>
        <v>26301.040000000001</v>
      </c>
      <c r="K5" s="14">
        <f>'Data Sheet'!K58</f>
        <v>38235.870000000003</v>
      </c>
    </row>
    <row r="6" spans="1:11" x14ac:dyDescent="0.3">
      <c r="A6" t="s">
        <v>62</v>
      </c>
      <c r="B6" s="14">
        <f>'Data Sheet'!B59</f>
        <v>34.03</v>
      </c>
      <c r="C6" s="14">
        <f>'Data Sheet'!C59</f>
        <v>35</v>
      </c>
      <c r="D6" s="14">
        <f>'Data Sheet'!D59</f>
        <v>28.96</v>
      </c>
      <c r="E6" s="14">
        <f>'Data Sheet'!E59</f>
        <v>24.12</v>
      </c>
      <c r="F6" s="14">
        <f>'Data Sheet'!F59</f>
        <v>39.68</v>
      </c>
      <c r="G6" s="14">
        <f>'Data Sheet'!G59</f>
        <v>41.06</v>
      </c>
      <c r="H6" s="14">
        <f>'Data Sheet'!H59</f>
        <v>470.6</v>
      </c>
      <c r="I6" s="14">
        <f>'Data Sheet'!I59</f>
        <v>476.57</v>
      </c>
      <c r="J6" s="14">
        <f>'Data Sheet'!J59</f>
        <v>522.73</v>
      </c>
      <c r="K6" s="14">
        <f>'Data Sheet'!K59</f>
        <v>699.01</v>
      </c>
    </row>
    <row r="7" spans="1:11" x14ac:dyDescent="0.3">
      <c r="A7" t="s">
        <v>63</v>
      </c>
      <c r="B7" s="14">
        <f>'Data Sheet'!B60</f>
        <v>3774.47</v>
      </c>
      <c r="C7" s="14">
        <f>'Data Sheet'!C60</f>
        <v>3826.56</v>
      </c>
      <c r="D7" s="14">
        <f>'Data Sheet'!D60</f>
        <v>12973.93</v>
      </c>
      <c r="E7" s="14">
        <f>'Data Sheet'!E60</f>
        <v>14812.9</v>
      </c>
      <c r="F7" s="14">
        <f>'Data Sheet'!F60</f>
        <v>14980.59</v>
      </c>
      <c r="G7" s="14">
        <f>'Data Sheet'!G60</f>
        <v>16059.13</v>
      </c>
      <c r="H7" s="14">
        <f>'Data Sheet'!H60</f>
        <v>16489.59</v>
      </c>
      <c r="I7" s="14">
        <f>'Data Sheet'!I60</f>
        <v>19374.28</v>
      </c>
      <c r="J7" s="14">
        <f>'Data Sheet'!J60</f>
        <v>24500.560000000001</v>
      </c>
      <c r="K7" s="14">
        <f>'Data Sheet'!K60</f>
        <v>25886.45</v>
      </c>
    </row>
    <row r="8" spans="1:11" s="2" customFormat="1" x14ac:dyDescent="0.3">
      <c r="A8" s="2" t="s">
        <v>26</v>
      </c>
      <c r="B8" s="15">
        <f>'Data Sheet'!B61</f>
        <v>13878.47</v>
      </c>
      <c r="C8" s="15">
        <f>'Data Sheet'!C61</f>
        <v>14132.96</v>
      </c>
      <c r="D8" s="15">
        <f>'Data Sheet'!D61</f>
        <v>32823.81</v>
      </c>
      <c r="E8" s="15">
        <f>'Data Sheet'!E61</f>
        <v>35509.22</v>
      </c>
      <c r="F8" s="15">
        <f>'Data Sheet'!F61</f>
        <v>37390.75</v>
      </c>
      <c r="G8" s="15">
        <f>'Data Sheet'!G61</f>
        <v>40178.18</v>
      </c>
      <c r="H8" s="15">
        <f>'Data Sheet'!H61</f>
        <v>39717.79</v>
      </c>
      <c r="I8" s="15">
        <f>'Data Sheet'!I61</f>
        <v>45204.59</v>
      </c>
      <c r="J8" s="15">
        <f>'Data Sheet'!J61</f>
        <v>51721.46</v>
      </c>
      <c r="K8" s="15">
        <f>'Data Sheet'!K61</f>
        <v>65260.87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6309.63</v>
      </c>
      <c r="C10" s="14">
        <f>'Data Sheet'!C62</f>
        <v>6170.17</v>
      </c>
      <c r="D10" s="14">
        <f>'Data Sheet'!D62</f>
        <v>21410.33</v>
      </c>
      <c r="E10" s="14">
        <f>'Data Sheet'!E62</f>
        <v>20898.22</v>
      </c>
      <c r="F10" s="14">
        <f>'Data Sheet'!F62</f>
        <v>20635.939999999999</v>
      </c>
      <c r="G10" s="14">
        <f>'Data Sheet'!G62</f>
        <v>20701.34</v>
      </c>
      <c r="H10" s="14">
        <f>'Data Sheet'!H62</f>
        <v>20485.97</v>
      </c>
      <c r="I10" s="14">
        <f>'Data Sheet'!I62</f>
        <v>22253.56</v>
      </c>
      <c r="J10" s="14">
        <f>'Data Sheet'!J62</f>
        <v>23551.49</v>
      </c>
      <c r="K10" s="14">
        <f>'Data Sheet'!K62</f>
        <v>32388.47</v>
      </c>
    </row>
    <row r="11" spans="1:11" x14ac:dyDescent="0.3">
      <c r="A11" t="s">
        <v>28</v>
      </c>
      <c r="B11" s="14">
        <f>'Data Sheet'!B63</f>
        <v>692.14</v>
      </c>
      <c r="C11" s="14">
        <f>'Data Sheet'!C63</f>
        <v>416.42</v>
      </c>
      <c r="D11" s="14">
        <f>'Data Sheet'!D63</f>
        <v>582.04</v>
      </c>
      <c r="E11" s="14">
        <f>'Data Sheet'!E63</f>
        <v>667.2</v>
      </c>
      <c r="F11" s="14">
        <f>'Data Sheet'!F63</f>
        <v>1008.17</v>
      </c>
      <c r="G11" s="14">
        <f>'Data Sheet'!G63</f>
        <v>1554.43</v>
      </c>
      <c r="H11" s="14">
        <f>'Data Sheet'!H63</f>
        <v>2421.85</v>
      </c>
      <c r="I11" s="14">
        <f>'Data Sheet'!I63</f>
        <v>2167.73</v>
      </c>
      <c r="J11" s="14">
        <f>'Data Sheet'!J63</f>
        <v>2525.87</v>
      </c>
      <c r="K11" s="14">
        <f>'Data Sheet'!K63</f>
        <v>2658.45</v>
      </c>
    </row>
    <row r="12" spans="1:11" x14ac:dyDescent="0.3">
      <c r="A12" t="s">
        <v>29</v>
      </c>
      <c r="B12" s="14">
        <f>'Data Sheet'!B64</f>
        <v>2096.6</v>
      </c>
      <c r="C12" s="14">
        <f>'Data Sheet'!C64</f>
        <v>2148.83</v>
      </c>
      <c r="D12" s="14">
        <f>'Data Sheet'!D64</f>
        <v>174.8</v>
      </c>
      <c r="E12" s="14">
        <f>'Data Sheet'!E64</f>
        <v>153.07</v>
      </c>
      <c r="F12" s="14">
        <f>'Data Sheet'!F64</f>
        <v>133.22999999999999</v>
      </c>
      <c r="G12" s="14">
        <f>'Data Sheet'!G64</f>
        <v>149.57</v>
      </c>
      <c r="H12" s="14">
        <f>'Data Sheet'!H64</f>
        <v>167.3</v>
      </c>
      <c r="I12" s="14">
        <f>'Data Sheet'!I64</f>
        <v>198.11</v>
      </c>
      <c r="J12" s="14">
        <f>'Data Sheet'!J64</f>
        <v>213.65</v>
      </c>
      <c r="K12" s="14">
        <f>'Data Sheet'!K64</f>
        <v>848.55</v>
      </c>
    </row>
    <row r="13" spans="1:11" x14ac:dyDescent="0.3">
      <c r="A13" t="s">
        <v>64</v>
      </c>
      <c r="B13" s="14">
        <f>'Data Sheet'!B65</f>
        <v>4780.1000000000004</v>
      </c>
      <c r="C13" s="14">
        <f>'Data Sheet'!C65</f>
        <v>5397.54</v>
      </c>
      <c r="D13" s="14">
        <f>'Data Sheet'!D65</f>
        <v>10656.64</v>
      </c>
      <c r="E13" s="14">
        <f>'Data Sheet'!E65</f>
        <v>13790.73</v>
      </c>
      <c r="F13" s="14">
        <f>'Data Sheet'!F65</f>
        <v>15613.41</v>
      </c>
      <c r="G13" s="14">
        <f>'Data Sheet'!G65</f>
        <v>17772.84</v>
      </c>
      <c r="H13" s="14">
        <f>'Data Sheet'!H65</f>
        <v>16642.669999999998</v>
      </c>
      <c r="I13" s="14">
        <f>'Data Sheet'!I65</f>
        <v>20585.189999999999</v>
      </c>
      <c r="J13" s="14">
        <f>'Data Sheet'!J65</f>
        <v>25430.45</v>
      </c>
      <c r="K13" s="14">
        <f>'Data Sheet'!K65</f>
        <v>29365.4</v>
      </c>
    </row>
    <row r="14" spans="1:11" s="2" customFormat="1" x14ac:dyDescent="0.3">
      <c r="A14" s="2" t="s">
        <v>26</v>
      </c>
      <c r="B14" s="14">
        <f>'Data Sheet'!B66</f>
        <v>13878.47</v>
      </c>
      <c r="C14" s="14">
        <f>'Data Sheet'!C66</f>
        <v>14132.96</v>
      </c>
      <c r="D14" s="14">
        <f>'Data Sheet'!D66</f>
        <v>32823.81</v>
      </c>
      <c r="E14" s="14">
        <f>'Data Sheet'!E66</f>
        <v>35509.22</v>
      </c>
      <c r="F14" s="14">
        <f>'Data Sheet'!F66</f>
        <v>37390.75</v>
      </c>
      <c r="G14" s="14">
        <f>'Data Sheet'!G66</f>
        <v>40178.18</v>
      </c>
      <c r="H14" s="14">
        <f>'Data Sheet'!H66</f>
        <v>39717.79</v>
      </c>
      <c r="I14" s="14">
        <f>'Data Sheet'!I66</f>
        <v>45204.59</v>
      </c>
      <c r="J14" s="14">
        <f>'Data Sheet'!J66</f>
        <v>51721.46</v>
      </c>
      <c r="K14" s="14">
        <f>'Data Sheet'!K66</f>
        <v>65260.87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1005.6300000000006</v>
      </c>
      <c r="C16" s="4">
        <f t="shared" ref="C16:K16" si="0">C13-C7</f>
        <v>1570.98</v>
      </c>
      <c r="D16" s="4">
        <f t="shared" si="0"/>
        <v>-2317.2900000000009</v>
      </c>
      <c r="E16" s="4">
        <f t="shared" si="0"/>
        <v>-1022.1700000000001</v>
      </c>
      <c r="F16" s="4">
        <f t="shared" si="0"/>
        <v>632.81999999999971</v>
      </c>
      <c r="G16" s="4">
        <f t="shared" si="0"/>
        <v>1713.7100000000009</v>
      </c>
      <c r="H16" s="4">
        <f t="shared" si="0"/>
        <v>153.07999999999811</v>
      </c>
      <c r="I16" s="4">
        <f t="shared" si="0"/>
        <v>1210.9099999999999</v>
      </c>
      <c r="J16" s="4">
        <f t="shared" si="0"/>
        <v>929.88999999999942</v>
      </c>
      <c r="K16" s="4">
        <f t="shared" si="0"/>
        <v>3478.9500000000007</v>
      </c>
    </row>
    <row r="17" spans="1:11" x14ac:dyDescent="0.3">
      <c r="A17" t="s">
        <v>44</v>
      </c>
      <c r="B17" s="4">
        <f>'Data Sheet'!B67</f>
        <v>231.65</v>
      </c>
      <c r="C17" s="4">
        <f>'Data Sheet'!C67</f>
        <v>290.45999999999998</v>
      </c>
      <c r="D17" s="4">
        <f>'Data Sheet'!D67</f>
        <v>924.07</v>
      </c>
      <c r="E17" s="4">
        <f>'Data Sheet'!E67</f>
        <v>931.53</v>
      </c>
      <c r="F17" s="4">
        <f>'Data Sheet'!F67</f>
        <v>1304.54</v>
      </c>
      <c r="G17" s="4">
        <f>'Data Sheet'!G67</f>
        <v>1068.56</v>
      </c>
      <c r="H17" s="4">
        <f>'Data Sheet'!H67</f>
        <v>561.13</v>
      </c>
      <c r="I17" s="4">
        <f>'Data Sheet'!I67</f>
        <v>619.07000000000005</v>
      </c>
      <c r="J17" s="4">
        <f>'Data Sheet'!J67</f>
        <v>1154.3599999999999</v>
      </c>
      <c r="K17" s="4">
        <f>'Data Sheet'!K67</f>
        <v>1213.1400000000001</v>
      </c>
    </row>
    <row r="18" spans="1:11" x14ac:dyDescent="0.3">
      <c r="A18" t="s">
        <v>45</v>
      </c>
      <c r="B18" s="4">
        <f>'Data Sheet'!B68</f>
        <v>889.97</v>
      </c>
      <c r="C18" s="4">
        <f>'Data Sheet'!C68</f>
        <v>897.76</v>
      </c>
      <c r="D18" s="4">
        <f>'Data Sheet'!D68</f>
        <v>2163.5100000000002</v>
      </c>
      <c r="E18" s="4">
        <f>'Data Sheet'!E68</f>
        <v>2458.27</v>
      </c>
      <c r="F18" s="4">
        <f>'Data Sheet'!F68</f>
        <v>2957.89</v>
      </c>
      <c r="G18" s="4">
        <f>'Data Sheet'!G68</f>
        <v>2096.5</v>
      </c>
      <c r="H18" s="4">
        <f>'Data Sheet'!H68</f>
        <v>1648.58</v>
      </c>
      <c r="I18" s="4">
        <f>'Data Sheet'!I68</f>
        <v>2738.04</v>
      </c>
      <c r="J18" s="4">
        <f>'Data Sheet'!J68</f>
        <v>3272.79</v>
      </c>
      <c r="K18" s="4">
        <f>'Data Sheet'!K68</f>
        <v>3608.55</v>
      </c>
    </row>
    <row r="20" spans="1:11" x14ac:dyDescent="0.3">
      <c r="A20" t="s">
        <v>46</v>
      </c>
      <c r="B20" s="4">
        <f>IF('Profit &amp; Loss'!B4&gt;0,'Balance Sheet'!B17/('Profit &amp; Loss'!B4/365),0)</f>
        <v>8.4931554321600267</v>
      </c>
      <c r="C20" s="4">
        <f>IF('Profit &amp; Loss'!C4&gt;0,'Balance Sheet'!C17/('Profit &amp; Loss'!C4/365),0)</f>
        <v>11.234410912917285</v>
      </c>
      <c r="D20" s="4">
        <f>IF('Profit &amp; Loss'!D4&gt;0,'Balance Sheet'!D17/('Profit &amp; Loss'!D4/365),0)</f>
        <v>16.785578316065131</v>
      </c>
      <c r="E20" s="4">
        <f>IF('Profit &amp; Loss'!E4&gt;0,'Balance Sheet'!E17/('Profit &amp; Loss'!E4/365),0)</f>
        <v>14.401834663422665</v>
      </c>
      <c r="F20" s="4">
        <f>IF('Profit &amp; Loss'!F4&gt;0,'Balance Sheet'!F17/('Profit &amp; Loss'!F4/365),0)</f>
        <v>18.28494286304565</v>
      </c>
      <c r="G20" s="4">
        <f>IF('Profit &amp; Loss'!G4&gt;0,'Balance Sheet'!G17/('Profit &amp; Loss'!G4/365),0)</f>
        <v>14.390159222684851</v>
      </c>
      <c r="H20" s="4">
        <f>IF('Profit &amp; Loss'!H4&gt;0,'Balance Sheet'!H17/('Profit &amp; Loss'!H4/365),0)</f>
        <v>8.3541780792024216</v>
      </c>
      <c r="I20" s="4">
        <f>IF('Profit &amp; Loss'!I4&gt;0,'Balance Sheet'!I17/('Profit &amp; Loss'!I4/365),0)</f>
        <v>7.8010344044251339</v>
      </c>
      <c r="J20" s="4">
        <f>IF('Profit &amp; Loss'!J4&gt;0,'Balance Sheet'!J17/('Profit &amp; Loss'!J4/365),0)</f>
        <v>10.821097551610896</v>
      </c>
      <c r="K20" s="4">
        <f>IF('Profit &amp; Loss'!K4&gt;0,'Balance Sheet'!K17/('Profit &amp; Loss'!K4/365),0)</f>
        <v>13.353465236655163</v>
      </c>
    </row>
    <row r="21" spans="1:11" x14ac:dyDescent="0.3">
      <c r="A21" t="s">
        <v>47</v>
      </c>
      <c r="B21" s="4">
        <f>IF('Balance Sheet'!B18&gt;0,'Profit &amp; Loss'!B4/'Balance Sheet'!B18,0)</f>
        <v>11.186152342213783</v>
      </c>
      <c r="C21" s="4">
        <f>IF('Balance Sheet'!C18&gt;0,'Profit &amp; Loss'!C4/'Balance Sheet'!C18,0)</f>
        <v>10.511595526644092</v>
      </c>
      <c r="D21" s="4">
        <f>IF('Balance Sheet'!D18&gt;0,'Profit &amp; Loss'!D4/'Balance Sheet'!D18,0)</f>
        <v>9.2875789804530591</v>
      </c>
      <c r="E21" s="4">
        <f>IF('Balance Sheet'!E18&gt;0,'Profit &amp; Loss'!E4/'Balance Sheet'!E18,0)</f>
        <v>9.6037823347313349</v>
      </c>
      <c r="F21" s="4">
        <f>IF('Balance Sheet'!F18&gt;0,'Profit &amp; Loss'!F4/'Balance Sheet'!F18,0)</f>
        <v>8.8038906112127222</v>
      </c>
      <c r="G21" s="4">
        <f>IF('Balance Sheet'!G18&gt;0,'Profit &amp; Loss'!G4/'Balance Sheet'!G18,0)</f>
        <v>12.927999046029095</v>
      </c>
      <c r="H21" s="4">
        <f>IF('Balance Sheet'!H18&gt;0,'Profit &amp; Loss'!H4/'Balance Sheet'!H18,0)</f>
        <v>14.871082992636087</v>
      </c>
      <c r="I21" s="4">
        <f>IF('Balance Sheet'!I18&gt;0,'Profit &amp; Loss'!I4/'Balance Sheet'!I18,0)</f>
        <v>10.57890315700282</v>
      </c>
      <c r="J21" s="4">
        <f>IF('Balance Sheet'!J18&gt;0,'Profit &amp; Loss'!J4/'Balance Sheet'!J18,0)</f>
        <v>11.897197803708762</v>
      </c>
      <c r="K21" s="4">
        <f>IF('Balance Sheet'!K18&gt;0,'Profit &amp; Loss'!K4/'Balance Sheet'!K18,0)</f>
        <v>9.1891867924789725</v>
      </c>
    </row>
    <row r="23" spans="1:11" s="2" customFormat="1" x14ac:dyDescent="0.3">
      <c r="A23" s="2" t="s">
        <v>50</v>
      </c>
      <c r="B23" s="10">
        <f>IF(SUM('Balance Sheet'!B4:B5)&gt;0,'Profit &amp; Loss'!B12/SUM('Balance Sheet'!B4:B5),"")</f>
        <v>0.14761712299043589</v>
      </c>
      <c r="C23" s="10">
        <f>IF(SUM('Balance Sheet'!C4:C5)&gt;0,'Profit &amp; Loss'!C12/SUM('Balance Sheet'!C4:C5),"")</f>
        <v>7.8653348131705519E-2</v>
      </c>
      <c r="D23" s="10">
        <f>IF(SUM('Balance Sheet'!D4:D5)&gt;0,'Profit &amp; Loss'!D12/SUM('Balance Sheet'!D4:D5),"")</f>
        <v>5.5753214280669101E-2</v>
      </c>
      <c r="E23" s="10">
        <f>IF(SUM('Balance Sheet'!E4:E5)&gt;0,'Profit &amp; Loss'!E12/SUM('Balance Sheet'!E4:E5),"")</f>
        <v>7.3352618492468144E-2</v>
      </c>
      <c r="F23" s="10">
        <f>IF(SUM('Balance Sheet'!F4:F5)&gt;0,'Profit &amp; Loss'!F12/SUM('Balance Sheet'!F4:F5),"")</f>
        <v>9.7333628961023641E-2</v>
      </c>
      <c r="G23" s="10">
        <f>IF(SUM('Balance Sheet'!G4:G5)&gt;0,'Profit &amp; Loss'!G12/SUM('Balance Sheet'!G4:G5),"")</f>
        <v>8.7008923917652595E-2</v>
      </c>
      <c r="H23" s="10">
        <f>IF(SUM('Balance Sheet'!H4:H5)&gt;0,'Profit &amp; Loss'!H12/SUM('Balance Sheet'!H4:H5),"")</f>
        <v>0.10394066158118606</v>
      </c>
      <c r="I23" s="10">
        <f>IF(SUM('Balance Sheet'!I4:I5)&gt;0,'Profit &amp; Loss'!I12/SUM('Balance Sheet'!I4:I5),"")</f>
        <v>0.10966350526588976</v>
      </c>
      <c r="J23" s="10">
        <f>IF(SUM('Balance Sheet'!J4:J5)&gt;0,'Profit &amp; Loss'!J12/SUM('Balance Sheet'!J4:J5),"")</f>
        <v>9.6763186390677713E-2</v>
      </c>
      <c r="K23" s="10">
        <f>IF(SUM('Balance Sheet'!K4:K5)&gt;0,'Profit &amp; Loss'!K12/SUM('Balance Sheet'!K4:K5),"")</f>
        <v>9.24822774988035E-2</v>
      </c>
    </row>
    <row r="24" spans="1:11" s="2" customFormat="1" x14ac:dyDescent="0.3">
      <c r="A24" s="2" t="s">
        <v>51</v>
      </c>
      <c r="B24" s="10"/>
      <c r="C24" s="10">
        <f>IF((B4+B5+B6+C4+C5+C6)&gt;0,('Profit &amp; Loss'!C10+'Profit &amp; Loss'!C9)*2/(B4+B5+B6+C4+C5+C6),"")</f>
        <v>0.12402696664445576</v>
      </c>
      <c r="D24" s="10">
        <f>IF((C4+C5+C6+D4+D5+D6)&gt;0,('Profit &amp; Loss'!D10+'Profit &amp; Loss'!D9)*2/(C4+C5+C6+D4+D5+D6),"")</f>
        <v>0.14330879007622957</v>
      </c>
      <c r="E24" s="10">
        <f>IF((D4+D5+D6+E4+E5+E6)&gt;0,('Profit &amp; Loss'!E10+'Profit &amp; Loss'!E9)*2/(D4+D5+D6+E4+E5+E6),"")</f>
        <v>0.14667268449324475</v>
      </c>
      <c r="F24" s="10">
        <f>IF((E4+E5+E6+F4+F5+F6)&gt;0,('Profit &amp; Loss'!F10+'Profit &amp; Loss'!F9)*2/(E4+E5+E6+F4+F5+F6),"")</f>
        <v>0.14332137534774353</v>
      </c>
      <c r="G24" s="10">
        <f>IF((F4+F5+F6+G4+G5+G6)&gt;0,('Profit &amp; Loss'!G10+'Profit &amp; Loss'!G9)*2/(F4+F5+F6+G4+G5+G6),"")</f>
        <v>0.17387701188135365</v>
      </c>
      <c r="H24" s="10">
        <f>IF((G4+G5+G6+H4+H5+H6)&gt;0,('Profit &amp; Loss'!H10+'Profit &amp; Loss'!H9)*2/(G4+G5+G6+H4+H5+H6),"")</f>
        <v>0.17453220619993767</v>
      </c>
      <c r="I24" s="10">
        <f>IF((H4+H5+H6+I4+I5+I6)&gt;0,('Profit &amp; Loss'!I10+'Profit &amp; Loss'!I9)*2/(H4+H5+H6+I4+I5+I6),"")</f>
        <v>0.21648150341296546</v>
      </c>
      <c r="J24" s="10">
        <f>IF((I4+I5+I6+J4+J5+J6)&gt;0,('Profit &amp; Loss'!J10+'Profit &amp; Loss'!J9)*2/(I4+I5+I6+J4+J5+J6),"")</f>
        <v>0.14794723814970476</v>
      </c>
      <c r="K24" s="10">
        <f>IF((J4+J5+J6+K4+K5+K6)&gt;0,('Profit &amp; Loss'!K10+'Profit &amp; Loss'!K9)*2/(J4+J5+J6+K4+K5+K6),"")</f>
        <v>0.18550853123012251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AMBUJA CEMENTS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42004</v>
      </c>
      <c r="C3" s="12">
        <f>'Data Sheet'!C81</f>
        <v>42369</v>
      </c>
      <c r="D3" s="12">
        <f>'Data Sheet'!D81</f>
        <v>42735</v>
      </c>
      <c r="E3" s="12">
        <f>'Data Sheet'!E81</f>
        <v>43100</v>
      </c>
      <c r="F3" s="12">
        <f>'Data Sheet'!F81</f>
        <v>43465</v>
      </c>
      <c r="G3" s="12">
        <f>'Data Sheet'!G81</f>
        <v>43830</v>
      </c>
      <c r="H3" s="12">
        <f>'Data Sheet'!H81</f>
        <v>44196</v>
      </c>
      <c r="I3" s="12">
        <f>'Data Sheet'!I81</f>
        <v>44561</v>
      </c>
      <c r="J3" s="12">
        <f>'Data Sheet'!J81</f>
        <v>45016</v>
      </c>
      <c r="K3" s="12">
        <f>'Data Sheet'!K81</f>
        <v>45382</v>
      </c>
    </row>
    <row r="4" spans="1:11" s="2" customFormat="1" x14ac:dyDescent="0.3">
      <c r="A4" s="2" t="s">
        <v>32</v>
      </c>
      <c r="B4" s="1">
        <f>'Data Sheet'!B82</f>
        <v>1675.46</v>
      </c>
      <c r="C4" s="1">
        <f>'Data Sheet'!C82</f>
        <v>1556.55</v>
      </c>
      <c r="D4" s="1">
        <f>'Data Sheet'!D82</f>
        <v>2810.29</v>
      </c>
      <c r="E4" s="1">
        <f>'Data Sheet'!E82</f>
        <v>3416.23</v>
      </c>
      <c r="F4" s="1">
        <f>'Data Sheet'!F82</f>
        <v>1703.41</v>
      </c>
      <c r="G4" s="1">
        <f>'Data Sheet'!G82</f>
        <v>4738.7</v>
      </c>
      <c r="H4" s="1">
        <f>'Data Sheet'!H82</f>
        <v>4832.3100000000004</v>
      </c>
      <c r="I4" s="1">
        <f>'Data Sheet'!I82</f>
        <v>5309.16</v>
      </c>
      <c r="J4" s="1">
        <f>'Data Sheet'!J82</f>
        <v>734.92</v>
      </c>
      <c r="K4" s="1">
        <f>'Data Sheet'!K82</f>
        <v>5645.82</v>
      </c>
    </row>
    <row r="5" spans="1:11" x14ac:dyDescent="0.3">
      <c r="A5" t="s">
        <v>33</v>
      </c>
      <c r="B5" s="6">
        <f>'Data Sheet'!B83</f>
        <v>-455.96</v>
      </c>
      <c r="C5" s="6">
        <f>'Data Sheet'!C83</f>
        <v>-82.59</v>
      </c>
      <c r="D5" s="6">
        <f>'Data Sheet'!D83</f>
        <v>-4164.92</v>
      </c>
      <c r="E5" s="6">
        <f>'Data Sheet'!E83</f>
        <v>-738.1</v>
      </c>
      <c r="F5" s="6">
        <f>'Data Sheet'!F83</f>
        <v>-764.8</v>
      </c>
      <c r="G5" s="6">
        <f>'Data Sheet'!G83</f>
        <v>-1190.56</v>
      </c>
      <c r="H5" s="6">
        <f>'Data Sheet'!H83</f>
        <v>-1317.26</v>
      </c>
      <c r="I5" s="6">
        <f>'Data Sheet'!I83</f>
        <v>-2006.94</v>
      </c>
      <c r="J5" s="6">
        <f>'Data Sheet'!J83</f>
        <v>-14480.81</v>
      </c>
      <c r="K5" s="6">
        <f>'Data Sheet'!K83</f>
        <v>-8941.0300000000007</v>
      </c>
    </row>
    <row r="6" spans="1:11" x14ac:dyDescent="0.3">
      <c r="A6" t="s">
        <v>34</v>
      </c>
      <c r="B6" s="6">
        <f>'Data Sheet'!B84</f>
        <v>-721.19</v>
      </c>
      <c r="C6" s="6">
        <f>'Data Sheet'!C84</f>
        <v>-900.19</v>
      </c>
      <c r="D6" s="6">
        <f>'Data Sheet'!D84</f>
        <v>-957.59</v>
      </c>
      <c r="E6" s="6">
        <f>'Data Sheet'!E84</f>
        <v>-1014.67</v>
      </c>
      <c r="F6" s="6">
        <f>'Data Sheet'!F84</f>
        <v>-719.01</v>
      </c>
      <c r="G6" s="6">
        <f>'Data Sheet'!G84</f>
        <v>-629.37</v>
      </c>
      <c r="H6" s="6">
        <f>'Data Sheet'!H84</f>
        <v>-3956.22</v>
      </c>
      <c r="I6" s="6">
        <f>'Data Sheet'!I84</f>
        <v>-515.76</v>
      </c>
      <c r="J6" s="6">
        <f>'Data Sheet'!J84</f>
        <v>2931.01</v>
      </c>
      <c r="K6" s="6">
        <f>'Data Sheet'!K84</f>
        <v>5688.77</v>
      </c>
    </row>
    <row r="7" spans="1:11" s="2" customFormat="1" x14ac:dyDescent="0.3">
      <c r="A7" s="2" t="s">
        <v>35</v>
      </c>
      <c r="B7" s="1">
        <f>'Data Sheet'!B85</f>
        <v>498.31</v>
      </c>
      <c r="C7" s="1">
        <f>'Data Sheet'!C85</f>
        <v>573.77</v>
      </c>
      <c r="D7" s="1">
        <f>'Data Sheet'!D85</f>
        <v>-2312.2199999999998</v>
      </c>
      <c r="E7" s="1">
        <f>'Data Sheet'!E85</f>
        <v>1663.46</v>
      </c>
      <c r="F7" s="1">
        <f>'Data Sheet'!F85</f>
        <v>219.6</v>
      </c>
      <c r="G7" s="1">
        <f>'Data Sheet'!G85</f>
        <v>2918.77</v>
      </c>
      <c r="H7" s="1">
        <f>'Data Sheet'!H85</f>
        <v>-441.17</v>
      </c>
      <c r="I7" s="1">
        <f>'Data Sheet'!I85</f>
        <v>2786.46</v>
      </c>
      <c r="J7" s="1">
        <f>'Data Sheet'!J85</f>
        <v>-10814.88</v>
      </c>
      <c r="K7" s="1">
        <f>'Data Sheet'!K85</f>
        <v>2393.56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80" activePane="bottomRight" state="frozen"/>
      <selection activeCell="C4" sqref="C4"/>
      <selection pane="topRight" activeCell="C4" sqref="C4"/>
      <selection pane="bottomLeft" activeCell="C4" sqref="C4"/>
      <selection pane="bottomRight" activeCell="E1" sqref="E1:K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54</v>
      </c>
      <c r="E1" s="21" t="str">
        <f>IF(B2&lt;&gt;B3, "A NEW VERSION OF THE WORKSHEET IS AVAILABLE", "")</f>
        <v/>
      </c>
      <c r="F1" s="21"/>
      <c r="G1" s="21"/>
      <c r="H1" s="21"/>
      <c r="I1" s="21"/>
      <c r="J1" s="21"/>
      <c r="K1" s="21"/>
    </row>
    <row r="2" spans="1:11" x14ac:dyDescent="0.3">
      <c r="A2" s="1" t="s">
        <v>52</v>
      </c>
      <c r="B2" s="4">
        <v>2.1</v>
      </c>
      <c r="E2" s="22" t="s">
        <v>36</v>
      </c>
      <c r="F2" s="22"/>
      <c r="G2" s="22"/>
      <c r="H2" s="22"/>
      <c r="I2" s="22"/>
      <c r="J2" s="22"/>
      <c r="K2" s="22"/>
    </row>
    <row r="3" spans="1:11" x14ac:dyDescent="0.3">
      <c r="A3" s="1" t="s">
        <v>53</v>
      </c>
      <c r="B3" s="4">
        <v>2.1</v>
      </c>
    </row>
    <row r="4" spans="1:11" x14ac:dyDescent="0.3">
      <c r="A4" s="1"/>
    </row>
    <row r="5" spans="1:11" x14ac:dyDescent="0.3">
      <c r="A5" s="1" t="s">
        <v>55</v>
      </c>
    </row>
    <row r="6" spans="1:11" x14ac:dyDescent="0.3">
      <c r="A6" s="4" t="s">
        <v>42</v>
      </c>
      <c r="B6" s="4">
        <f>IF(B9&gt;0, B9/B8, 0)</f>
        <v>246.35173325042751</v>
      </c>
    </row>
    <row r="7" spans="1:11" x14ac:dyDescent="0.3">
      <c r="A7" s="4" t="s">
        <v>31</v>
      </c>
      <c r="B7">
        <v>2</v>
      </c>
    </row>
    <row r="8" spans="1:11" x14ac:dyDescent="0.3">
      <c r="A8" s="4" t="s">
        <v>43</v>
      </c>
      <c r="B8">
        <v>643.29999999999995</v>
      </c>
    </row>
    <row r="9" spans="1:11" x14ac:dyDescent="0.3">
      <c r="A9" s="4" t="s">
        <v>70</v>
      </c>
      <c r="B9">
        <v>158478.07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42004</v>
      </c>
      <c r="C16" s="12">
        <v>42369</v>
      </c>
      <c r="D16" s="12">
        <v>42735</v>
      </c>
      <c r="E16" s="12">
        <v>43100</v>
      </c>
      <c r="F16" s="12">
        <v>43465</v>
      </c>
      <c r="G16" s="12">
        <v>43830</v>
      </c>
      <c r="H16" s="12">
        <v>44196</v>
      </c>
      <c r="I16" s="12">
        <v>44561</v>
      </c>
      <c r="J16" s="12">
        <v>45016</v>
      </c>
      <c r="K16" s="12">
        <v>45382</v>
      </c>
    </row>
    <row r="17" spans="1:11" s="6" customFormat="1" x14ac:dyDescent="0.3">
      <c r="A17" s="6" t="s">
        <v>6</v>
      </c>
      <c r="B17">
        <v>9955.34</v>
      </c>
      <c r="C17">
        <v>9436.89</v>
      </c>
      <c r="D17">
        <v>20093.77</v>
      </c>
      <c r="E17">
        <v>23608.69</v>
      </c>
      <c r="F17">
        <v>26040.94</v>
      </c>
      <c r="G17">
        <v>27103.55</v>
      </c>
      <c r="H17">
        <v>24516.17</v>
      </c>
      <c r="I17">
        <v>28965.46</v>
      </c>
      <c r="J17">
        <v>38937.03</v>
      </c>
      <c r="K17">
        <v>33159.64</v>
      </c>
    </row>
    <row r="18" spans="1:11" s="6" customFormat="1" x14ac:dyDescent="0.3">
      <c r="A18" s="4" t="s">
        <v>71</v>
      </c>
      <c r="B18">
        <v>840.49</v>
      </c>
      <c r="C18">
        <v>805.64</v>
      </c>
      <c r="D18">
        <v>2344.2800000000002</v>
      </c>
      <c r="E18">
        <v>2853.73</v>
      </c>
      <c r="F18">
        <v>3435.72</v>
      </c>
      <c r="G18">
        <v>3540.04</v>
      </c>
      <c r="H18">
        <v>2867.79</v>
      </c>
      <c r="I18">
        <v>3492.62</v>
      </c>
      <c r="J18">
        <v>5230.7700000000004</v>
      </c>
      <c r="K18">
        <v>4898.79</v>
      </c>
    </row>
    <row r="19" spans="1:11" s="6" customFormat="1" x14ac:dyDescent="0.3">
      <c r="A19" s="4" t="s">
        <v>72</v>
      </c>
      <c r="B19">
        <v>-16.22</v>
      </c>
      <c r="C19">
        <v>-25.4</v>
      </c>
      <c r="D19">
        <v>13.17</v>
      </c>
      <c r="E19">
        <v>77.72</v>
      </c>
      <c r="F19">
        <v>197.87</v>
      </c>
      <c r="G19">
        <v>-143.63999999999999</v>
      </c>
      <c r="H19">
        <v>-256.45</v>
      </c>
      <c r="I19">
        <v>530.34</v>
      </c>
      <c r="J19">
        <v>119.86</v>
      </c>
      <c r="K19">
        <v>-23.99</v>
      </c>
    </row>
    <row r="20" spans="1:11" s="6" customFormat="1" x14ac:dyDescent="0.3">
      <c r="A20" s="4" t="s">
        <v>73</v>
      </c>
      <c r="B20">
        <v>2268.64</v>
      </c>
      <c r="C20">
        <v>2057.5100000000002</v>
      </c>
      <c r="D20">
        <v>3994.26</v>
      </c>
      <c r="E20">
        <v>4951.72</v>
      </c>
      <c r="F20">
        <v>5548.62</v>
      </c>
      <c r="G20">
        <v>5722.19</v>
      </c>
      <c r="H20">
        <v>4827.6400000000003</v>
      </c>
      <c r="I20">
        <v>6787.52</v>
      </c>
      <c r="J20">
        <v>11761.9</v>
      </c>
      <c r="K20">
        <v>8109.31</v>
      </c>
    </row>
    <row r="21" spans="1:11" s="6" customFormat="1" x14ac:dyDescent="0.3">
      <c r="A21" s="4" t="s">
        <v>74</v>
      </c>
      <c r="B21">
        <v>924.67</v>
      </c>
      <c r="C21">
        <v>831.33</v>
      </c>
      <c r="D21">
        <v>1653.76</v>
      </c>
      <c r="E21">
        <v>1782.73</v>
      </c>
      <c r="F21">
        <v>1901.36</v>
      </c>
      <c r="G21">
        <v>1850.82</v>
      </c>
      <c r="H21">
        <v>1440</v>
      </c>
      <c r="I21">
        <v>1912.46</v>
      </c>
      <c r="J21">
        <v>2533.58</v>
      </c>
      <c r="K21">
        <v>2009.7</v>
      </c>
    </row>
    <row r="22" spans="1:11" s="6" customFormat="1" x14ac:dyDescent="0.3">
      <c r="A22" s="4" t="s">
        <v>75</v>
      </c>
      <c r="B22">
        <v>586.33000000000004</v>
      </c>
      <c r="C22">
        <v>594.04999999999995</v>
      </c>
      <c r="D22">
        <v>1370.07</v>
      </c>
      <c r="E22">
        <v>1511.24</v>
      </c>
      <c r="F22">
        <v>1524.37</v>
      </c>
      <c r="G22">
        <v>1570.75</v>
      </c>
      <c r="H22">
        <v>1540.4</v>
      </c>
      <c r="I22">
        <v>1529.15</v>
      </c>
      <c r="J22">
        <v>1856.53</v>
      </c>
      <c r="K22">
        <v>1352.79</v>
      </c>
    </row>
    <row r="23" spans="1:11" s="6" customFormat="1" x14ac:dyDescent="0.3">
      <c r="A23" s="4" t="s">
        <v>76</v>
      </c>
      <c r="B23">
        <v>2974.68</v>
      </c>
      <c r="C23">
        <v>3113.2</v>
      </c>
      <c r="D23">
        <v>6388.2</v>
      </c>
      <c r="E23">
        <v>7593.48</v>
      </c>
      <c r="F23">
        <v>8636.9500000000007</v>
      </c>
      <c r="G23">
        <v>8575.07</v>
      </c>
      <c r="H23">
        <v>7461.98</v>
      </c>
      <c r="I23">
        <v>8604.83</v>
      </c>
      <c r="J23">
        <v>11200.69</v>
      </c>
      <c r="K23">
        <v>9291.0300000000007</v>
      </c>
    </row>
    <row r="24" spans="1:11" s="6" customFormat="1" x14ac:dyDescent="0.3">
      <c r="A24" s="4" t="s">
        <v>77</v>
      </c>
      <c r="B24">
        <v>410.69</v>
      </c>
      <c r="C24">
        <v>467.5</v>
      </c>
      <c r="D24">
        <v>1175.18</v>
      </c>
      <c r="E24">
        <v>1135.93</v>
      </c>
      <c r="F24">
        <v>1181</v>
      </c>
      <c r="G24">
        <v>1104.05</v>
      </c>
      <c r="H24">
        <v>1116.3399999999999</v>
      </c>
      <c r="I24">
        <v>958.82</v>
      </c>
      <c r="J24">
        <v>1351.05</v>
      </c>
      <c r="K24">
        <v>1074.52</v>
      </c>
    </row>
    <row r="25" spans="1:11" s="6" customFormat="1" x14ac:dyDescent="0.3">
      <c r="A25" s="6" t="s">
        <v>9</v>
      </c>
      <c r="B25">
        <v>418.98</v>
      </c>
      <c r="C25">
        <v>353.22</v>
      </c>
      <c r="D25">
        <v>440.57</v>
      </c>
      <c r="E25">
        <v>335.38</v>
      </c>
      <c r="F25">
        <v>232.19</v>
      </c>
      <c r="G25">
        <v>600.71</v>
      </c>
      <c r="H25">
        <v>288.02</v>
      </c>
      <c r="I25">
        <v>252.22</v>
      </c>
      <c r="J25">
        <v>446.69</v>
      </c>
      <c r="K25">
        <v>1400.87</v>
      </c>
    </row>
    <row r="26" spans="1:11" s="6" customFormat="1" x14ac:dyDescent="0.3">
      <c r="A26" s="6" t="s">
        <v>10</v>
      </c>
      <c r="B26">
        <v>513.03</v>
      </c>
      <c r="C26">
        <v>629.76</v>
      </c>
      <c r="D26">
        <v>1460.93</v>
      </c>
      <c r="E26">
        <v>1219.45</v>
      </c>
      <c r="F26">
        <v>1153.94</v>
      </c>
      <c r="G26">
        <v>1152.52</v>
      </c>
      <c r="H26">
        <v>1161.78</v>
      </c>
      <c r="I26">
        <v>1152.49</v>
      </c>
      <c r="J26">
        <v>1644.67</v>
      </c>
      <c r="K26">
        <v>1623.38</v>
      </c>
    </row>
    <row r="27" spans="1:11" s="6" customFormat="1" x14ac:dyDescent="0.3">
      <c r="A27" s="6" t="s">
        <v>11</v>
      </c>
      <c r="B27">
        <v>65.55</v>
      </c>
      <c r="C27">
        <v>92.47</v>
      </c>
      <c r="D27">
        <v>152.99</v>
      </c>
      <c r="E27">
        <v>205.78</v>
      </c>
      <c r="F27">
        <v>170.5</v>
      </c>
      <c r="G27">
        <v>169.87</v>
      </c>
      <c r="H27">
        <v>140.22</v>
      </c>
      <c r="I27">
        <v>145.66</v>
      </c>
      <c r="J27">
        <v>194.9</v>
      </c>
      <c r="K27">
        <v>276.38</v>
      </c>
    </row>
    <row r="28" spans="1:11" s="6" customFormat="1" x14ac:dyDescent="0.3">
      <c r="A28" s="6" t="s">
        <v>12</v>
      </c>
      <c r="B28">
        <v>1774.02</v>
      </c>
      <c r="C28">
        <v>1173.25</v>
      </c>
      <c r="D28">
        <v>2007.84</v>
      </c>
      <c r="E28">
        <v>2767.73</v>
      </c>
      <c r="F28">
        <v>2918.54</v>
      </c>
      <c r="G28">
        <v>3875.31</v>
      </c>
      <c r="H28">
        <v>3991.59</v>
      </c>
      <c r="I28">
        <v>5164.47</v>
      </c>
      <c r="J28">
        <v>3729.49</v>
      </c>
      <c r="K28">
        <v>5900.62</v>
      </c>
    </row>
    <row r="29" spans="1:11" s="6" customFormat="1" x14ac:dyDescent="0.3">
      <c r="A29" s="6" t="s">
        <v>13</v>
      </c>
      <c r="B29">
        <v>287.51</v>
      </c>
      <c r="C29">
        <v>365.37</v>
      </c>
      <c r="D29">
        <v>573.77</v>
      </c>
      <c r="E29">
        <v>822.85</v>
      </c>
      <c r="F29">
        <v>-54.15</v>
      </c>
      <c r="G29">
        <v>1092.1500000000001</v>
      </c>
      <c r="H29">
        <v>884.75</v>
      </c>
      <c r="I29">
        <v>1453.43</v>
      </c>
      <c r="J29">
        <v>705.11</v>
      </c>
      <c r="K29">
        <v>1162.6099999999999</v>
      </c>
    </row>
    <row r="30" spans="1:11" s="6" customFormat="1" x14ac:dyDescent="0.3">
      <c r="A30" s="6" t="s">
        <v>14</v>
      </c>
      <c r="B30">
        <v>1486.5</v>
      </c>
      <c r="C30">
        <v>807.88</v>
      </c>
      <c r="D30">
        <v>1105.08</v>
      </c>
      <c r="E30">
        <v>1516.36</v>
      </c>
      <c r="F30">
        <v>2177.4</v>
      </c>
      <c r="G30">
        <v>2095</v>
      </c>
      <c r="H30">
        <v>2365.44</v>
      </c>
      <c r="I30">
        <v>2780.38</v>
      </c>
      <c r="J30">
        <v>2583.4</v>
      </c>
      <c r="K30">
        <v>3576.79</v>
      </c>
    </row>
    <row r="31" spans="1:11" s="6" customFormat="1" x14ac:dyDescent="0.3">
      <c r="A31" s="6" t="s">
        <v>61</v>
      </c>
      <c r="B31">
        <v>681.89</v>
      </c>
      <c r="C31">
        <v>434.53</v>
      </c>
      <c r="D31">
        <v>555.98</v>
      </c>
      <c r="E31">
        <v>714.83</v>
      </c>
      <c r="F31">
        <v>297.85000000000002</v>
      </c>
      <c r="G31">
        <v>297.85000000000002</v>
      </c>
      <c r="H31">
        <v>3574.17</v>
      </c>
      <c r="I31">
        <v>1250.96</v>
      </c>
      <c r="J31">
        <v>496.41</v>
      </c>
      <c r="K31">
        <v>439.54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44651</v>
      </c>
      <c r="C41" s="12">
        <v>44742</v>
      </c>
      <c r="D41" s="12">
        <v>44834</v>
      </c>
      <c r="E41" s="12">
        <v>44926</v>
      </c>
      <c r="F41" s="12">
        <v>45016</v>
      </c>
      <c r="G41" s="12">
        <v>45107</v>
      </c>
      <c r="H41" s="12">
        <v>45199</v>
      </c>
      <c r="I41" s="12">
        <v>45291</v>
      </c>
      <c r="J41" s="12">
        <v>45382</v>
      </c>
      <c r="K41" s="12">
        <v>45473</v>
      </c>
    </row>
    <row r="42" spans="1:11" s="6" customFormat="1" x14ac:dyDescent="0.3">
      <c r="A42" s="6" t="s">
        <v>6</v>
      </c>
      <c r="B42">
        <v>7900.04</v>
      </c>
      <c r="C42">
        <v>8032.88</v>
      </c>
      <c r="D42">
        <v>7143.17</v>
      </c>
      <c r="E42">
        <v>7906.74</v>
      </c>
      <c r="F42">
        <v>7965.98</v>
      </c>
      <c r="G42">
        <v>8712.9</v>
      </c>
      <c r="H42">
        <v>7423.95</v>
      </c>
      <c r="I42">
        <v>8128.8</v>
      </c>
      <c r="J42">
        <v>8893.99</v>
      </c>
      <c r="K42">
        <v>8311.48</v>
      </c>
    </row>
    <row r="43" spans="1:11" s="6" customFormat="1" x14ac:dyDescent="0.3">
      <c r="A43" s="6" t="s">
        <v>7</v>
      </c>
      <c r="B43">
        <v>6476.03</v>
      </c>
      <c r="C43">
        <v>6921.73</v>
      </c>
      <c r="D43">
        <v>6808.72</v>
      </c>
      <c r="E43">
        <v>6885.32</v>
      </c>
      <c r="F43">
        <v>6726.95</v>
      </c>
      <c r="G43">
        <v>7045.95</v>
      </c>
      <c r="H43">
        <v>6122.13</v>
      </c>
      <c r="I43">
        <v>6396.7</v>
      </c>
      <c r="J43">
        <v>7195.34</v>
      </c>
      <c r="K43">
        <v>7031.67</v>
      </c>
    </row>
    <row r="44" spans="1:11" s="6" customFormat="1" x14ac:dyDescent="0.3">
      <c r="A44" s="6" t="s">
        <v>9</v>
      </c>
      <c r="B44">
        <v>96.59</v>
      </c>
      <c r="C44">
        <v>143.06</v>
      </c>
      <c r="D44">
        <v>75.3</v>
      </c>
      <c r="E44">
        <v>-17.57</v>
      </c>
      <c r="F44">
        <v>141.62</v>
      </c>
      <c r="G44">
        <v>268.5</v>
      </c>
      <c r="H44">
        <v>480.04</v>
      </c>
      <c r="I44">
        <v>203.86</v>
      </c>
      <c r="J44">
        <v>448.46</v>
      </c>
      <c r="K44">
        <v>358.11</v>
      </c>
    </row>
    <row r="45" spans="1:11" s="6" customFormat="1" x14ac:dyDescent="0.3">
      <c r="A45" s="6" t="s">
        <v>10</v>
      </c>
      <c r="B45">
        <v>305.52</v>
      </c>
      <c r="C45">
        <v>318.76</v>
      </c>
      <c r="D45">
        <v>330.67</v>
      </c>
      <c r="E45">
        <v>337.39</v>
      </c>
      <c r="F45">
        <v>352.33</v>
      </c>
      <c r="G45">
        <v>371.72</v>
      </c>
      <c r="H45">
        <v>380.9</v>
      </c>
      <c r="I45">
        <v>417.7</v>
      </c>
      <c r="J45">
        <v>453.06</v>
      </c>
      <c r="K45">
        <v>467.43</v>
      </c>
    </row>
    <row r="46" spans="1:11" s="6" customFormat="1" x14ac:dyDescent="0.3">
      <c r="A46" s="6" t="s">
        <v>11</v>
      </c>
      <c r="B46">
        <v>31.96</v>
      </c>
      <c r="C46">
        <v>39.96</v>
      </c>
      <c r="D46">
        <v>40.51</v>
      </c>
      <c r="E46">
        <v>43.04</v>
      </c>
      <c r="F46">
        <v>39.43</v>
      </c>
      <c r="G46">
        <v>52.07</v>
      </c>
      <c r="H46">
        <v>61.25</v>
      </c>
      <c r="I46">
        <v>70.14</v>
      </c>
      <c r="J46">
        <v>92.91</v>
      </c>
      <c r="K46">
        <v>67.81</v>
      </c>
    </row>
    <row r="47" spans="1:11" s="6" customFormat="1" x14ac:dyDescent="0.3">
      <c r="A47" s="6" t="s">
        <v>12</v>
      </c>
      <c r="B47">
        <v>1183.1199999999999</v>
      </c>
      <c r="C47">
        <v>895.49</v>
      </c>
      <c r="D47">
        <v>38.57</v>
      </c>
      <c r="E47">
        <v>623.41999999999996</v>
      </c>
      <c r="F47">
        <v>988.89</v>
      </c>
      <c r="G47">
        <v>1511.66</v>
      </c>
      <c r="H47">
        <v>1339.71</v>
      </c>
      <c r="I47">
        <v>1448.12</v>
      </c>
      <c r="J47">
        <v>1601.14</v>
      </c>
      <c r="K47">
        <v>1102.68</v>
      </c>
    </row>
    <row r="48" spans="1:11" s="6" customFormat="1" x14ac:dyDescent="0.3">
      <c r="A48" s="6" t="s">
        <v>13</v>
      </c>
      <c r="B48">
        <v>326.66000000000003</v>
      </c>
      <c r="C48">
        <v>30.05</v>
      </c>
      <c r="D48">
        <v>-12.73</v>
      </c>
      <c r="E48">
        <v>135.54</v>
      </c>
      <c r="F48">
        <v>225.59</v>
      </c>
      <c r="G48">
        <v>376.2</v>
      </c>
      <c r="H48">
        <v>352.47</v>
      </c>
      <c r="I48">
        <v>358.57</v>
      </c>
      <c r="J48">
        <v>75.36</v>
      </c>
      <c r="K48">
        <v>313.05</v>
      </c>
    </row>
    <row r="49" spans="1:11" s="6" customFormat="1" x14ac:dyDescent="0.3">
      <c r="A49" s="6" t="s">
        <v>14</v>
      </c>
      <c r="B49">
        <v>658.87</v>
      </c>
      <c r="C49">
        <v>752</v>
      </c>
      <c r="D49">
        <v>93.18</v>
      </c>
      <c r="E49">
        <v>434.41</v>
      </c>
      <c r="F49">
        <v>644.94000000000005</v>
      </c>
      <c r="G49">
        <v>905.61</v>
      </c>
      <c r="H49">
        <v>792.96</v>
      </c>
      <c r="I49">
        <v>823.05</v>
      </c>
      <c r="J49">
        <v>1055.1600000000001</v>
      </c>
      <c r="K49">
        <v>646.30999999999995</v>
      </c>
    </row>
    <row r="50" spans="1:11" x14ac:dyDescent="0.3">
      <c r="A50" s="6" t="s">
        <v>8</v>
      </c>
      <c r="B50">
        <v>1424.01</v>
      </c>
      <c r="C50">
        <v>1111.1500000000001</v>
      </c>
      <c r="D50">
        <v>334.45</v>
      </c>
      <c r="E50">
        <v>1021.42</v>
      </c>
      <c r="F50">
        <v>1239.03</v>
      </c>
      <c r="G50">
        <v>1666.95</v>
      </c>
      <c r="H50">
        <v>1301.82</v>
      </c>
      <c r="I50">
        <v>1732.1</v>
      </c>
      <c r="J50">
        <v>1698.65</v>
      </c>
      <c r="K50">
        <v>1279.81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42004</v>
      </c>
      <c r="C56" s="12">
        <v>42369</v>
      </c>
      <c r="D56" s="12">
        <v>42735</v>
      </c>
      <c r="E56" s="12">
        <v>43100</v>
      </c>
      <c r="F56" s="12">
        <v>43465</v>
      </c>
      <c r="G56" s="12">
        <v>43830</v>
      </c>
      <c r="H56" s="12">
        <v>44196</v>
      </c>
      <c r="I56" s="12">
        <v>44561</v>
      </c>
      <c r="J56" s="12">
        <v>45016</v>
      </c>
      <c r="K56" s="12">
        <v>45382</v>
      </c>
    </row>
    <row r="57" spans="1:11" x14ac:dyDescent="0.3">
      <c r="A57" s="6" t="s">
        <v>24</v>
      </c>
      <c r="B57">
        <v>309.95</v>
      </c>
      <c r="C57">
        <v>310.38</v>
      </c>
      <c r="D57">
        <v>397.13</v>
      </c>
      <c r="E57">
        <v>397.13</v>
      </c>
      <c r="F57">
        <v>397.13</v>
      </c>
      <c r="G57">
        <v>397.13</v>
      </c>
      <c r="H57">
        <v>397.13</v>
      </c>
      <c r="I57">
        <v>397.13</v>
      </c>
      <c r="J57">
        <v>397.13</v>
      </c>
      <c r="K57">
        <v>439.54</v>
      </c>
    </row>
    <row r="58" spans="1:11" x14ac:dyDescent="0.3">
      <c r="A58" s="6" t="s">
        <v>25</v>
      </c>
      <c r="B58">
        <v>9760.02</v>
      </c>
      <c r="C58">
        <v>9961.02</v>
      </c>
      <c r="D58">
        <v>19423.79</v>
      </c>
      <c r="E58">
        <v>20275.07</v>
      </c>
      <c r="F58">
        <v>21973.35</v>
      </c>
      <c r="G58">
        <v>23680.86</v>
      </c>
      <c r="H58">
        <v>22360.47</v>
      </c>
      <c r="I58">
        <v>24956.61</v>
      </c>
      <c r="J58">
        <v>26301.040000000001</v>
      </c>
      <c r="K58">
        <v>38235.870000000003</v>
      </c>
    </row>
    <row r="59" spans="1:11" x14ac:dyDescent="0.3">
      <c r="A59" s="6" t="s">
        <v>62</v>
      </c>
      <c r="B59">
        <v>34.03</v>
      </c>
      <c r="C59">
        <v>35</v>
      </c>
      <c r="D59">
        <v>28.96</v>
      </c>
      <c r="E59">
        <v>24.12</v>
      </c>
      <c r="F59">
        <v>39.68</v>
      </c>
      <c r="G59">
        <v>41.06</v>
      </c>
      <c r="H59">
        <v>470.6</v>
      </c>
      <c r="I59">
        <v>476.57</v>
      </c>
      <c r="J59">
        <v>522.73</v>
      </c>
      <c r="K59">
        <v>699.01</v>
      </c>
    </row>
    <row r="60" spans="1:11" x14ac:dyDescent="0.3">
      <c r="A60" s="6" t="s">
        <v>63</v>
      </c>
      <c r="B60">
        <v>3774.47</v>
      </c>
      <c r="C60">
        <v>3826.56</v>
      </c>
      <c r="D60">
        <v>12973.93</v>
      </c>
      <c r="E60">
        <v>14812.9</v>
      </c>
      <c r="F60">
        <v>14980.59</v>
      </c>
      <c r="G60">
        <v>16059.13</v>
      </c>
      <c r="H60">
        <v>16489.59</v>
      </c>
      <c r="I60">
        <v>19374.28</v>
      </c>
      <c r="J60">
        <v>24500.560000000001</v>
      </c>
      <c r="K60">
        <v>25886.45</v>
      </c>
    </row>
    <row r="61" spans="1:11" s="1" customFormat="1" x14ac:dyDescent="0.3">
      <c r="A61" s="1" t="s">
        <v>26</v>
      </c>
      <c r="B61">
        <v>13878.47</v>
      </c>
      <c r="C61">
        <v>14132.96</v>
      </c>
      <c r="D61">
        <v>32823.81</v>
      </c>
      <c r="E61">
        <v>35509.22</v>
      </c>
      <c r="F61">
        <v>37390.75</v>
      </c>
      <c r="G61">
        <v>40178.18</v>
      </c>
      <c r="H61">
        <v>39717.79</v>
      </c>
      <c r="I61">
        <v>45204.59</v>
      </c>
      <c r="J61">
        <v>51721.46</v>
      </c>
      <c r="K61">
        <v>65260.87</v>
      </c>
    </row>
    <row r="62" spans="1:11" x14ac:dyDescent="0.3">
      <c r="A62" s="6" t="s">
        <v>27</v>
      </c>
      <c r="B62">
        <v>6309.63</v>
      </c>
      <c r="C62">
        <v>6170.17</v>
      </c>
      <c r="D62">
        <v>21410.33</v>
      </c>
      <c r="E62">
        <v>20898.22</v>
      </c>
      <c r="F62">
        <v>20635.939999999999</v>
      </c>
      <c r="G62">
        <v>20701.34</v>
      </c>
      <c r="H62">
        <v>20485.97</v>
      </c>
      <c r="I62">
        <v>22253.56</v>
      </c>
      <c r="J62">
        <v>23551.49</v>
      </c>
      <c r="K62">
        <v>32388.47</v>
      </c>
    </row>
    <row r="63" spans="1:11" x14ac:dyDescent="0.3">
      <c r="A63" s="6" t="s">
        <v>28</v>
      </c>
      <c r="B63">
        <v>692.14</v>
      </c>
      <c r="C63">
        <v>416.42</v>
      </c>
      <c r="D63">
        <v>582.04</v>
      </c>
      <c r="E63">
        <v>667.2</v>
      </c>
      <c r="F63">
        <v>1008.17</v>
      </c>
      <c r="G63">
        <v>1554.43</v>
      </c>
      <c r="H63">
        <v>2421.85</v>
      </c>
      <c r="I63">
        <v>2167.73</v>
      </c>
      <c r="J63">
        <v>2525.87</v>
      </c>
      <c r="K63">
        <v>2658.45</v>
      </c>
    </row>
    <row r="64" spans="1:11" x14ac:dyDescent="0.3">
      <c r="A64" s="6" t="s">
        <v>29</v>
      </c>
      <c r="B64">
        <v>2096.6</v>
      </c>
      <c r="C64">
        <v>2148.83</v>
      </c>
      <c r="D64">
        <v>174.8</v>
      </c>
      <c r="E64">
        <v>153.07</v>
      </c>
      <c r="F64">
        <v>133.22999999999999</v>
      </c>
      <c r="G64">
        <v>149.57</v>
      </c>
      <c r="H64">
        <v>167.3</v>
      </c>
      <c r="I64">
        <v>198.11</v>
      </c>
      <c r="J64">
        <v>213.65</v>
      </c>
      <c r="K64">
        <v>848.55</v>
      </c>
    </row>
    <row r="65" spans="1:11" x14ac:dyDescent="0.3">
      <c r="A65" s="6" t="s">
        <v>64</v>
      </c>
      <c r="B65">
        <v>4780.1000000000004</v>
      </c>
      <c r="C65">
        <v>5397.54</v>
      </c>
      <c r="D65">
        <v>10656.64</v>
      </c>
      <c r="E65">
        <v>13790.73</v>
      </c>
      <c r="F65">
        <v>15613.41</v>
      </c>
      <c r="G65">
        <v>17772.84</v>
      </c>
      <c r="H65">
        <v>16642.669999999998</v>
      </c>
      <c r="I65">
        <v>20585.189999999999</v>
      </c>
      <c r="J65">
        <v>25430.45</v>
      </c>
      <c r="K65">
        <v>29365.4</v>
      </c>
    </row>
    <row r="66" spans="1:11" s="1" customFormat="1" x14ac:dyDescent="0.3">
      <c r="A66" s="1" t="s">
        <v>26</v>
      </c>
      <c r="B66">
        <v>13878.47</v>
      </c>
      <c r="C66">
        <v>14132.96</v>
      </c>
      <c r="D66">
        <v>32823.81</v>
      </c>
      <c r="E66">
        <v>35509.22</v>
      </c>
      <c r="F66">
        <v>37390.75</v>
      </c>
      <c r="G66">
        <v>40178.18</v>
      </c>
      <c r="H66">
        <v>39717.79</v>
      </c>
      <c r="I66">
        <v>45204.59</v>
      </c>
      <c r="J66">
        <v>51721.46</v>
      </c>
      <c r="K66">
        <v>65260.87</v>
      </c>
    </row>
    <row r="67" spans="1:11" s="6" customFormat="1" x14ac:dyDescent="0.3">
      <c r="A67" s="6" t="s">
        <v>69</v>
      </c>
      <c r="B67">
        <v>231.65</v>
      </c>
      <c r="C67">
        <v>290.45999999999998</v>
      </c>
      <c r="D67">
        <v>924.07</v>
      </c>
      <c r="E67">
        <v>931.53</v>
      </c>
      <c r="F67">
        <v>1304.54</v>
      </c>
      <c r="G67">
        <v>1068.56</v>
      </c>
      <c r="H67">
        <v>561.13</v>
      </c>
      <c r="I67">
        <v>619.07000000000005</v>
      </c>
      <c r="J67">
        <v>1154.3599999999999</v>
      </c>
      <c r="K67">
        <v>1213.1400000000001</v>
      </c>
    </row>
    <row r="68" spans="1:11" x14ac:dyDescent="0.3">
      <c r="A68" s="6" t="s">
        <v>45</v>
      </c>
      <c r="B68">
        <v>889.97</v>
      </c>
      <c r="C68">
        <v>897.76</v>
      </c>
      <c r="D68">
        <v>2163.5100000000002</v>
      </c>
      <c r="E68">
        <v>2458.27</v>
      </c>
      <c r="F68">
        <v>2957.89</v>
      </c>
      <c r="G68">
        <v>2096.5</v>
      </c>
      <c r="H68">
        <v>1648.58</v>
      </c>
      <c r="I68">
        <v>2738.04</v>
      </c>
      <c r="J68">
        <v>3272.79</v>
      </c>
      <c r="K68">
        <v>3608.55</v>
      </c>
    </row>
    <row r="69" spans="1:11" x14ac:dyDescent="0.3">
      <c r="A69" s="4" t="s">
        <v>78</v>
      </c>
      <c r="B69">
        <v>2462.2800000000002</v>
      </c>
      <c r="C69">
        <v>2853.32</v>
      </c>
      <c r="D69">
        <v>4564.01</v>
      </c>
      <c r="E69">
        <v>6231.58</v>
      </c>
      <c r="F69">
        <v>6439.28</v>
      </c>
      <c r="G69">
        <v>9354.5499999999993</v>
      </c>
      <c r="H69">
        <v>8935.6299999999992</v>
      </c>
      <c r="I69">
        <v>11692.98</v>
      </c>
      <c r="J69">
        <v>2961.04</v>
      </c>
      <c r="K69">
        <v>11068.87</v>
      </c>
    </row>
    <row r="70" spans="1:11" x14ac:dyDescent="0.3">
      <c r="A70" s="4" t="s">
        <v>65</v>
      </c>
      <c r="B70">
        <v>1549745800</v>
      </c>
      <c r="C70">
        <v>1551897421</v>
      </c>
      <c r="D70">
        <v>1985645229</v>
      </c>
      <c r="E70">
        <v>1985645229</v>
      </c>
      <c r="F70">
        <v>1985645229</v>
      </c>
      <c r="G70">
        <v>1985645229</v>
      </c>
      <c r="H70">
        <v>1985645229</v>
      </c>
      <c r="I70">
        <v>1985645229</v>
      </c>
      <c r="J70">
        <v>1985645229</v>
      </c>
      <c r="K70">
        <v>2197675987</v>
      </c>
    </row>
    <row r="71" spans="1:11" x14ac:dyDescent="0.3">
      <c r="A71" s="4" t="s">
        <v>66</v>
      </c>
    </row>
    <row r="72" spans="1:11" x14ac:dyDescent="0.3">
      <c r="A72" s="4" t="s">
        <v>79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42004</v>
      </c>
      <c r="C81" s="12">
        <v>42369</v>
      </c>
      <c r="D81" s="12">
        <v>42735</v>
      </c>
      <c r="E81" s="12">
        <v>43100</v>
      </c>
      <c r="F81" s="12">
        <v>43465</v>
      </c>
      <c r="G81" s="12">
        <v>43830</v>
      </c>
      <c r="H81" s="12">
        <v>44196</v>
      </c>
      <c r="I81" s="12">
        <v>44561</v>
      </c>
      <c r="J81" s="12">
        <v>45016</v>
      </c>
      <c r="K81" s="12">
        <v>45382</v>
      </c>
    </row>
    <row r="82" spans="1:11" s="1" customFormat="1" x14ac:dyDescent="0.3">
      <c r="A82" s="6" t="s">
        <v>32</v>
      </c>
      <c r="B82">
        <v>1675.46</v>
      </c>
      <c r="C82">
        <v>1556.55</v>
      </c>
      <c r="D82">
        <v>2810.29</v>
      </c>
      <c r="E82">
        <v>3416.23</v>
      </c>
      <c r="F82">
        <v>1703.41</v>
      </c>
      <c r="G82">
        <v>4738.7</v>
      </c>
      <c r="H82">
        <v>4832.3100000000004</v>
      </c>
      <c r="I82">
        <v>5309.16</v>
      </c>
      <c r="J82">
        <v>734.92</v>
      </c>
      <c r="K82">
        <v>5645.82</v>
      </c>
    </row>
    <row r="83" spans="1:11" s="6" customFormat="1" x14ac:dyDescent="0.3">
      <c r="A83" s="6" t="s">
        <v>33</v>
      </c>
      <c r="B83">
        <v>-455.96</v>
      </c>
      <c r="C83">
        <v>-82.59</v>
      </c>
      <c r="D83">
        <v>-4164.92</v>
      </c>
      <c r="E83">
        <v>-738.1</v>
      </c>
      <c r="F83">
        <v>-764.8</v>
      </c>
      <c r="G83">
        <v>-1190.56</v>
      </c>
      <c r="H83">
        <v>-1317.26</v>
      </c>
      <c r="I83">
        <v>-2006.94</v>
      </c>
      <c r="J83">
        <v>-14480.81</v>
      </c>
      <c r="K83">
        <v>-8941.0300000000007</v>
      </c>
    </row>
    <row r="84" spans="1:11" s="6" customFormat="1" x14ac:dyDescent="0.3">
      <c r="A84" s="6" t="s">
        <v>34</v>
      </c>
      <c r="B84">
        <v>-721.19</v>
      </c>
      <c r="C84">
        <v>-900.19</v>
      </c>
      <c r="D84">
        <v>-957.59</v>
      </c>
      <c r="E84">
        <v>-1014.67</v>
      </c>
      <c r="F84">
        <v>-719.01</v>
      </c>
      <c r="G84">
        <v>-629.37</v>
      </c>
      <c r="H84">
        <v>-3956.22</v>
      </c>
      <c r="I84">
        <v>-515.76</v>
      </c>
      <c r="J84">
        <v>2931.01</v>
      </c>
      <c r="K84">
        <v>5688.77</v>
      </c>
    </row>
    <row r="85" spans="1:11" s="1" customFormat="1" x14ac:dyDescent="0.3">
      <c r="A85" s="6" t="s">
        <v>35</v>
      </c>
      <c r="B85">
        <v>498.31</v>
      </c>
      <c r="C85">
        <v>573.77</v>
      </c>
      <c r="D85">
        <v>-2312.2199999999998</v>
      </c>
      <c r="E85">
        <v>1663.46</v>
      </c>
      <c r="F85">
        <v>219.6</v>
      </c>
      <c r="G85">
        <v>2918.77</v>
      </c>
      <c r="H85">
        <v>-441.17</v>
      </c>
      <c r="I85">
        <v>2786.46</v>
      </c>
      <c r="J85">
        <v>-10814.88</v>
      </c>
      <c r="K85">
        <v>2393.56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68</v>
      </c>
      <c r="B90">
        <v>228.85</v>
      </c>
      <c r="C90">
        <v>203.05</v>
      </c>
      <c r="D90">
        <v>206.3</v>
      </c>
      <c r="E90">
        <v>272.05</v>
      </c>
      <c r="F90">
        <v>225.1</v>
      </c>
      <c r="G90">
        <v>196.25</v>
      </c>
      <c r="H90">
        <v>248.85</v>
      </c>
      <c r="I90">
        <v>377.5</v>
      </c>
      <c r="J90">
        <v>365.55</v>
      </c>
      <c r="K90">
        <v>612.35</v>
      </c>
    </row>
    <row r="92" spans="1:11" s="1" customFormat="1" x14ac:dyDescent="0.3">
      <c r="A92" s="1" t="s">
        <v>67</v>
      </c>
    </row>
    <row r="93" spans="1:11" x14ac:dyDescent="0.3">
      <c r="A93" s="4" t="s">
        <v>80</v>
      </c>
      <c r="B93" s="20">
        <v>154.97</v>
      </c>
      <c r="C93" s="20">
        <v>155.19</v>
      </c>
      <c r="D93" s="20">
        <v>198.56</v>
      </c>
      <c r="E93" s="20">
        <v>198.56</v>
      </c>
      <c r="F93" s="20">
        <v>198.56</v>
      </c>
      <c r="G93" s="20">
        <v>198.56</v>
      </c>
      <c r="H93" s="20">
        <v>198.56</v>
      </c>
      <c r="I93" s="20">
        <v>198.56</v>
      </c>
      <c r="J93" s="20">
        <v>198.56</v>
      </c>
      <c r="K93" s="20">
        <v>219.77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ANMOL AGRAWAL</cp:lastModifiedBy>
  <cp:lastPrinted>2012-12-06T18:14:13Z</cp:lastPrinted>
  <dcterms:created xsi:type="dcterms:W3CDTF">2012-08-17T09:55:37Z</dcterms:created>
  <dcterms:modified xsi:type="dcterms:W3CDTF">2024-08-07T14:44:44Z</dcterms:modified>
</cp:coreProperties>
</file>