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iana\OneDrive\Рабочий стол\"/>
    </mc:Choice>
  </mc:AlternateContent>
  <bookViews>
    <workbookView xWindow="0" yWindow="0" windowWidth="25600" windowHeight="12500" activeTab="3"/>
  </bookViews>
  <sheets>
    <sheet name="Соответствие" sheetId="4" r:id="rId1"/>
    <sheet name="SummaryReport" sheetId="5" r:id="rId2"/>
    <sheet name="Автоматизированный расчет" sheetId="3" r:id="rId3"/>
    <sheet name="Результаты всех тестов" sheetId="2" r:id="rId4"/>
  </sheets>
  <calcPr calcId="152511"/>
  <pivotCaches>
    <pivotCache cacheId="11" r:id="rId5"/>
    <pivotCache cacheId="12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8" i="2" l="1"/>
  <c r="G39" i="2" l="1"/>
  <c r="G40" i="2"/>
  <c r="G41" i="2"/>
  <c r="G42" i="2"/>
  <c r="G43" i="2"/>
  <c r="G44" i="2"/>
  <c r="G38" i="2"/>
  <c r="H27" i="2" l="1"/>
  <c r="H28" i="2"/>
  <c r="H29" i="2"/>
  <c r="H30" i="2"/>
  <c r="H31" i="2"/>
  <c r="H32" i="2"/>
  <c r="H26" i="2"/>
  <c r="G27" i="2"/>
  <c r="G28" i="2"/>
  <c r="G29" i="2"/>
  <c r="G30" i="2"/>
  <c r="G31" i="2"/>
  <c r="G32" i="2"/>
  <c r="G26" i="2"/>
  <c r="H18" i="2"/>
  <c r="H17" i="2"/>
  <c r="H16" i="2"/>
  <c r="H15" i="2"/>
  <c r="H14" i="2"/>
  <c r="H13" i="2"/>
  <c r="C40" i="3"/>
  <c r="D30" i="3" l="1"/>
  <c r="E30" i="3"/>
  <c r="F30" i="3" s="1"/>
  <c r="G30" i="3"/>
  <c r="D24" i="3"/>
  <c r="E24" i="3"/>
  <c r="F24" i="3" s="1"/>
  <c r="G24" i="3"/>
  <c r="G8" i="3"/>
  <c r="E8" i="3"/>
  <c r="F8" i="3" s="1"/>
  <c r="E7" i="3"/>
  <c r="H30" i="3" l="1"/>
  <c r="H8" i="3"/>
  <c r="H24" i="3"/>
  <c r="G4" i="3"/>
  <c r="G5" i="3"/>
  <c r="G6" i="3"/>
  <c r="G7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5" i="3"/>
  <c r="G26" i="3"/>
  <c r="G27" i="3"/>
  <c r="G28" i="3"/>
  <c r="G29" i="3"/>
  <c r="G31" i="3"/>
  <c r="G32" i="3"/>
  <c r="G2" i="3"/>
  <c r="G3" i="3"/>
  <c r="P3" i="3"/>
  <c r="P4" i="3"/>
  <c r="P6" i="3"/>
  <c r="P7" i="3"/>
  <c r="P2" i="3"/>
  <c r="D5" i="3"/>
  <c r="E5" i="3"/>
  <c r="F5" i="3" s="1"/>
  <c r="D40" i="3" l="1"/>
  <c r="D3" i="3" l="1"/>
  <c r="E3" i="3"/>
  <c r="F3" i="3" s="1"/>
  <c r="W2" i="3"/>
  <c r="E2" i="3" l="1"/>
  <c r="D64" i="3" l="1"/>
  <c r="E64" i="3" s="1"/>
  <c r="D65" i="3"/>
  <c r="E65" i="3" s="1"/>
  <c r="D66" i="3"/>
  <c r="E66" i="3" s="1"/>
  <c r="D67" i="3"/>
  <c r="E67" i="3" s="1"/>
  <c r="D68" i="3"/>
  <c r="E68" i="3" s="1"/>
  <c r="D69" i="3"/>
  <c r="E69" i="3" s="1"/>
  <c r="D70" i="3"/>
  <c r="E70" i="3" s="1"/>
  <c r="D71" i="3"/>
  <c r="E71" i="3" s="1"/>
  <c r="D72" i="3"/>
  <c r="E72" i="3" s="1"/>
  <c r="D73" i="3"/>
  <c r="E73" i="3" s="1"/>
  <c r="D74" i="3"/>
  <c r="E74" i="3" s="1"/>
  <c r="D75" i="3"/>
  <c r="E75" i="3" s="1"/>
  <c r="D76" i="3"/>
  <c r="E76" i="3" s="1"/>
  <c r="D77" i="3"/>
  <c r="E77" i="3" s="1"/>
  <c r="D78" i="3"/>
  <c r="E78" i="3" s="1"/>
  <c r="D79" i="3"/>
  <c r="E79" i="3" s="1"/>
  <c r="D80" i="3"/>
  <c r="E80" i="3" s="1"/>
  <c r="D81" i="3"/>
  <c r="E81" i="3" s="1"/>
  <c r="D82" i="3"/>
  <c r="E82" i="3" s="1"/>
  <c r="D83" i="3"/>
  <c r="E83" i="3" s="1"/>
  <c r="D84" i="3"/>
  <c r="E84" i="3" s="1"/>
  <c r="D85" i="3"/>
  <c r="E85" i="3" s="1"/>
  <c r="D86" i="3"/>
  <c r="E86" i="3" s="1"/>
  <c r="D87" i="3"/>
  <c r="E87" i="3" s="1"/>
  <c r="D88" i="3"/>
  <c r="E88" i="3" s="1"/>
  <c r="D63" i="3"/>
  <c r="E63" i="3" s="1"/>
  <c r="D54" i="3"/>
  <c r="G40" i="3" l="1"/>
  <c r="B54" i="3"/>
  <c r="B55" i="3"/>
  <c r="B56" i="3"/>
  <c r="B57" i="3"/>
  <c r="B58" i="3"/>
  <c r="F54" i="3"/>
  <c r="A3" i="4" l="1"/>
  <c r="A4" i="4"/>
  <c r="A5" i="4"/>
  <c r="A6" i="4"/>
  <c r="A7" i="4"/>
  <c r="A8" i="4"/>
  <c r="A9" i="4"/>
  <c r="A10" i="4"/>
  <c r="A11" i="4"/>
  <c r="A12" i="4"/>
  <c r="A13" i="4"/>
  <c r="A2" i="4"/>
  <c r="F38" i="3" s="1"/>
  <c r="H38" i="3" s="1"/>
  <c r="F49" i="3" l="1"/>
  <c r="H49" i="3" s="1"/>
  <c r="I49" i="3" s="1"/>
  <c r="F41" i="3"/>
  <c r="H41" i="3" s="1"/>
  <c r="I41" i="3" s="1"/>
  <c r="F47" i="3"/>
  <c r="H47" i="3" s="1"/>
  <c r="I47" i="3" s="1"/>
  <c r="F42" i="3"/>
  <c r="H42" i="3" s="1"/>
  <c r="I42" i="3" s="1"/>
  <c r="F48" i="3"/>
  <c r="H48" i="3" s="1"/>
  <c r="I48" i="3" s="1"/>
  <c r="F43" i="3"/>
  <c r="H43" i="3" s="1"/>
  <c r="I43" i="3" s="1"/>
  <c r="F39" i="3"/>
  <c r="H39" i="3" s="1"/>
  <c r="F46" i="3"/>
  <c r="H46" i="3" s="1"/>
  <c r="I46" i="3" s="1"/>
  <c r="F45" i="3"/>
  <c r="H45" i="3" s="1"/>
  <c r="I45" i="3" s="1"/>
  <c r="F44" i="3"/>
  <c r="H44" i="3" s="1"/>
  <c r="I44" i="3" s="1"/>
  <c r="F40" i="3"/>
  <c r="H40" i="3" s="1"/>
  <c r="I40" i="3" s="1"/>
  <c r="F2" i="3"/>
  <c r="D2" i="3"/>
  <c r="T7" i="3"/>
  <c r="D55" i="3"/>
  <c r="D56" i="3"/>
  <c r="H56" i="3" s="1"/>
  <c r="D57" i="3"/>
  <c r="H57" i="3" s="1"/>
  <c r="D58" i="3"/>
  <c r="D19" i="3"/>
  <c r="D20" i="3"/>
  <c r="D21" i="3"/>
  <c r="C41" i="3"/>
  <c r="C47" i="3"/>
  <c r="C43" i="3"/>
  <c r="C49" i="3"/>
  <c r="C39" i="3"/>
  <c r="C48" i="3"/>
  <c r="C44" i="3"/>
  <c r="C38" i="3"/>
  <c r="C42" i="3"/>
  <c r="C46" i="3"/>
  <c r="C45" i="3"/>
  <c r="G41" i="3" l="1"/>
  <c r="G44" i="3"/>
  <c r="G42" i="3"/>
  <c r="G39" i="3"/>
  <c r="G45" i="3"/>
  <c r="G46" i="3"/>
  <c r="G43" i="3"/>
  <c r="G47" i="3"/>
  <c r="G49" i="3"/>
  <c r="G38" i="3"/>
  <c r="G48" i="3"/>
  <c r="E19" i="3"/>
  <c r="F19" i="3" s="1"/>
  <c r="H19" i="3" s="1"/>
  <c r="E21" i="3"/>
  <c r="F21" i="3" s="1"/>
  <c r="H21" i="3" s="1"/>
  <c r="E20" i="3"/>
  <c r="F20" i="3" s="1"/>
  <c r="F58" i="3"/>
  <c r="F56" i="3"/>
  <c r="F57" i="3"/>
  <c r="G54" i="3"/>
  <c r="H54" i="3" s="1"/>
  <c r="I55" i="3"/>
  <c r="F55" i="3"/>
  <c r="I54" i="3"/>
  <c r="B50" i="3"/>
  <c r="D9" i="3"/>
  <c r="D28" i="3"/>
  <c r="E28" i="3"/>
  <c r="F28" i="3" s="1"/>
  <c r="D22" i="3"/>
  <c r="D14" i="3"/>
  <c r="C65" i="3" l="1"/>
  <c r="G65" i="3" s="1"/>
  <c r="C69" i="3"/>
  <c r="G69" i="3" s="1"/>
  <c r="C66" i="3"/>
  <c r="G66" i="3" s="1"/>
  <c r="C67" i="3"/>
  <c r="G67" i="3" s="1"/>
  <c r="C64" i="3"/>
  <c r="G64" i="3" s="1"/>
  <c r="C68" i="3"/>
  <c r="G68" i="3" s="1"/>
  <c r="C63" i="3"/>
  <c r="G63" i="3" s="1"/>
  <c r="H20" i="3"/>
  <c r="C78" i="3"/>
  <c r="G78" i="3" s="1"/>
  <c r="C82" i="3"/>
  <c r="G82" i="3" s="1"/>
  <c r="C79" i="3"/>
  <c r="G79" i="3" s="1"/>
  <c r="C83" i="3"/>
  <c r="G83" i="3" s="1"/>
  <c r="C80" i="3"/>
  <c r="G80" i="3" s="1"/>
  <c r="C84" i="3"/>
  <c r="G84" i="3" s="1"/>
  <c r="C81" i="3"/>
  <c r="G81" i="3" s="1"/>
  <c r="C74" i="3"/>
  <c r="G74" i="3" s="1"/>
  <c r="C75" i="3"/>
  <c r="G75" i="3" s="1"/>
  <c r="C76" i="3"/>
  <c r="G76" i="3" s="1"/>
  <c r="C73" i="3"/>
  <c r="G73" i="3" s="1"/>
  <c r="C77" i="3"/>
  <c r="G77" i="3" s="1"/>
  <c r="G55" i="3"/>
  <c r="H55" i="3" s="1"/>
  <c r="I53" i="3" s="1"/>
  <c r="C70" i="3"/>
  <c r="G70" i="3" s="1"/>
  <c r="C71" i="3"/>
  <c r="G71" i="3" s="1"/>
  <c r="C72" i="3"/>
  <c r="G72" i="3" s="1"/>
  <c r="G58" i="3"/>
  <c r="H58" i="3" s="1"/>
  <c r="I56" i="3" s="1"/>
  <c r="C86" i="3"/>
  <c r="G86" i="3" s="1"/>
  <c r="C87" i="3"/>
  <c r="G87" i="3" s="1"/>
  <c r="C88" i="3"/>
  <c r="G88" i="3" s="1"/>
  <c r="C85" i="3"/>
  <c r="G85" i="3" s="1"/>
  <c r="I52" i="3"/>
  <c r="D47" i="3"/>
  <c r="D38" i="3"/>
  <c r="D48" i="3"/>
  <c r="D49" i="3"/>
  <c r="D15" i="3"/>
  <c r="D17" i="3"/>
  <c r="D16" i="3"/>
  <c r="D18" i="3"/>
  <c r="D29" i="3"/>
  <c r="D31" i="3"/>
  <c r="D32" i="3"/>
  <c r="G59" i="3" l="1"/>
  <c r="S6" i="3"/>
  <c r="S5" i="3"/>
  <c r="S3" i="3"/>
  <c r="S7" i="3"/>
  <c r="S4" i="3"/>
  <c r="E11" i="3"/>
  <c r="E9" i="3"/>
  <c r="F9" i="3" s="1"/>
  <c r="E22" i="3"/>
  <c r="F22" i="3" s="1"/>
  <c r="D23" i="3"/>
  <c r="D27" i="3"/>
  <c r="S2" i="3"/>
  <c r="T2" i="3"/>
  <c r="T6" i="3"/>
  <c r="T3" i="3"/>
  <c r="V3" i="3" l="1"/>
  <c r="D11" i="3" s="1"/>
  <c r="V2" i="3"/>
  <c r="H5" i="3"/>
  <c r="H3" i="3"/>
  <c r="H2" i="3"/>
  <c r="H9" i="3"/>
  <c r="H28" i="3"/>
  <c r="S8" i="3"/>
  <c r="T5" i="3"/>
  <c r="V5" i="3" s="1"/>
  <c r="D25" i="3" s="1"/>
  <c r="E14" i="3"/>
  <c r="F14" i="3" s="1"/>
  <c r="T4" i="3"/>
  <c r="I38" i="3"/>
  <c r="D39" i="3"/>
  <c r="V6" i="3"/>
  <c r="D6" i="3"/>
  <c r="E32" i="3"/>
  <c r="F32" i="3" s="1"/>
  <c r="E18" i="3"/>
  <c r="F18" i="3" s="1"/>
  <c r="D4" i="3"/>
  <c r="D13" i="3"/>
  <c r="D10" i="3"/>
  <c r="D26" i="3"/>
  <c r="D12" i="3"/>
  <c r="D7" i="3"/>
  <c r="E13" i="3"/>
  <c r="F13" i="3" s="1"/>
  <c r="E31" i="3"/>
  <c r="F31" i="3" s="1"/>
  <c r="E26" i="3"/>
  <c r="F26" i="3" s="1"/>
  <c r="E17" i="3"/>
  <c r="F17" i="3" s="1"/>
  <c r="E12" i="3"/>
  <c r="F12" i="3" s="1"/>
  <c r="F7" i="3"/>
  <c r="E29" i="3"/>
  <c r="E25" i="3"/>
  <c r="F25" i="3" s="1"/>
  <c r="E16" i="3"/>
  <c r="E6" i="3"/>
  <c r="F6" i="3" s="1"/>
  <c r="E27" i="3"/>
  <c r="E23" i="3"/>
  <c r="E15" i="3"/>
  <c r="F15" i="3" s="1"/>
  <c r="E10" i="3"/>
  <c r="F10" i="3" s="1"/>
  <c r="E4" i="3"/>
  <c r="F4" i="3" s="1"/>
  <c r="D42" i="3"/>
  <c r="I43" i="2"/>
  <c r="I42" i="2"/>
  <c r="I39" i="2"/>
  <c r="I12" i="2"/>
  <c r="I13" i="2"/>
  <c r="I14" i="2"/>
  <c r="I15" i="2"/>
  <c r="I16" i="2"/>
  <c r="I17" i="2"/>
  <c r="I18" i="2"/>
  <c r="V4" i="3" l="1"/>
  <c r="V7" i="3" s="1"/>
  <c r="H14" i="3"/>
  <c r="H18" i="3"/>
  <c r="H25" i="3"/>
  <c r="H26" i="3"/>
  <c r="H22" i="3"/>
  <c r="F29" i="3"/>
  <c r="H29" i="3" s="1"/>
  <c r="F23" i="3"/>
  <c r="F11" i="3"/>
  <c r="H11" i="3" s="1"/>
  <c r="F27" i="3"/>
  <c r="H27" i="3" s="1"/>
  <c r="F16" i="3"/>
  <c r="C50" i="3"/>
  <c r="D45" i="3"/>
  <c r="D46" i="3"/>
  <c r="I39" i="3"/>
  <c r="D41" i="3"/>
  <c r="D43" i="3"/>
  <c r="D44" i="3"/>
  <c r="H4" i="3"/>
  <c r="H6" i="3"/>
  <c r="H32" i="3"/>
  <c r="H13" i="3"/>
  <c r="H31" i="3"/>
  <c r="H17" i="3"/>
  <c r="H12" i="3"/>
  <c r="H10" i="3"/>
  <c r="H7" i="3"/>
  <c r="H15" i="3"/>
  <c r="I40" i="2"/>
  <c r="I44" i="2"/>
  <c r="I41" i="2"/>
  <c r="I32" i="2"/>
  <c r="I31" i="2"/>
  <c r="I30" i="2"/>
  <c r="I29" i="2"/>
  <c r="I28" i="2"/>
  <c r="I27" i="2"/>
  <c r="I26" i="2"/>
  <c r="H16" i="3" l="1"/>
  <c r="H23" i="3"/>
  <c r="D50" i="3"/>
  <c r="P5" i="3"/>
</calcChain>
</file>

<file path=xl/comments1.xml><?xml version="1.0" encoding="utf-8"?>
<comments xmlns="http://schemas.openxmlformats.org/spreadsheetml/2006/main">
  <authors>
    <author>Microsoft Office User</author>
  </authors>
  <commentList>
    <comment ref="N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<sst xmlns="http://schemas.openxmlformats.org/spreadsheetml/2006/main" count="520" uniqueCount="130">
  <si>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</si>
  <si>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</si>
  <si>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</si>
  <si>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</si>
  <si>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</si>
  <si>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</si>
  <si>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</si>
  <si>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</si>
  <si>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</si>
  <si>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</si>
  <si>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</si>
  <si>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</si>
  <si>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</si>
  <si>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</si>
  <si>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</si>
  <si>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</si>
  <si>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</si>
  <si>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</si>
  <si>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</si>
  <si>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</si>
  <si>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</si>
  <si>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</si>
  <si>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</si>
  <si>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</si>
  <si>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</si>
  <si>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</si>
  <si>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</si>
  <si>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</si>
  <si>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</si>
  <si>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</si>
  <si>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</si>
  <si>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</si>
  <si>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</si>
  <si>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</si>
  <si>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</si>
  <si>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</si>
  <si>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</si>
  <si>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</si>
  <si>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</si>
  <si>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</si>
  <si>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</si>
  <si>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</si>
  <si>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</si>
  <si>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</si>
  <si>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</si>
  <si>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</si>
  <si>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</si>
  <si>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</si>
  <si>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</si>
  <si>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</si>
  <si>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</si>
  <si>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</si>
  <si>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</si>
  <si>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</si>
  <si>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</si>
  <si>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</si>
  <si>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</si>
  <si>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</si>
  <si>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</si>
  <si>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</si>
  <si>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</si>
  <si>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</si>
  <si>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</si>
  <si>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</si>
  <si>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</si>
  <si>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</si>
  <si>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Поиск билета без покупки</t>
  </si>
  <si>
    <t>Логин</t>
  </si>
  <si>
    <t>Поиск билета</t>
  </si>
  <si>
    <t>Просмотр текущих бронирований</t>
  </si>
  <si>
    <t>Кол-во в минуту</t>
  </si>
  <si>
    <t>vu</t>
  </si>
  <si>
    <t>мин</t>
  </si>
  <si>
    <t>округл</t>
  </si>
  <si>
    <t>pacing сек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</si>
  <si>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</si>
  <si>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</si>
  <si>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</si>
  <si>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</si>
  <si>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Имя в статистике</t>
  </si>
  <si>
    <t>Имя в скрипте</t>
  </si>
  <si>
    <t>SLA Status</t>
  </si>
  <si>
    <t>Minimum</t>
  </si>
  <si>
    <t>Average</t>
  </si>
  <si>
    <t>Maximum</t>
  </si>
  <si>
    <t>Std. Deviation</t>
  </si>
  <si>
    <t>90 Percent</t>
  </si>
  <si>
    <t>No Data</t>
  </si>
  <si>
    <t>ScriptName</t>
  </si>
  <si>
    <t>Операций 20 мин</t>
  </si>
  <si>
    <t>Статистика операций 20 мин</t>
  </si>
  <si>
    <t>Удаление брони</t>
  </si>
  <si>
    <t>Главная страница</t>
  </si>
  <si>
    <t>Переход на стр. Поиска</t>
  </si>
  <si>
    <t>Заполнение полей и поиск</t>
  </si>
  <si>
    <t>Выбор рейса</t>
  </si>
  <si>
    <t>Покупка</t>
  </si>
  <si>
    <t>Логаут</t>
  </si>
  <si>
    <t>Логин и логаут</t>
  </si>
  <si>
    <t>Просмотр путевых листов</t>
  </si>
  <si>
    <t>Удаление</t>
  </si>
  <si>
    <t>Операция/Скрипт</t>
  </si>
  <si>
    <t>Запросы</t>
  </si>
  <si>
    <t>Vus</t>
  </si>
  <si>
    <t>Кол-во одним Vu</t>
  </si>
  <si>
    <t>Duration + Think_time</t>
  </si>
  <si>
    <t>Action_Transaction</t>
  </si>
  <si>
    <t>Профиль</t>
  </si>
  <si>
    <t>00000000-0000-0000-0000-000000000000</t>
  </si>
  <si>
    <t>Continue</t>
  </si>
  <si>
    <t>Filling_out_the_form</t>
  </si>
  <si>
    <t>go_to_flights</t>
  </si>
  <si>
    <t>log_out</t>
  </si>
  <si>
    <t>Open_sign_up_now</t>
  </si>
  <si>
    <t>open_site</t>
  </si>
  <si>
    <t>01_Reg_new_user</t>
  </si>
  <si>
    <t>1_script_buy_a_ticket</t>
  </si>
  <si>
    <t>2_script_delete_reservation</t>
  </si>
  <si>
    <t>3_script_Search_tiskets_without_payment</t>
  </si>
  <si>
    <t>5_Skript_Check_reservation</t>
  </si>
  <si>
    <t>7_login_logout</t>
  </si>
  <si>
    <t>Поиск максимума 4 ступень</t>
  </si>
  <si>
    <t>2 014,</t>
  </si>
  <si>
    <t>1 169,</t>
  </si>
  <si>
    <t>1 075,</t>
  </si>
  <si>
    <t>1 219,</t>
  </si>
  <si>
    <t>1 276,</t>
  </si>
  <si>
    <t>1 628,</t>
  </si>
  <si>
    <t>2 018,</t>
  </si>
  <si>
    <t>1 076,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</si>
</sst>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color rgb="FF9C6500"/>
      <name val="Calibri"/>
      <family val="2"/>
      <charset val="20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08">
    <xf numFmtId="0" fontId="0" fillId="0" borderId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6" fillId="0" borderId="0"/>
    <xf numFmtId="0" fontId="17" fillId="0" borderId="0" applyNumberFormat="0" applyFill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1" fillId="6" borderId="6" applyNumberFormat="0" applyAlignment="0" applyProtection="0"/>
    <xf numFmtId="0" fontId="22" fillId="7" borderId="7" applyNumberFormat="0" applyAlignment="0" applyProtection="0"/>
    <xf numFmtId="0" fontId="23" fillId="7" borderId="6" applyNumberFormat="0" applyAlignment="0" applyProtection="0"/>
    <xf numFmtId="0" fontId="24" fillId="0" borderId="8" applyNumberFormat="0" applyFill="0" applyAlignment="0" applyProtection="0"/>
    <xf numFmtId="0" fontId="25" fillId="8" borderId="9" applyNumberForma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3" fillId="0" borderId="11" applyNumberFormat="0" applyFill="0" applyAlignment="0" applyProtection="0"/>
    <xf numFmtId="0" fontId="28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28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28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28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28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28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0" borderId="0"/>
    <xf numFmtId="0" fontId="5" fillId="9" borderId="10" applyNumberFormat="0" applyFont="0" applyAlignment="0" applyProtection="0"/>
    <xf numFmtId="9" fontId="29" fillId="0" borderId="0" applyFont="0" applyFill="0" applyBorder="0" applyAlignment="0" applyProtection="0"/>
    <xf numFmtId="0" fontId="4" fillId="0" borderId="0"/>
    <xf numFmtId="0" fontId="33" fillId="4" borderId="0" applyNumberFormat="0" applyBorder="0" applyAlignment="0" applyProtection="0"/>
    <xf numFmtId="0" fontId="4" fillId="9" borderId="10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8" fillId="13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8" fillId="17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8" fillId="21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8" fillId="25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8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8" fillId="33" borderId="0" applyNumberFormat="0" applyBorder="0" applyAlignment="0" applyProtection="0"/>
    <xf numFmtId="0" fontId="3" fillId="0" borderId="0"/>
    <xf numFmtId="0" fontId="3" fillId="9" borderId="10" applyNumberFormat="0" applyFont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" fillId="0" borderId="0"/>
    <xf numFmtId="0" fontId="2" fillId="9" borderId="10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  <xf numFmtId="0" fontId="1" fillId="9" borderId="10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0">
    <xf numFmtId="0" fontId="0" fillId="0" borderId="0" xfId="0"/>
    <xf numFmtId="0" fontId="14" fillId="5" borderId="1" xfId="0" applyFont="1" applyFill="1" applyBorder="1" applyAlignment="1">
      <alignment horizontal="center" vertical="top" wrapText="1"/>
    </xf>
    <xf numFmtId="0" fontId="15" fillId="0" borderId="2" xfId="0" applyFont="1" applyBorder="1" applyAlignment="1">
      <alignment horizontal="left" vertical="top" wrapText="1"/>
    </xf>
    <xf numFmtId="0" fontId="13" fillId="0" borderId="2" xfId="4" applyFont="1" applyBorder="1" applyAlignment="1">
      <alignment horizontal="center" vertical="top"/>
    </xf>
    <xf numFmtId="0" fontId="14" fillId="0" borderId="2" xfId="0" applyFont="1" applyBorder="1" applyAlignment="1">
      <alignment horizontal="center" vertical="top"/>
    </xf>
    <xf numFmtId="10" fontId="14" fillId="0" borderId="2" xfId="0" applyNumberFormat="1" applyFont="1" applyBorder="1" applyAlignment="1">
      <alignment horizontal="center" vertical="top"/>
    </xf>
    <xf numFmtId="10" fontId="16" fillId="0" borderId="2" xfId="0" applyNumberFormat="1" applyFont="1" applyBorder="1" applyAlignment="1">
      <alignment horizontal="center" vertical="top"/>
    </xf>
    <xf numFmtId="10" fontId="16" fillId="0" borderId="2" xfId="0" applyNumberFormat="1" applyFont="1" applyBorder="1" applyAlignment="1">
      <alignment horizontal="left" vertical="top"/>
    </xf>
    <xf numFmtId="0" fontId="14" fillId="5" borderId="2" xfId="0" applyFont="1" applyFill="1" applyBorder="1" applyAlignment="1">
      <alignment horizontal="left" vertical="top"/>
    </xf>
    <xf numFmtId="0" fontId="5" fillId="0" borderId="2" xfId="42" applyBorder="1"/>
    <xf numFmtId="0" fontId="14" fillId="0" borderId="2" xfId="0" applyFont="1" applyBorder="1" applyAlignment="1">
      <alignment horizontal="left" vertical="top"/>
    </xf>
    <xf numFmtId="10" fontId="14" fillId="0" borderId="2" xfId="0" applyNumberFormat="1" applyFont="1" applyBorder="1" applyAlignment="1">
      <alignment horizontal="left" vertical="top"/>
    </xf>
    <xf numFmtId="0" fontId="13" fillId="0" borderId="2" xfId="4" applyFont="1" applyBorder="1" applyAlignment="1">
      <alignment horizontal="left" vertical="top"/>
    </xf>
    <xf numFmtId="0" fontId="15" fillId="0" borderId="2" xfId="0" applyFont="1" applyBorder="1" applyAlignment="1">
      <alignment horizontal="left" vertical="top"/>
    </xf>
    <xf numFmtId="0" fontId="5" fillId="0" borderId="0" xfId="42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2" fontId="0" fillId="0" borderId="0" xfId="0" applyNumberFormat="1"/>
    <xf numFmtId="0" fontId="0" fillId="37" borderId="2" xfId="0" applyFill="1" applyBorder="1"/>
    <xf numFmtId="9" fontId="0" fillId="0" borderId="2" xfId="44" applyFont="1" applyBorder="1"/>
    <xf numFmtId="9" fontId="0" fillId="38" borderId="2" xfId="44" applyFont="1" applyFill="1" applyBorder="1"/>
    <xf numFmtId="0" fontId="9" fillId="0" borderId="2" xfId="0" applyFont="1" applyBorder="1" applyAlignment="1">
      <alignment vertical="center" wrapText="1"/>
    </xf>
    <xf numFmtId="0" fontId="0" fillId="40" borderId="2" xfId="0" applyFill="1" applyBorder="1"/>
    <xf numFmtId="165" fontId="0" fillId="41" borderId="2" xfId="0" applyNumberFormat="1" applyFill="1" applyBorder="1"/>
    <xf numFmtId="1" fontId="0" fillId="35" borderId="2" xfId="0" applyNumberFormat="1" applyFill="1" applyBorder="1"/>
    <xf numFmtId="0" fontId="9" fillId="39" borderId="15" xfId="0" applyFont="1" applyFill="1" applyBorder="1" applyAlignment="1">
      <alignment vertical="center" wrapText="1"/>
    </xf>
    <xf numFmtId="0" fontId="7" fillId="39" borderId="15" xfId="0" applyFont="1" applyFill="1" applyBorder="1" applyAlignment="1">
      <alignment horizontal="left" vertical="center" wrapText="1"/>
    </xf>
    <xf numFmtId="0" fontId="7" fillId="35" borderId="15" xfId="0" applyFont="1" applyFill="1" applyBorder="1" applyAlignment="1">
      <alignment horizontal="left" vertical="center" wrapText="1"/>
    </xf>
    <xf numFmtId="0" fontId="8" fillId="39" borderId="16" xfId="0" applyFont="1" applyFill="1" applyBorder="1" applyAlignment="1">
      <alignment horizontal="left" vertical="center" wrapText="1"/>
    </xf>
    <xf numFmtId="1" fontId="0" fillId="35" borderId="2" xfId="0" quotePrefix="1" applyNumberFormat="1" applyFill="1" applyBorder="1"/>
    <xf numFmtId="1" fontId="0" fillId="41" borderId="2" xfId="0" applyNumberForma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9" fontId="0" fillId="0" borderId="0" xfId="44" applyFont="1" applyBorder="1"/>
    <xf numFmtId="0" fontId="9" fillId="0" borderId="0" xfId="0" applyFont="1" applyBorder="1" applyAlignment="1">
      <alignment vertical="center" wrapText="1"/>
    </xf>
    <xf numFmtId="1" fontId="0" fillId="36" borderId="2" xfId="0" applyNumberFormat="1" applyFill="1" applyBorder="1"/>
    <xf numFmtId="0" fontId="0" fillId="39" borderId="2" xfId="0" applyFill="1" applyBorder="1"/>
    <xf numFmtId="1" fontId="0" fillId="39" borderId="2" xfId="0" applyNumberFormat="1" applyFill="1" applyBorder="1"/>
    <xf numFmtId="1" fontId="0" fillId="39" borderId="2" xfId="0" quotePrefix="1" applyNumberFormat="1" applyFill="1" applyBorder="1"/>
    <xf numFmtId="0" fontId="0" fillId="35" borderId="0" xfId="0" applyFill="1" applyAlignment="1">
      <alignment horizontal="left"/>
    </xf>
    <xf numFmtId="1" fontId="0" fillId="37" borderId="2" xfId="0" applyNumberFormat="1" applyFill="1" applyBorder="1"/>
    <xf numFmtId="1" fontId="0" fillId="0" borderId="2" xfId="0" applyNumberFormat="1" applyFill="1" applyBorder="1"/>
    <xf numFmtId="1" fontId="0" fillId="37" borderId="12" xfId="0" applyNumberFormat="1" applyFill="1" applyBorder="1"/>
    <xf numFmtId="2" fontId="0" fillId="0" borderId="0" xfId="44" applyNumberFormat="1" applyFont="1" applyBorder="1"/>
    <xf numFmtId="0" fontId="0" fillId="40" borderId="20" xfId="0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5" xfId="0" applyBorder="1" applyAlignment="1">
      <alignment horizontal="center"/>
    </xf>
    <xf numFmtId="0" fontId="0" fillId="0" borderId="26" xfId="0" applyBorder="1"/>
    <xf numFmtId="0" fontId="0" fillId="0" borderId="0" xfId="0" applyBorder="1"/>
    <xf numFmtId="0" fontId="0" fillId="39" borderId="15" xfId="0" applyFill="1" applyBorder="1"/>
    <xf numFmtId="165" fontId="0" fillId="35" borderId="0" xfId="0" applyNumberFormat="1" applyFill="1" applyBorder="1"/>
    <xf numFmtId="1" fontId="0" fillId="0" borderId="0" xfId="0" applyNumberFormat="1" applyBorder="1"/>
    <xf numFmtId="9" fontId="0" fillId="0" borderId="17" xfId="44" applyFont="1" applyBorder="1"/>
    <xf numFmtId="0" fontId="0" fillId="0" borderId="27" xfId="0" applyBorder="1"/>
    <xf numFmtId="0" fontId="0" fillId="0" borderId="28" xfId="0" applyBorder="1"/>
    <xf numFmtId="1" fontId="0" fillId="0" borderId="28" xfId="0" applyNumberFormat="1" applyBorder="1"/>
    <xf numFmtId="0" fontId="0" fillId="35" borderId="20" xfId="0" applyFill="1" applyBorder="1"/>
    <xf numFmtId="9" fontId="0" fillId="0" borderId="2" xfId="0" applyNumberFormat="1" applyFont="1" applyBorder="1"/>
    <xf numFmtId="0" fontId="0" fillId="0" borderId="29" xfId="0" applyFont="1" applyBorder="1"/>
    <xf numFmtId="0" fontId="30" fillId="0" borderId="25" xfId="0" applyFont="1" applyBorder="1"/>
    <xf numFmtId="164" fontId="30" fillId="0" borderId="0" xfId="0" applyNumberFormat="1" applyFont="1" applyBorder="1"/>
    <xf numFmtId="0" fontId="30" fillId="0" borderId="0" xfId="0" applyFont="1" applyBorder="1"/>
    <xf numFmtId="1" fontId="30" fillId="0" borderId="0" xfId="0" applyNumberFormat="1" applyFont="1" applyBorder="1"/>
    <xf numFmtId="9" fontId="0" fillId="0" borderId="30" xfId="0" applyNumberFormat="1" applyBorder="1"/>
    <xf numFmtId="0" fontId="9" fillId="39" borderId="20" xfId="0" applyFont="1" applyFill="1" applyBorder="1" applyAlignment="1">
      <alignment vertical="center" wrapText="1"/>
    </xf>
    <xf numFmtId="0" fontId="7" fillId="39" borderId="20" xfId="0" applyFont="1" applyFill="1" applyBorder="1" applyAlignment="1">
      <alignment horizontal="center" vertical="center" wrapText="1"/>
    </xf>
    <xf numFmtId="0" fontId="7" fillId="39" borderId="33" xfId="0" applyFont="1" applyFill="1" applyBorder="1" applyAlignment="1">
      <alignment horizontal="center" vertical="center" wrapText="1"/>
    </xf>
    <xf numFmtId="1" fontId="0" fillId="0" borderId="2" xfId="0" applyNumberFormat="1" applyBorder="1"/>
    <xf numFmtId="1" fontId="7" fillId="0" borderId="2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wrapText="1"/>
    </xf>
    <xf numFmtId="0" fontId="0" fillId="0" borderId="2" xfId="0" applyBorder="1"/>
    <xf numFmtId="0" fontId="0" fillId="37" borderId="2" xfId="0" applyFill="1" applyBorder="1" applyAlignment="1">
      <alignment horizontal="right"/>
    </xf>
    <xf numFmtId="0" fontId="2" fillId="0" borderId="0" xfId="80" applyFill="1"/>
    <xf numFmtId="0" fontId="2" fillId="0" borderId="0" xfId="80"/>
    <xf numFmtId="0" fontId="2" fillId="0" borderId="0" xfId="80"/>
    <xf numFmtId="0" fontId="0" fillId="41" borderId="13" xfId="0" applyFill="1" applyBorder="1" applyAlignment="1">
      <alignment horizontal="center"/>
    </xf>
    <xf numFmtId="0" fontId="0" fillId="41" borderId="14" xfId="0" applyFill="1" applyBorder="1" applyAlignment="1">
      <alignment horizontal="center"/>
    </xf>
    <xf numFmtId="0" fontId="0" fillId="41" borderId="31" xfId="0" applyFill="1" applyBorder="1" applyAlignment="1">
      <alignment horizontal="center"/>
    </xf>
    <xf numFmtId="0" fontId="0" fillId="41" borderId="32" xfId="0" applyFill="1" applyBorder="1" applyAlignment="1">
      <alignment horizontal="center"/>
    </xf>
    <xf numFmtId="0" fontId="0" fillId="34" borderId="0" xfId="0" applyFill="1" applyAlignment="1">
      <alignment horizontal="center"/>
    </xf>
    <xf numFmtId="0" fontId="1" fillId="0" borderId="0" xfId="94" applyAlignment="1">
      <alignment horizontal="right"/>
    </xf>
    <xf numFmtId="0" fontId="1" fillId="0" borderId="0" xfId="94"/>
    <xf numFmtId="0" fontId="1" fillId="0" borderId="0" xfId="94"/>
  </cellXfs>
  <cellStyles count="108">
    <cellStyle name="20% — акцент1" xfId="19" builtinId="30" customBuiltin="1"/>
    <cellStyle name="20% — акцент1 2" xfId="48"/>
    <cellStyle name="20% — акцент1 3" xfId="68"/>
    <cellStyle name="20% — акцент1 4" xfId="82"/>
    <cellStyle name="20% — акцент1 5" xfId="96"/>
    <cellStyle name="20% — акцент2" xfId="23" builtinId="34" customBuiltin="1"/>
    <cellStyle name="20% — акцент2 2" xfId="51"/>
    <cellStyle name="20% — акцент2 3" xfId="70"/>
    <cellStyle name="20% — акцент2 4" xfId="84"/>
    <cellStyle name="20% — акцент2 5" xfId="98"/>
    <cellStyle name="20% — акцент3" xfId="27" builtinId="38" customBuiltin="1"/>
    <cellStyle name="20% — акцент3 2" xfId="54"/>
    <cellStyle name="20% — акцент3 3" xfId="72"/>
    <cellStyle name="20% — акцент3 4" xfId="86"/>
    <cellStyle name="20% — акцент3 5" xfId="100"/>
    <cellStyle name="20% — акцент4" xfId="31" builtinId="42" customBuiltin="1"/>
    <cellStyle name="20% — акцент4 2" xfId="57"/>
    <cellStyle name="20% — акцент4 3" xfId="74"/>
    <cellStyle name="20% — акцент4 4" xfId="88"/>
    <cellStyle name="20% — акцент4 5" xfId="102"/>
    <cellStyle name="20% — акцент5" xfId="35" builtinId="46" customBuiltin="1"/>
    <cellStyle name="20% — акцент5 2" xfId="60"/>
    <cellStyle name="20% — акцент5 3" xfId="76"/>
    <cellStyle name="20% — акцент5 4" xfId="90"/>
    <cellStyle name="20% — акцент5 5" xfId="104"/>
    <cellStyle name="20% — акцент6" xfId="39" builtinId="50" customBuiltin="1"/>
    <cellStyle name="20% — акцент6 2" xfId="63"/>
    <cellStyle name="20% — акцент6 3" xfId="78"/>
    <cellStyle name="20% — акцент6 4" xfId="92"/>
    <cellStyle name="20% — акцент6 5" xfId="106"/>
    <cellStyle name="40% — акцент1" xfId="20" builtinId="31" customBuiltin="1"/>
    <cellStyle name="40% — акцент1 2" xfId="49"/>
    <cellStyle name="40% — акцент1 3" xfId="69"/>
    <cellStyle name="40% — акцент1 4" xfId="83"/>
    <cellStyle name="40% — акцент1 5" xfId="97"/>
    <cellStyle name="40% — акцент2" xfId="24" builtinId="35" customBuiltin="1"/>
    <cellStyle name="40% — акцент2 2" xfId="52"/>
    <cellStyle name="40% — акцент2 3" xfId="71"/>
    <cellStyle name="40% — акцент2 4" xfId="85"/>
    <cellStyle name="40% — акцент2 5" xfId="99"/>
    <cellStyle name="40% — акцент3" xfId="28" builtinId="39" customBuiltin="1"/>
    <cellStyle name="40% — акцент3 2" xfId="55"/>
    <cellStyle name="40% — акцент3 3" xfId="73"/>
    <cellStyle name="40% — акцент3 4" xfId="87"/>
    <cellStyle name="40% — акцент3 5" xfId="101"/>
    <cellStyle name="40% — акцент4" xfId="32" builtinId="43" customBuiltin="1"/>
    <cellStyle name="40% — акцент4 2" xfId="58"/>
    <cellStyle name="40% — акцент4 3" xfId="75"/>
    <cellStyle name="40% — акцент4 4" xfId="89"/>
    <cellStyle name="40% — акцент4 5" xfId="103"/>
    <cellStyle name="40% — акцент5" xfId="36" builtinId="47" customBuiltin="1"/>
    <cellStyle name="40% — акцент5 2" xfId="61"/>
    <cellStyle name="40% — акцент5 3" xfId="77"/>
    <cellStyle name="40% — акцент5 4" xfId="91"/>
    <cellStyle name="40% — акцент5 5" xfId="105"/>
    <cellStyle name="40% — акцент6" xfId="40" builtinId="51" customBuiltin="1"/>
    <cellStyle name="40% — акцент6 2" xfId="64"/>
    <cellStyle name="40% — акцент6 3" xfId="79"/>
    <cellStyle name="40% — акцент6 4" xfId="93"/>
    <cellStyle name="40% — акцент6 5" xfId="107"/>
    <cellStyle name="60% — акцент1" xfId="21" builtinId="32" customBuiltin="1"/>
    <cellStyle name="60% — акцент1 2" xfId="50"/>
    <cellStyle name="60% — акцент2" xfId="25" builtinId="36" customBuiltin="1"/>
    <cellStyle name="60% — акцент2 2" xfId="53"/>
    <cellStyle name="60% — акцент3" xfId="29" builtinId="40" customBuiltin="1"/>
    <cellStyle name="60% — акцент3 2" xfId="56"/>
    <cellStyle name="60% — акцент4" xfId="33" builtinId="44" customBuiltin="1"/>
    <cellStyle name="60% — акцент4 2" xfId="59"/>
    <cellStyle name="60% — акцент5" xfId="37" builtinId="48" customBuiltin="1"/>
    <cellStyle name="60% — акцент5 2" xfId="62"/>
    <cellStyle name="60% — акцент6" xfId="41" builtinId="52" customBuiltin="1"/>
    <cellStyle name="60% — акцент6 2" xfId="65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46"/>
    <cellStyle name="Обычный" xfId="0" builtinId="0"/>
    <cellStyle name="Обычный 2" xfId="4"/>
    <cellStyle name="Обычный 3" xfId="42"/>
    <cellStyle name="Обычный 4" xfId="45"/>
    <cellStyle name="Обычный 5" xfId="66"/>
    <cellStyle name="Обычный 6" xfId="80"/>
    <cellStyle name="Обычный 7" xfId="94"/>
    <cellStyle name="Плохой" xfId="2" builtinId="27" customBuiltin="1"/>
    <cellStyle name="Пояснение" xfId="16" builtinId="53" customBuiltin="1"/>
    <cellStyle name="Примечание 2" xfId="43"/>
    <cellStyle name="Примечание 3" xfId="47"/>
    <cellStyle name="Примечание 4" xfId="67"/>
    <cellStyle name="Примечание 5" xfId="81"/>
    <cellStyle name="Примечание 6" xfId="95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13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numFmt numFmtId="165" formatCode="0.0"/>
    </dxf>
    <dxf>
      <numFmt numFmtId="1" formatCode="0"/>
    </dxf>
    <dxf>
      <numFmt numFmtId="165" formatCode="0.0"/>
    </dxf>
    <dxf>
      <numFmt numFmtId="2" formatCode="0.00"/>
    </dxf>
    <dxf>
      <numFmt numFmtId="166" formatCode="0.000"/>
    </dxf>
    <dxf>
      <numFmt numFmtId="164" formatCode="0.0000"/>
    </dxf>
    <dxf>
      <numFmt numFmtId="167" formatCode="0.00000"/>
    </dxf>
    <dxf>
      <numFmt numFmtId="168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est" refreshedDate="44849.473945949074" createdVersion="6" refreshedVersion="6" minRefreshableVersion="3" recordCount="26">
  <cacheSource type="worksheet">
    <worksheetSource ref="A62:G88" sheet="Автоматизированный расчет"/>
  </cacheSource>
  <cacheFields count="7">
    <cacheField name="Операция/Скрипт" numFmtId="0">
      <sharedItems/>
    </cacheField>
    <cacheField name="Запросы" numFmtId="0">
      <sharedItems count="9">
        <s v="Главная страница"/>
        <s v="Логин"/>
        <s v="Переход на стр. Поиска"/>
        <s v="Заполнение полей и поиск"/>
        <s v="Выбор рейса"/>
        <s v="Покупка"/>
        <s v="Логаут"/>
        <s v="Просмотр путевых листов"/>
        <s v="Удаление"/>
      </sharedItems>
    </cacheField>
    <cacheField name="Vus" numFmtId="1">
      <sharedItems containsSemiMixedTypes="0" containsString="0" containsNumber="1" minValue="0.95833333333333337" maxValue="1.9633333333333336"/>
    </cacheField>
    <cacheField name="Pacing" numFmtId="0">
      <sharedItems containsSemiMixedTypes="0" containsString="0" containsNumber="1" containsInteger="1" minValue="25" maxValue="180"/>
    </cacheField>
    <cacheField name="Кол-во одним Vu" numFmtId="1">
      <sharedItems containsSemiMixedTypes="0" containsString="0" containsNumber="1" minValue="0.33333333333333331" maxValue="2.4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6.6666666666666679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nn Safronova" refreshedDate="45068.588854166665" createdVersion="6" refreshedVersion="5" minRefreshableVersion="3" recordCount="31">
  <cacheSource type="worksheet">
    <worksheetSource ref="A1:H32" sheet="Автоматизированный расчет"/>
  </cacheSource>
  <cacheFields count="8">
    <cacheField name="Script name" numFmtId="0">
      <sharedItems/>
    </cacheField>
    <cacheField name="transaction rq" numFmtId="0">
      <sharedItems containsBlank="1" count="14">
        <s v="Главная Welcome страница"/>
        <s v="Вход в систему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Просмотр квитанций"/>
        <s v="Отмена бронирования "/>
        <s v="Выход из системы"/>
        <s v="Перход на страницу регистрации"/>
        <s v="Заполнение полей регистарции"/>
        <s v="Переход на следуюущий эран после регистарции"/>
        <m u="1"/>
        <s v="Переход на страницу поиска билета" u="1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2"/>
    </cacheField>
    <cacheField name="pacing" numFmtId="0">
      <sharedItems containsSemiMixedTypes="0" containsString="0" containsNumber="1" containsInteger="1" minValue="37" maxValue="240"/>
    </cacheField>
    <cacheField name="одним пользователем в минуту" numFmtId="2">
      <sharedItems containsSemiMixedTypes="0" containsString="0" containsNumber="1" minValue="0.25" maxValue="1.6216216216216217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10" maxValue="61.538461538461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s v="Покупка билета"/>
    <x v="0"/>
    <n v="1.9633333333333336"/>
    <n v="57"/>
    <n v="1.0526315789473684"/>
    <n v="20"/>
    <n v="41.333333333333336"/>
  </r>
  <r>
    <s v="Покупка билета"/>
    <x v="1"/>
    <n v="1.9633333333333336"/>
    <n v="57"/>
    <n v="1.0526315789473684"/>
    <n v="20"/>
    <n v="41.333333333333336"/>
  </r>
  <r>
    <s v="Покупка билета"/>
    <x v="2"/>
    <n v="1.9633333333333336"/>
    <n v="57"/>
    <n v="1.0526315789473684"/>
    <n v="20"/>
    <n v="41.333333333333336"/>
  </r>
  <r>
    <s v="Покупка билета"/>
    <x v="3"/>
    <n v="1.9633333333333336"/>
    <n v="57"/>
    <n v="1.0526315789473684"/>
    <n v="20"/>
    <n v="41.333333333333336"/>
  </r>
  <r>
    <s v="Покупка билета"/>
    <x v="4"/>
    <n v="1.9633333333333336"/>
    <n v="57"/>
    <n v="1.0526315789473684"/>
    <n v="20"/>
    <n v="41.333333333333336"/>
  </r>
  <r>
    <s v="Покупка билета"/>
    <x v="5"/>
    <n v="1.9633333333333336"/>
    <n v="57"/>
    <n v="1.0526315789473684"/>
    <n v="20"/>
    <n v="41.333333333333336"/>
  </r>
  <r>
    <s v="Покупка билета"/>
    <x v="6"/>
    <n v="1.9633333333333336"/>
    <n v="57"/>
    <n v="1.0526315789473684"/>
    <n v="20"/>
    <n v="41.333333333333336"/>
  </r>
  <r>
    <s v="Логин и логаут"/>
    <x v="0"/>
    <n v="1.0416666666666667"/>
    <n v="25"/>
    <n v="2.4"/>
    <n v="20"/>
    <n v="50"/>
  </r>
  <r>
    <s v="Логин и логаут"/>
    <x v="1"/>
    <n v="1.0416666666666667"/>
    <n v="25"/>
    <n v="2.4"/>
    <n v="20"/>
    <n v="50"/>
  </r>
  <r>
    <s v="Логин и логаут"/>
    <x v="6"/>
    <n v="1.0416666666666667"/>
    <n v="25"/>
    <n v="2.4"/>
    <n v="20"/>
    <n v="50"/>
  </r>
  <r>
    <s v="Удаление брони"/>
    <x v="0"/>
    <n v="0.95833333333333337"/>
    <n v="115"/>
    <n v="0.52173913043478259"/>
    <n v="20"/>
    <n v="10"/>
  </r>
  <r>
    <s v="Удаление брони"/>
    <x v="1"/>
    <n v="0.95833333333333337"/>
    <n v="115"/>
    <n v="0.52173913043478259"/>
    <n v="20"/>
    <n v="10"/>
  </r>
  <r>
    <s v="Удаление брони"/>
    <x v="7"/>
    <n v="0.95833333333333337"/>
    <n v="115"/>
    <n v="0.52173913043478259"/>
    <n v="20"/>
    <n v="10"/>
  </r>
  <r>
    <s v="Удаление брони"/>
    <x v="8"/>
    <n v="0.95833333333333337"/>
    <n v="115"/>
    <n v="0.52173913043478259"/>
    <n v="20"/>
    <n v="10"/>
  </r>
  <r>
    <s v="Удаление брони"/>
    <x v="6"/>
    <n v="0.95833333333333337"/>
    <n v="115"/>
    <n v="0.52173913043478259"/>
    <n v="20"/>
    <n v="10"/>
  </r>
  <r>
    <s v="Поиск билета"/>
    <x v="0"/>
    <n v="1.0000000000000002"/>
    <n v="180"/>
    <n v="0.33333333333333331"/>
    <n v="20"/>
    <n v="6.6666666666666679"/>
  </r>
  <r>
    <s v="Поиск билета"/>
    <x v="0"/>
    <n v="1.0000000000000002"/>
    <n v="180"/>
    <n v="0.33333333333333331"/>
    <n v="20"/>
    <n v="6.6666666666666679"/>
  </r>
  <r>
    <s v="Поиск билета"/>
    <x v="1"/>
    <n v="1.0000000000000002"/>
    <n v="180"/>
    <n v="0.33333333333333331"/>
    <n v="20"/>
    <n v="6.6666666666666679"/>
  </r>
  <r>
    <s v="Поиск билета"/>
    <x v="2"/>
    <n v="1.0000000000000002"/>
    <n v="180"/>
    <n v="0.33333333333333331"/>
    <n v="20"/>
    <n v="6.6666666666666679"/>
  </r>
  <r>
    <s v="Поиск билета"/>
    <x v="3"/>
    <n v="1.0000000000000002"/>
    <n v="180"/>
    <n v="0.33333333333333331"/>
    <n v="20"/>
    <n v="6.6666666666666679"/>
  </r>
  <r>
    <s v="Поиск билета"/>
    <x v="4"/>
    <n v="1.0000000000000002"/>
    <n v="180"/>
    <n v="0.33333333333333331"/>
    <n v="20"/>
    <n v="6.6666666666666679"/>
  </r>
  <r>
    <s v="Поиск билета"/>
    <x v="6"/>
    <n v="1.0000000000000002"/>
    <n v="180"/>
    <n v="0.33333333333333331"/>
    <n v="20"/>
    <n v="6.6666666666666679"/>
  </r>
  <r>
    <s v="Просмотр текущих бронирований"/>
    <x v="0"/>
    <n v="1"/>
    <n v="30"/>
    <n v="2"/>
    <n v="20"/>
    <n v="40"/>
  </r>
  <r>
    <s v="Просмотр текущих бронирований"/>
    <x v="1"/>
    <n v="1"/>
    <n v="30"/>
    <n v="2"/>
    <n v="20"/>
    <n v="40"/>
  </r>
  <r>
    <s v="Просмотр текущих бронирований"/>
    <x v="7"/>
    <n v="1"/>
    <n v="30"/>
    <n v="2"/>
    <n v="20"/>
    <n v="40"/>
  </r>
  <r>
    <s v="Просмотр текущих бронирований"/>
    <x v="6"/>
    <n v="1"/>
    <n v="30"/>
    <n v="2"/>
    <n v="20"/>
    <n v="4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">
  <r>
    <s v="Покупка билета"/>
    <x v="0"/>
    <n v="1"/>
    <n v="2"/>
    <n v="39"/>
    <n v="1.5384615384615385"/>
    <n v="20"/>
    <n v="61.53846153846154"/>
  </r>
  <r>
    <s v="Покупка билета"/>
    <x v="1"/>
    <n v="1"/>
    <n v="2"/>
    <n v="39"/>
    <n v="1.5384615384615385"/>
    <n v="20"/>
    <n v="61.53846153846154"/>
  </r>
  <r>
    <s v="Покупка билета"/>
    <x v="2"/>
    <n v="1"/>
    <n v="2"/>
    <n v="39"/>
    <n v="1.5384615384615385"/>
    <n v="20"/>
    <n v="61.53846153846154"/>
  </r>
  <r>
    <s v="Покупка билета"/>
    <x v="3"/>
    <n v="1"/>
    <n v="2"/>
    <n v="39"/>
    <n v="1.5384615384615385"/>
    <n v="20"/>
    <n v="61.53846153846154"/>
  </r>
  <r>
    <s v="Покупка билета"/>
    <x v="4"/>
    <n v="1"/>
    <n v="2"/>
    <n v="39"/>
    <n v="1.5384615384615385"/>
    <n v="20"/>
    <n v="61.53846153846154"/>
  </r>
  <r>
    <s v="Покупка билета"/>
    <x v="5"/>
    <n v="1"/>
    <n v="2"/>
    <n v="39"/>
    <n v="1.5384615384615385"/>
    <n v="20"/>
    <n v="61.53846153846154"/>
  </r>
  <r>
    <s v="Покупка билета"/>
    <x v="6"/>
    <n v="1"/>
    <n v="2"/>
    <n v="39"/>
    <n v="1.5384615384615385"/>
    <n v="20"/>
    <n v="61.53846153846154"/>
  </r>
  <r>
    <s v="Удаление бронирования "/>
    <x v="0"/>
    <n v="1"/>
    <n v="1"/>
    <n v="50"/>
    <n v="1.2"/>
    <n v="20"/>
    <n v="24"/>
  </r>
  <r>
    <s v="Удаление бронирования "/>
    <x v="1"/>
    <n v="1"/>
    <n v="1"/>
    <n v="50"/>
    <n v="1.2"/>
    <n v="20"/>
    <n v="24"/>
  </r>
  <r>
    <s v="Удаление бронирования "/>
    <x v="6"/>
    <n v="1"/>
    <n v="1"/>
    <n v="50"/>
    <n v="1.2"/>
    <n v="20"/>
    <n v="24"/>
  </r>
  <r>
    <s v="Удаление бронирования "/>
    <x v="7"/>
    <n v="1"/>
    <n v="1"/>
    <n v="50"/>
    <n v="1.2"/>
    <n v="20"/>
    <n v="24"/>
  </r>
  <r>
    <s v="Удаление бронирования "/>
    <x v="8"/>
    <n v="1"/>
    <n v="1"/>
    <n v="50"/>
    <n v="1.2"/>
    <n v="20"/>
    <n v="24"/>
  </r>
  <r>
    <s v="Регистрация новых пользователей"/>
    <x v="0"/>
    <n v="1"/>
    <n v="1"/>
    <n v="37"/>
    <n v="1.6216216216216217"/>
    <n v="20"/>
    <n v="32.432432432432435"/>
  </r>
  <r>
    <s v="Регистрация новых пользователей"/>
    <x v="9"/>
    <n v="1"/>
    <n v="1"/>
    <n v="37"/>
    <n v="1.6216216216216217"/>
    <n v="20"/>
    <n v="32.432432432432435"/>
  </r>
  <r>
    <s v="Регистрация новых пользователей"/>
    <x v="10"/>
    <n v="1"/>
    <n v="1"/>
    <n v="37"/>
    <n v="1.6216216216216217"/>
    <n v="20"/>
    <n v="32.432432432432435"/>
  </r>
  <r>
    <s v="Регистрация новых пользователей"/>
    <x v="11"/>
    <n v="1"/>
    <n v="1"/>
    <n v="37"/>
    <n v="1.6216216216216217"/>
    <n v="20"/>
    <n v="32.432432432432435"/>
  </r>
  <r>
    <s v="Регистрация новых пользователей"/>
    <x v="8"/>
    <n v="1"/>
    <n v="1"/>
    <n v="37"/>
    <n v="1.6216216216216217"/>
    <n v="20"/>
    <n v="32.432432432432435"/>
  </r>
  <r>
    <s v="Логин"/>
    <x v="0"/>
    <n v="1"/>
    <n v="2"/>
    <n v="240"/>
    <n v="0.25"/>
    <n v="20"/>
    <n v="10"/>
  </r>
  <r>
    <s v="Логин"/>
    <x v="1"/>
    <n v="1"/>
    <n v="2"/>
    <n v="240"/>
    <n v="0.25"/>
    <n v="20"/>
    <n v="10"/>
  </r>
  <r>
    <s v="Логин"/>
    <x v="8"/>
    <n v="1"/>
    <n v="2"/>
    <n v="240"/>
    <n v="0.25"/>
    <n v="20"/>
    <n v="10"/>
  </r>
  <r>
    <s v="Поиск билета без покупки"/>
    <x v="0"/>
    <n v="1"/>
    <n v="2"/>
    <n v="85"/>
    <n v="0.70588235294117652"/>
    <n v="20"/>
    <n v="28.235294117647062"/>
  </r>
  <r>
    <s v="Поиск билета без покупки"/>
    <x v="1"/>
    <n v="1"/>
    <n v="2"/>
    <n v="85"/>
    <n v="0.70588235294117652"/>
    <n v="20"/>
    <n v="28.235294117647062"/>
  </r>
  <r>
    <s v="Поиск билета без покупки"/>
    <x v="2"/>
    <n v="1"/>
    <n v="2"/>
    <n v="85"/>
    <n v="0.70588235294117652"/>
    <n v="20"/>
    <n v="28.235294117647062"/>
  </r>
  <r>
    <s v="Поиск билета без покупки"/>
    <x v="3"/>
    <n v="1"/>
    <n v="2"/>
    <n v="85"/>
    <n v="0.70588235294117652"/>
    <n v="20"/>
    <n v="28.235294117647062"/>
  </r>
  <r>
    <s v="Поиск билета без покупки"/>
    <x v="4"/>
    <n v="1"/>
    <n v="2"/>
    <n v="85"/>
    <n v="0.70588235294117652"/>
    <n v="20"/>
    <n v="28.235294117647062"/>
  </r>
  <r>
    <s v="Поиск билета без покупки"/>
    <x v="8"/>
    <n v="1"/>
    <n v="2"/>
    <n v="85"/>
    <n v="0.70588235294117652"/>
    <n v="20"/>
    <n v="28.235294117647062"/>
  </r>
  <r>
    <s v="Ознакомление с путевым листом"/>
    <x v="0"/>
    <n v="1"/>
    <n v="2"/>
    <n v="200"/>
    <n v="0.3"/>
    <n v="20"/>
    <n v="12"/>
  </r>
  <r>
    <s v="Ознакомление с путевым листом"/>
    <x v="1"/>
    <n v="1"/>
    <n v="2"/>
    <n v="200"/>
    <n v="0.3"/>
    <n v="20"/>
    <n v="12"/>
  </r>
  <r>
    <s v="Ознакомление с путевым листом"/>
    <x v="2"/>
    <n v="1"/>
    <n v="2"/>
    <n v="200"/>
    <n v="0.3"/>
    <n v="20"/>
    <n v="12"/>
  </r>
  <r>
    <s v="Ознакомление с путевым листом"/>
    <x v="6"/>
    <n v="1"/>
    <n v="2"/>
    <n v="200"/>
    <n v="0.3"/>
    <n v="20"/>
    <n v="12"/>
  </r>
  <r>
    <s v="Ознакомление с путевым листом"/>
    <x v="8"/>
    <n v="1"/>
    <n v="2"/>
    <n v="200"/>
    <n v="0.3"/>
    <n v="20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 таблица1" cacheId="1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60:J70" firstHeaderRow="1" firstDataRow="1" firstDataCol="1"/>
  <pivotFields count="7">
    <pivotField showAll="0"/>
    <pivotField axis="axisRow" showAll="0">
      <items count="10">
        <item x="4"/>
        <item x="0"/>
        <item x="3"/>
        <item x="6"/>
        <item x="1"/>
        <item x="2"/>
        <item x="5"/>
        <item x="7"/>
        <item x="8"/>
        <item t="default"/>
      </items>
    </pivotField>
    <pivotField numFmtId="1" showAll="0"/>
    <pivotField showAll="0"/>
    <pivotField numFmtId="1" showAll="0"/>
    <pivotField showAll="0"/>
    <pivotField dataField="1" numFmtId="1" showAll="0" defaultSubtota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Сумма по полю Итого" fld="6" baseField="1" baseItem="0"/>
  </dataFields>
  <formats count="6">
    <format dxfId="5">
      <pivotArea collapsedLevelsAreSubtotals="1" fieldPosition="0">
        <references count="1">
          <reference field="1" count="0"/>
        </references>
      </pivotArea>
    </format>
    <format dxfId="4">
      <pivotArea collapsedLevelsAreSubtotals="1" fieldPosition="0">
        <references count="1">
          <reference field="1" count="0"/>
        </references>
      </pivotArea>
    </format>
    <format dxfId="3">
      <pivotArea dataOnly="0" labelOnly="1" fieldPosition="0">
        <references count="1">
          <reference field="1" count="1">
            <x v="4"/>
          </reference>
        </references>
      </pivotArea>
    </format>
    <format dxfId="2">
      <pivotArea dataOnly="0" labelOnly="1" fieldPosition="0">
        <references count="1">
          <reference field="1" count="1">
            <x v="3"/>
          </reference>
        </references>
      </pivotArea>
    </format>
    <format dxfId="1">
      <pivotArea dataOnly="0" labelOnly="1" fieldPosition="0">
        <references count="1">
          <reference field="1" count="1">
            <x v="6"/>
          </reference>
        </references>
      </pivotArea>
    </format>
    <format dxfId="0">
      <pivotArea dataOnly="0" labelOnly="1" fieldPosition="0">
        <references count="1">
          <reference field="1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2" cacheId="12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>
      <items count="15">
        <item x="1"/>
        <item x="4"/>
        <item x="8"/>
        <item x="3"/>
        <item x="5"/>
        <item x="7"/>
        <item x="6"/>
        <item x="0"/>
        <item x="9"/>
        <item x="10"/>
        <item x="11"/>
        <item x="2"/>
        <item m="1" x="12"/>
        <item m="1" x="1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полю Итого" fld="7" baseField="0" baseItem="0" numFmtId="1"/>
  </dataFields>
  <formats count="7">
    <format dxfId="12">
      <pivotArea outline="0" collapsedLevelsAreSubtotals="1" fieldPosition="0"/>
    </format>
    <format dxfId="11">
      <pivotArea outline="0" collapsedLevelsAreSubtotals="1" fieldPosition="0"/>
    </format>
    <format dxfId="10">
      <pivotArea outline="0" collapsedLevelsAreSubtotals="1" fieldPosition="0"/>
    </format>
    <format dxfId="9">
      <pivotArea outline="0" collapsedLevelsAreSubtotals="1" fieldPosition="0"/>
    </format>
    <format dxfId="8">
      <pivotArea outline="0" collapsedLevelsAreSubtotals="1" fieldPosition="0"/>
    </format>
    <format dxfId="7">
      <pivotArea outline="0" collapsedLevelsAreSubtotals="1" fieldPosition="0"/>
    </format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D13" sqref="D13"/>
    </sheetView>
  </sheetViews>
  <sheetFormatPr defaultRowHeight="14.5" x14ac:dyDescent="0.35"/>
  <cols>
    <col min="1" max="1" width="47.453125" bestFit="1" customWidth="1"/>
    <col min="2" max="2" width="14.1796875" bestFit="1" customWidth="1"/>
  </cols>
  <sheetData>
    <row r="1" spans="1:2" x14ac:dyDescent="0.35">
      <c r="A1" s="39" t="s">
        <v>79</v>
      </c>
      <c r="B1" s="39" t="s">
        <v>80</v>
      </c>
    </row>
    <row r="2" spans="1:2" x14ac:dyDescent="0.35">
      <c r="A2" s="77" t="str">
        <f>'Автоматизированный расчет'!A38</f>
        <v>Главная Welcome страница</v>
      </c>
      <c r="B2" s="80" t="s">
        <v>114</v>
      </c>
    </row>
    <row r="3" spans="1:2" x14ac:dyDescent="0.35">
      <c r="A3" s="77" t="str">
        <f>'Автоматизированный расчет'!A39</f>
        <v>Вход в систему</v>
      </c>
      <c r="B3" s="77" t="s">
        <v>24</v>
      </c>
    </row>
    <row r="4" spans="1:2" x14ac:dyDescent="0.35">
      <c r="A4" s="77" t="str">
        <f>'Автоматизированный расчет'!A40</f>
        <v>Переход на страницу поиска билетов</v>
      </c>
      <c r="B4" s="80" t="s">
        <v>111</v>
      </c>
    </row>
    <row r="5" spans="1:2" x14ac:dyDescent="0.35">
      <c r="A5" s="77" t="str">
        <f>'Автоматизированный расчет'!A41</f>
        <v xml:space="preserve">Заполнение полей для поиска билета </v>
      </c>
      <c r="B5" s="77" t="s">
        <v>23</v>
      </c>
    </row>
    <row r="6" spans="1:2" x14ac:dyDescent="0.35">
      <c r="A6" s="77" t="str">
        <f>'Автоматизированный расчет'!A42</f>
        <v xml:space="preserve">Выбор рейса из найденных </v>
      </c>
      <c r="B6" s="80" t="s">
        <v>26</v>
      </c>
    </row>
    <row r="7" spans="1:2" x14ac:dyDescent="0.35">
      <c r="A7" s="77" t="str">
        <f>'Автоматизированный расчет'!A43</f>
        <v>Оплата билета</v>
      </c>
      <c r="B7" s="80" t="s">
        <v>19</v>
      </c>
    </row>
    <row r="8" spans="1:2" x14ac:dyDescent="0.35">
      <c r="A8" s="77" t="str">
        <f>'Автоматизированный расчет'!A44</f>
        <v>Просмотр квитанций</v>
      </c>
      <c r="B8" s="80" t="s">
        <v>22</v>
      </c>
    </row>
    <row r="9" spans="1:2" x14ac:dyDescent="0.35">
      <c r="A9" s="77" t="str">
        <f>'Автоматизированный расчет'!A45</f>
        <v xml:space="preserve">Отмена бронирования </v>
      </c>
      <c r="B9" s="80" t="s">
        <v>21</v>
      </c>
    </row>
    <row r="10" spans="1:2" x14ac:dyDescent="0.35">
      <c r="A10" s="77" t="str">
        <f>'Автоматизированный расчет'!A46</f>
        <v>Выход из системы</v>
      </c>
      <c r="B10" s="80" t="s">
        <v>112</v>
      </c>
    </row>
    <row r="11" spans="1:2" x14ac:dyDescent="0.35">
      <c r="A11" s="77" t="str">
        <f>'Автоматизированный расчет'!A47</f>
        <v>Перход на страницу регистрации</v>
      </c>
      <c r="B11" s="80" t="s">
        <v>113</v>
      </c>
    </row>
    <row r="12" spans="1:2" x14ac:dyDescent="0.35">
      <c r="A12" s="77" t="str">
        <f>'Автоматизированный расчет'!A48</f>
        <v>Заполнение полей регистарции</v>
      </c>
      <c r="B12" s="80" t="s">
        <v>110</v>
      </c>
    </row>
    <row r="13" spans="1:2" x14ac:dyDescent="0.35">
      <c r="A13" s="77" t="str">
        <f>'Автоматизированный расчет'!A49</f>
        <v>Переход на следуюущий эран после регистарции</v>
      </c>
      <c r="B13" s="80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opLeftCell="A10" zoomScale="76" workbookViewId="0">
      <selection activeCell="A8" sqref="A8"/>
    </sheetView>
  </sheetViews>
  <sheetFormatPr defaultRowHeight="14.5" x14ac:dyDescent="0.35"/>
  <cols>
    <col min="1" max="1" width="36.453125" bestFit="1" customWidth="1"/>
  </cols>
  <sheetData>
    <row r="1" spans="1:13" x14ac:dyDescent="0.35">
      <c r="A1" s="80" t="s">
        <v>27</v>
      </c>
      <c r="B1" s="80" t="s">
        <v>81</v>
      </c>
      <c r="C1" s="80" t="s">
        <v>82</v>
      </c>
      <c r="D1" s="80" t="s">
        <v>83</v>
      </c>
      <c r="E1" s="80" t="s">
        <v>84</v>
      </c>
      <c r="F1" s="80" t="s">
        <v>85</v>
      </c>
      <c r="G1" s="80" t="s">
        <v>86</v>
      </c>
      <c r="H1" s="80" t="s">
        <v>28</v>
      </c>
      <c r="I1" s="80" t="s">
        <v>29</v>
      </c>
      <c r="J1" s="80" t="s">
        <v>30</v>
      </c>
    </row>
    <row r="2" spans="1:13" x14ac:dyDescent="0.35">
      <c r="A2" s="80" t="s">
        <v>21</v>
      </c>
      <c r="B2" s="80" t="s">
        <v>87</v>
      </c>
      <c r="C2" s="80">
        <v>3.6999999999999998E-2</v>
      </c>
      <c r="D2" s="80">
        <v>4.2000000000000003E-2</v>
      </c>
      <c r="E2" s="80">
        <v>0.05</v>
      </c>
      <c r="F2" s="80">
        <v>3.0000000000000001E-3</v>
      </c>
      <c r="G2" s="80">
        <v>4.7E-2</v>
      </c>
      <c r="H2" s="80">
        <v>24</v>
      </c>
      <c r="I2" s="80">
        <v>0</v>
      </c>
      <c r="J2" s="80">
        <v>0</v>
      </c>
      <c r="L2" s="79">
        <v>96</v>
      </c>
      <c r="M2" s="81">
        <v>96</v>
      </c>
    </row>
    <row r="3" spans="1:13" x14ac:dyDescent="0.35">
      <c r="A3" s="80" t="s">
        <v>22</v>
      </c>
      <c r="B3" s="80" t="s">
        <v>87</v>
      </c>
      <c r="C3" s="80">
        <v>7.8E-2</v>
      </c>
      <c r="D3" s="80">
        <v>0.115</v>
      </c>
      <c r="E3" s="80">
        <v>0.128</v>
      </c>
      <c r="F3" s="80">
        <v>1.4E-2</v>
      </c>
      <c r="G3" s="80">
        <v>0.126</v>
      </c>
      <c r="H3" s="80">
        <v>98</v>
      </c>
      <c r="I3" s="80">
        <v>0</v>
      </c>
      <c r="J3" s="80">
        <v>0</v>
      </c>
      <c r="L3" s="79">
        <v>392</v>
      </c>
      <c r="M3" s="81">
        <v>388</v>
      </c>
    </row>
    <row r="4" spans="1:13" x14ac:dyDescent="0.35">
      <c r="A4" s="80" t="s">
        <v>109</v>
      </c>
      <c r="B4" s="80" t="s">
        <v>87</v>
      </c>
      <c r="C4" s="80">
        <v>7.6999999999999999E-2</v>
      </c>
      <c r="D4" s="80">
        <v>8.6999999999999994E-2</v>
      </c>
      <c r="E4" s="80">
        <v>0.126</v>
      </c>
      <c r="F4" s="80">
        <v>1.2E-2</v>
      </c>
      <c r="G4" s="80">
        <v>9.6000000000000002E-2</v>
      </c>
      <c r="H4" s="80">
        <v>32</v>
      </c>
      <c r="I4" s="80">
        <v>0</v>
      </c>
      <c r="J4" s="80">
        <v>0</v>
      </c>
      <c r="L4" s="79">
        <v>128</v>
      </c>
      <c r="M4" s="81">
        <v>130</v>
      </c>
    </row>
    <row r="5" spans="1:13" x14ac:dyDescent="0.35">
      <c r="A5" s="80" t="s">
        <v>110</v>
      </c>
      <c r="B5" s="80" t="s">
        <v>87</v>
      </c>
      <c r="C5" s="80">
        <v>3.1E-2</v>
      </c>
      <c r="D5" s="80">
        <v>3.5000000000000003E-2</v>
      </c>
      <c r="E5" s="80">
        <v>0.04</v>
      </c>
      <c r="F5" s="80">
        <v>2E-3</v>
      </c>
      <c r="G5" s="80">
        <v>3.9E-2</v>
      </c>
      <c r="H5" s="80">
        <v>33</v>
      </c>
      <c r="I5" s="80">
        <v>0</v>
      </c>
      <c r="J5" s="80">
        <v>0</v>
      </c>
      <c r="L5" s="79">
        <v>132</v>
      </c>
      <c r="M5" s="81">
        <v>131</v>
      </c>
    </row>
    <row r="6" spans="1:13" x14ac:dyDescent="0.35">
      <c r="A6" s="80" t="s">
        <v>23</v>
      </c>
      <c r="B6" s="80" t="s">
        <v>87</v>
      </c>
      <c r="C6" s="80">
        <v>3.5000000000000003E-2</v>
      </c>
      <c r="D6" s="80">
        <v>4.4999999999999998E-2</v>
      </c>
      <c r="E6" s="80">
        <v>5.8999999999999997E-2</v>
      </c>
      <c r="F6" s="80">
        <v>7.0000000000000001E-3</v>
      </c>
      <c r="G6" s="80">
        <v>5.7000000000000002E-2</v>
      </c>
      <c r="H6" s="80">
        <v>88</v>
      </c>
      <c r="I6" s="80">
        <v>0</v>
      </c>
      <c r="J6" s="80">
        <v>0</v>
      </c>
      <c r="L6" s="79">
        <v>352</v>
      </c>
      <c r="M6" s="81">
        <v>356</v>
      </c>
    </row>
    <row r="7" spans="1:13" x14ac:dyDescent="0.35">
      <c r="A7" s="80" t="s">
        <v>111</v>
      </c>
      <c r="B7" s="80" t="s">
        <v>87</v>
      </c>
      <c r="C7" s="80">
        <v>8.4000000000000005E-2</v>
      </c>
      <c r="D7" s="80">
        <v>0.11799999999999999</v>
      </c>
      <c r="E7" s="80">
        <v>0.14299999999999999</v>
      </c>
      <c r="F7" s="80">
        <v>1.2E-2</v>
      </c>
      <c r="G7" s="80">
        <v>0.126</v>
      </c>
      <c r="H7" s="80">
        <v>102</v>
      </c>
      <c r="I7" s="80">
        <v>0</v>
      </c>
      <c r="J7" s="80">
        <v>0</v>
      </c>
      <c r="L7" s="79">
        <v>416</v>
      </c>
      <c r="M7" s="81">
        <v>408</v>
      </c>
    </row>
    <row r="8" spans="1:13" x14ac:dyDescent="0.35">
      <c r="A8" s="80" t="s">
        <v>112</v>
      </c>
      <c r="B8" s="80" t="s">
        <v>87</v>
      </c>
      <c r="C8" s="80">
        <v>5.7000000000000002E-2</v>
      </c>
      <c r="D8" s="80">
        <v>6.4000000000000001E-2</v>
      </c>
      <c r="E8" s="80">
        <v>8.3000000000000004E-2</v>
      </c>
      <c r="F8" s="80">
        <v>5.0000000000000001E-3</v>
      </c>
      <c r="G8" s="80">
        <v>7.0999999999999994E-2</v>
      </c>
      <c r="H8" s="80">
        <v>106</v>
      </c>
      <c r="I8" s="80">
        <v>0</v>
      </c>
      <c r="J8" s="80">
        <v>0</v>
      </c>
      <c r="L8" s="79">
        <v>424</v>
      </c>
      <c r="M8" s="81">
        <v>427</v>
      </c>
    </row>
    <row r="9" spans="1:13" x14ac:dyDescent="0.35">
      <c r="A9" s="80" t="s">
        <v>24</v>
      </c>
      <c r="B9" s="80" t="s">
        <v>87</v>
      </c>
      <c r="C9" s="80">
        <v>7.6999999999999999E-2</v>
      </c>
      <c r="D9" s="80">
        <v>9.7000000000000003E-2</v>
      </c>
      <c r="E9" s="80">
        <v>0.127</v>
      </c>
      <c r="F9" s="80">
        <v>1.4E-2</v>
      </c>
      <c r="G9" s="80">
        <v>0.125</v>
      </c>
      <c r="H9" s="80">
        <v>136</v>
      </c>
      <c r="I9" s="80">
        <v>0</v>
      </c>
      <c r="J9" s="80">
        <v>0</v>
      </c>
      <c r="L9" s="79">
        <v>544</v>
      </c>
      <c r="M9" s="81">
        <v>545</v>
      </c>
    </row>
    <row r="10" spans="1:13" x14ac:dyDescent="0.35">
      <c r="A10" s="80" t="s">
        <v>113</v>
      </c>
      <c r="B10" s="80" t="s">
        <v>87</v>
      </c>
      <c r="C10" s="80">
        <v>3.1E-2</v>
      </c>
      <c r="D10" s="80">
        <v>3.5999999999999997E-2</v>
      </c>
      <c r="E10" s="80">
        <v>4.5999999999999999E-2</v>
      </c>
      <c r="F10" s="80">
        <v>3.0000000000000001E-3</v>
      </c>
      <c r="G10" s="80">
        <v>0.04</v>
      </c>
      <c r="H10" s="80">
        <v>33</v>
      </c>
      <c r="I10" s="80">
        <v>0</v>
      </c>
      <c r="J10" s="80">
        <v>0</v>
      </c>
      <c r="L10" s="79">
        <v>132</v>
      </c>
      <c r="M10" s="81">
        <v>129</v>
      </c>
    </row>
    <row r="11" spans="1:13" x14ac:dyDescent="0.35">
      <c r="A11" s="80" t="s">
        <v>114</v>
      </c>
      <c r="B11" s="80" t="s">
        <v>87</v>
      </c>
      <c r="C11" s="80">
        <v>5.8000000000000003E-2</v>
      </c>
      <c r="D11" s="80">
        <v>6.9000000000000006E-2</v>
      </c>
      <c r="E11" s="80">
        <v>9.2999999999999999E-2</v>
      </c>
      <c r="F11" s="80">
        <v>8.0000000000000002E-3</v>
      </c>
      <c r="G11" s="80">
        <v>0.08</v>
      </c>
      <c r="H11" s="80">
        <v>169</v>
      </c>
      <c r="I11" s="80">
        <v>0</v>
      </c>
      <c r="J11" s="80">
        <v>0</v>
      </c>
      <c r="L11" s="79">
        <v>476</v>
      </c>
      <c r="M11" s="81">
        <v>673</v>
      </c>
    </row>
    <row r="12" spans="1:13" x14ac:dyDescent="0.35">
      <c r="A12" s="80" t="s">
        <v>19</v>
      </c>
      <c r="B12" s="80" t="s">
        <v>87</v>
      </c>
      <c r="C12" s="80">
        <v>3.6999999999999998E-2</v>
      </c>
      <c r="D12" s="80">
        <v>5.1999999999999998E-2</v>
      </c>
      <c r="E12" s="80">
        <v>6.5000000000000002E-2</v>
      </c>
      <c r="F12" s="80">
        <v>1.0999999999999999E-2</v>
      </c>
      <c r="G12" s="80">
        <v>6.4000000000000001E-2</v>
      </c>
      <c r="H12" s="80">
        <v>62</v>
      </c>
      <c r="I12" s="80">
        <v>0</v>
      </c>
      <c r="J12" s="80">
        <v>0</v>
      </c>
      <c r="L12" s="79">
        <v>248</v>
      </c>
      <c r="M12" s="81">
        <v>247</v>
      </c>
    </row>
    <row r="13" spans="1:13" x14ac:dyDescent="0.35">
      <c r="A13" s="80" t="s">
        <v>26</v>
      </c>
      <c r="B13" s="80" t="s">
        <v>87</v>
      </c>
      <c r="C13" s="80">
        <v>3.5999999999999997E-2</v>
      </c>
      <c r="D13" s="80">
        <v>4.1000000000000002E-2</v>
      </c>
      <c r="E13" s="80">
        <v>5.3999999999999999E-2</v>
      </c>
      <c r="F13" s="80">
        <v>3.0000000000000001E-3</v>
      </c>
      <c r="G13" s="80">
        <v>4.3999999999999997E-2</v>
      </c>
      <c r="H13" s="80">
        <v>88</v>
      </c>
      <c r="I13" s="80">
        <v>0</v>
      </c>
      <c r="J13" s="80">
        <v>0</v>
      </c>
      <c r="L13" s="79">
        <v>352</v>
      </c>
      <c r="M13" s="81">
        <v>357</v>
      </c>
    </row>
    <row r="18" spans="1:10" x14ac:dyDescent="0.35">
      <c r="A18" s="81" t="s">
        <v>27</v>
      </c>
      <c r="B18" s="81" t="s">
        <v>81</v>
      </c>
      <c r="C18" s="81" t="s">
        <v>82</v>
      </c>
      <c r="D18" s="81" t="s">
        <v>83</v>
      </c>
      <c r="E18" s="81" t="s">
        <v>84</v>
      </c>
      <c r="F18" s="81" t="s">
        <v>85</v>
      </c>
      <c r="G18" s="81" t="s">
        <v>86</v>
      </c>
      <c r="H18" s="81" t="s">
        <v>28</v>
      </c>
      <c r="I18" s="81" t="s">
        <v>29</v>
      </c>
      <c r="J18" s="81" t="s">
        <v>30</v>
      </c>
    </row>
    <row r="19" spans="1:10" x14ac:dyDescent="0.35">
      <c r="A19" s="81" t="s">
        <v>115</v>
      </c>
      <c r="B19" s="81" t="s">
        <v>87</v>
      </c>
      <c r="C19" s="81">
        <v>0.30499999999999999</v>
      </c>
      <c r="D19" s="81">
        <v>1.3520000000000001</v>
      </c>
      <c r="E19" s="81">
        <v>7.3380000000000001</v>
      </c>
      <c r="F19" s="81">
        <v>1.3160000000000001</v>
      </c>
      <c r="G19" s="81">
        <v>3.105</v>
      </c>
      <c r="H19" s="81">
        <v>129</v>
      </c>
      <c r="I19" s="81">
        <v>0</v>
      </c>
      <c r="J19" s="81">
        <v>0</v>
      </c>
    </row>
    <row r="20" spans="1:10" x14ac:dyDescent="0.35">
      <c r="A20" s="81" t="s">
        <v>108</v>
      </c>
      <c r="B20" s="81" t="s">
        <v>87</v>
      </c>
      <c r="C20" s="81">
        <v>0.30499999999999999</v>
      </c>
      <c r="D20" s="81">
        <v>1.3520000000000001</v>
      </c>
      <c r="E20" s="81">
        <v>7.3380000000000001</v>
      </c>
      <c r="F20" s="81">
        <v>0</v>
      </c>
      <c r="G20" s="81">
        <v>3.105</v>
      </c>
      <c r="H20" s="81">
        <v>129</v>
      </c>
      <c r="I20" s="81">
        <v>0</v>
      </c>
      <c r="J20" s="81">
        <v>0</v>
      </c>
    </row>
    <row r="21" spans="1:10" x14ac:dyDescent="0.35">
      <c r="A21" s="81" t="s">
        <v>116</v>
      </c>
      <c r="B21" s="81" t="s">
        <v>87</v>
      </c>
      <c r="C21" s="81">
        <v>0.52200000000000002</v>
      </c>
      <c r="D21" s="81">
        <v>1.548</v>
      </c>
      <c r="E21" s="81">
        <v>7.032</v>
      </c>
      <c r="F21" s="81">
        <v>1.2669999999999999</v>
      </c>
      <c r="G21" s="81">
        <v>3.2320000000000002</v>
      </c>
      <c r="H21" s="81">
        <v>244</v>
      </c>
      <c r="I21" s="81">
        <v>1</v>
      </c>
      <c r="J21" s="81">
        <v>0</v>
      </c>
    </row>
    <row r="22" spans="1:10" x14ac:dyDescent="0.35">
      <c r="A22" s="81" t="s">
        <v>108</v>
      </c>
      <c r="B22" s="81" t="s">
        <v>87</v>
      </c>
      <c r="C22" s="81">
        <v>0.52200000000000002</v>
      </c>
      <c r="D22" s="81">
        <v>1.548</v>
      </c>
      <c r="E22" s="81">
        <v>7.032</v>
      </c>
      <c r="F22" s="81">
        <v>0</v>
      </c>
      <c r="G22" s="81">
        <v>3.2320000000000002</v>
      </c>
      <c r="H22" s="81">
        <v>244</v>
      </c>
      <c r="I22" s="81">
        <v>1</v>
      </c>
      <c r="J22" s="81">
        <v>0</v>
      </c>
    </row>
    <row r="23" spans="1:10" x14ac:dyDescent="0.35">
      <c r="A23" s="81" t="s">
        <v>117</v>
      </c>
      <c r="B23" s="81" t="s">
        <v>87</v>
      </c>
      <c r="C23" s="81">
        <v>0.39900000000000002</v>
      </c>
      <c r="D23" s="81">
        <v>1.75</v>
      </c>
      <c r="E23" s="81">
        <v>8.0739999999999998</v>
      </c>
      <c r="F23" s="81">
        <v>1.615</v>
      </c>
      <c r="G23" s="81">
        <v>4.3739999999999997</v>
      </c>
      <c r="H23" s="81">
        <v>96</v>
      </c>
      <c r="I23" s="81">
        <v>0</v>
      </c>
      <c r="J23" s="81">
        <v>0</v>
      </c>
    </row>
    <row r="24" spans="1:10" x14ac:dyDescent="0.35">
      <c r="A24" s="81" t="s">
        <v>108</v>
      </c>
      <c r="B24" s="81" t="s">
        <v>87</v>
      </c>
      <c r="C24" s="81">
        <v>0.39900000000000002</v>
      </c>
      <c r="D24" s="81">
        <v>1.75</v>
      </c>
      <c r="E24" s="81">
        <v>8.0739999999999998</v>
      </c>
      <c r="F24" s="81">
        <v>0</v>
      </c>
      <c r="G24" s="81">
        <v>4.3739999999999997</v>
      </c>
      <c r="H24" s="81">
        <v>96</v>
      </c>
      <c r="I24" s="81">
        <v>0</v>
      </c>
      <c r="J24" s="81">
        <v>0</v>
      </c>
    </row>
    <row r="25" spans="1:10" x14ac:dyDescent="0.35">
      <c r="A25" s="81" t="s">
        <v>118</v>
      </c>
      <c r="B25" s="81" t="s">
        <v>87</v>
      </c>
      <c r="C25" s="81">
        <v>0.42199999999999999</v>
      </c>
      <c r="D25" s="81">
        <v>1.825</v>
      </c>
      <c r="E25" s="81">
        <v>7.5739999999999998</v>
      </c>
      <c r="F25" s="81">
        <v>1.6339999999999999</v>
      </c>
      <c r="G25" s="81">
        <v>4.6539999999999999</v>
      </c>
      <c r="H25" s="81">
        <v>114</v>
      </c>
      <c r="I25" s="81">
        <v>0</v>
      </c>
      <c r="J25" s="81">
        <v>0</v>
      </c>
    </row>
    <row r="26" spans="1:10" x14ac:dyDescent="0.35">
      <c r="A26" s="81" t="s">
        <v>108</v>
      </c>
      <c r="B26" s="81" t="s">
        <v>87</v>
      </c>
      <c r="C26" s="81">
        <v>0.42199999999999999</v>
      </c>
      <c r="D26" s="81">
        <v>1.825</v>
      </c>
      <c r="E26" s="81">
        <v>7.5739999999999998</v>
      </c>
      <c r="F26" s="81">
        <v>0</v>
      </c>
      <c r="G26" s="81">
        <v>4.6539999999999999</v>
      </c>
      <c r="H26" s="81">
        <v>114</v>
      </c>
      <c r="I26" s="81">
        <v>0</v>
      </c>
      <c r="J26" s="81">
        <v>0</v>
      </c>
    </row>
    <row r="27" spans="1:10" x14ac:dyDescent="0.35">
      <c r="A27" s="81" t="s">
        <v>119</v>
      </c>
      <c r="B27" s="81" t="s">
        <v>87</v>
      </c>
      <c r="C27" s="81">
        <v>0.47499999999999998</v>
      </c>
      <c r="D27" s="81">
        <v>2.6720000000000002</v>
      </c>
      <c r="E27" s="81">
        <v>9.0540000000000003</v>
      </c>
      <c r="F27" s="81">
        <v>2.3050000000000002</v>
      </c>
      <c r="G27" s="81">
        <v>6.5979999999999999</v>
      </c>
      <c r="H27" s="81">
        <v>48</v>
      </c>
      <c r="I27" s="81">
        <v>0</v>
      </c>
      <c r="J27" s="81">
        <v>0</v>
      </c>
    </row>
    <row r="28" spans="1:10" x14ac:dyDescent="0.35">
      <c r="A28" s="81" t="s">
        <v>108</v>
      </c>
      <c r="B28" s="81" t="s">
        <v>87</v>
      </c>
      <c r="C28" s="81">
        <v>0.47499999999999998</v>
      </c>
      <c r="D28" s="81">
        <v>2.6720000000000002</v>
      </c>
      <c r="E28" s="81">
        <v>9.0540000000000003</v>
      </c>
      <c r="F28" s="81">
        <v>0</v>
      </c>
      <c r="G28" s="81">
        <v>6.5979999999999999</v>
      </c>
      <c r="H28" s="81">
        <v>48</v>
      </c>
      <c r="I28" s="81">
        <v>0</v>
      </c>
      <c r="J28" s="81">
        <v>0</v>
      </c>
    </row>
    <row r="29" spans="1:10" x14ac:dyDescent="0.35">
      <c r="A29" s="81" t="s">
        <v>120</v>
      </c>
      <c r="B29" s="81" t="s">
        <v>87</v>
      </c>
      <c r="C29" s="81">
        <v>0.24399999999999999</v>
      </c>
      <c r="D29" s="81">
        <v>1.099</v>
      </c>
      <c r="E29" s="81">
        <v>4.9820000000000002</v>
      </c>
      <c r="F29" s="81">
        <v>1.248</v>
      </c>
      <c r="G29" s="81">
        <v>2.9060000000000001</v>
      </c>
      <c r="H29" s="81">
        <v>40</v>
      </c>
      <c r="I29" s="81">
        <v>0</v>
      </c>
      <c r="J29" s="81">
        <v>0</v>
      </c>
    </row>
    <row r="30" spans="1:10" x14ac:dyDescent="0.35">
      <c r="A30" s="81" t="s">
        <v>108</v>
      </c>
      <c r="B30" s="81" t="s">
        <v>87</v>
      </c>
      <c r="C30" s="81">
        <v>0.24399999999999999</v>
      </c>
      <c r="D30" s="81">
        <v>1.099</v>
      </c>
      <c r="E30" s="81">
        <v>4.9820000000000002</v>
      </c>
      <c r="F30" s="81">
        <v>0</v>
      </c>
      <c r="G30" s="81">
        <v>2.9060000000000001</v>
      </c>
      <c r="H30" s="81">
        <v>40</v>
      </c>
      <c r="I30" s="81">
        <v>0</v>
      </c>
      <c r="J30" s="81">
        <v>0</v>
      </c>
    </row>
    <row r="31" spans="1:10" x14ac:dyDescent="0.35">
      <c r="A31" s="81" t="s">
        <v>106</v>
      </c>
      <c r="B31" s="81" t="s">
        <v>87</v>
      </c>
      <c r="C31" s="81">
        <v>0.24399999999999999</v>
      </c>
      <c r="D31" s="81">
        <v>1.64</v>
      </c>
      <c r="E31" s="81">
        <v>9.0540000000000003</v>
      </c>
      <c r="F31" s="81">
        <v>1.5289999999999999</v>
      </c>
      <c r="G31" s="81">
        <v>3.927</v>
      </c>
      <c r="H31" s="81">
        <v>671</v>
      </c>
      <c r="I31" s="81">
        <v>1</v>
      </c>
      <c r="J31" s="81">
        <v>0</v>
      </c>
    </row>
    <row r="32" spans="1:10" x14ac:dyDescent="0.35">
      <c r="A32" s="81" t="s">
        <v>108</v>
      </c>
      <c r="B32" s="81" t="s">
        <v>87</v>
      </c>
      <c r="C32" s="81">
        <v>0.24399999999999999</v>
      </c>
      <c r="D32" s="81">
        <v>1.64</v>
      </c>
      <c r="E32" s="81">
        <v>9.0540000000000003</v>
      </c>
      <c r="F32" s="81">
        <v>0</v>
      </c>
      <c r="G32" s="81">
        <v>3.927</v>
      </c>
      <c r="H32" s="81">
        <v>671</v>
      </c>
      <c r="I32" s="81">
        <v>1</v>
      </c>
      <c r="J32" s="81">
        <v>0</v>
      </c>
    </row>
    <row r="33" spans="1:10" x14ac:dyDescent="0.35">
      <c r="A33" s="81" t="s">
        <v>21</v>
      </c>
      <c r="B33" s="81" t="s">
        <v>87</v>
      </c>
      <c r="C33" s="81">
        <v>4.5999999999999999E-2</v>
      </c>
      <c r="D33" s="81">
        <v>0.17199999999999999</v>
      </c>
      <c r="E33" s="81">
        <v>1.488</v>
      </c>
      <c r="F33" s="81">
        <v>0.30599999999999999</v>
      </c>
      <c r="G33" s="81">
        <v>0.245</v>
      </c>
      <c r="H33" s="81">
        <v>96</v>
      </c>
      <c r="I33" s="81">
        <v>0</v>
      </c>
      <c r="J33" s="81">
        <v>0</v>
      </c>
    </row>
    <row r="34" spans="1:10" x14ac:dyDescent="0.35">
      <c r="A34" s="81" t="s">
        <v>108</v>
      </c>
      <c r="B34" s="81" t="s">
        <v>87</v>
      </c>
      <c r="C34" s="81">
        <v>4.5999999999999999E-2</v>
      </c>
      <c r="D34" s="81">
        <v>0.17199999999999999</v>
      </c>
      <c r="E34" s="81">
        <v>1.488</v>
      </c>
      <c r="F34" s="81">
        <v>0</v>
      </c>
      <c r="G34" s="81">
        <v>0.245</v>
      </c>
      <c r="H34" s="81">
        <v>96</v>
      </c>
      <c r="I34" s="81">
        <v>0</v>
      </c>
      <c r="J34" s="81">
        <v>0</v>
      </c>
    </row>
    <row r="35" spans="1:10" x14ac:dyDescent="0.35">
      <c r="A35" s="81" t="s">
        <v>22</v>
      </c>
      <c r="B35" s="81" t="s">
        <v>87</v>
      </c>
      <c r="C35" s="81">
        <v>9.0999999999999998E-2</v>
      </c>
      <c r="D35" s="81">
        <v>0.39600000000000002</v>
      </c>
      <c r="E35" s="81">
        <v>3.762</v>
      </c>
      <c r="F35" s="81">
        <v>0.59199999999999997</v>
      </c>
      <c r="G35" s="81">
        <v>1.1599999999999999</v>
      </c>
      <c r="H35" s="81">
        <v>388</v>
      </c>
      <c r="I35" s="81">
        <v>0</v>
      </c>
      <c r="J35" s="81">
        <v>0</v>
      </c>
    </row>
    <row r="36" spans="1:10" x14ac:dyDescent="0.35">
      <c r="A36" s="81" t="s">
        <v>108</v>
      </c>
      <c r="B36" s="81" t="s">
        <v>87</v>
      </c>
      <c r="C36" s="81">
        <v>9.0999999999999998E-2</v>
      </c>
      <c r="D36" s="81">
        <v>0.39600000000000002</v>
      </c>
      <c r="E36" s="81">
        <v>3.762</v>
      </c>
      <c r="F36" s="81">
        <v>0</v>
      </c>
      <c r="G36" s="81">
        <v>1.1599999999999999</v>
      </c>
      <c r="H36" s="81">
        <v>388</v>
      </c>
      <c r="I36" s="81">
        <v>0</v>
      </c>
      <c r="J36" s="81">
        <v>0</v>
      </c>
    </row>
    <row r="37" spans="1:10" x14ac:dyDescent="0.35">
      <c r="A37" s="81" t="s">
        <v>109</v>
      </c>
      <c r="B37" s="81" t="s">
        <v>87</v>
      </c>
      <c r="C37" s="81">
        <v>0.08</v>
      </c>
      <c r="D37" s="81">
        <v>0.39200000000000002</v>
      </c>
      <c r="E37" s="81">
        <v>3.5430000000000001</v>
      </c>
      <c r="F37" s="81">
        <v>0.56599999999999995</v>
      </c>
      <c r="G37" s="81">
        <v>1.2649999999999999</v>
      </c>
      <c r="H37" s="81">
        <v>130</v>
      </c>
      <c r="I37" s="81">
        <v>0</v>
      </c>
      <c r="J37" s="81">
        <v>0</v>
      </c>
    </row>
    <row r="38" spans="1:10" x14ac:dyDescent="0.35">
      <c r="A38" s="81" t="s">
        <v>108</v>
      </c>
      <c r="B38" s="81" t="s">
        <v>87</v>
      </c>
      <c r="C38" s="81">
        <v>0.08</v>
      </c>
      <c r="D38" s="81">
        <v>0.39200000000000002</v>
      </c>
      <c r="E38" s="81">
        <v>3.5430000000000001</v>
      </c>
      <c r="F38" s="81">
        <v>0</v>
      </c>
      <c r="G38" s="81">
        <v>1.2649999999999999</v>
      </c>
      <c r="H38" s="81">
        <v>130</v>
      </c>
      <c r="I38" s="81">
        <v>0</v>
      </c>
      <c r="J38" s="81">
        <v>0</v>
      </c>
    </row>
    <row r="39" spans="1:10" x14ac:dyDescent="0.35">
      <c r="A39" s="81" t="s">
        <v>110</v>
      </c>
      <c r="B39" s="81" t="s">
        <v>87</v>
      </c>
      <c r="C39" s="81">
        <v>0.03</v>
      </c>
      <c r="D39" s="81">
        <v>7.2999999999999995E-2</v>
      </c>
      <c r="E39" s="81">
        <v>1.071</v>
      </c>
      <c r="F39" s="81">
        <v>0.122</v>
      </c>
      <c r="G39" s="81">
        <v>8.2000000000000003E-2</v>
      </c>
      <c r="H39" s="81">
        <v>131</v>
      </c>
      <c r="I39" s="81">
        <v>0</v>
      </c>
      <c r="J39" s="81">
        <v>0</v>
      </c>
    </row>
    <row r="40" spans="1:10" x14ac:dyDescent="0.35">
      <c r="A40" s="81" t="s">
        <v>108</v>
      </c>
      <c r="B40" s="81" t="s">
        <v>87</v>
      </c>
      <c r="C40" s="81">
        <v>0.03</v>
      </c>
      <c r="D40" s="81">
        <v>7.2999999999999995E-2</v>
      </c>
      <c r="E40" s="81">
        <v>1.071</v>
      </c>
      <c r="F40" s="81">
        <v>0</v>
      </c>
      <c r="G40" s="81">
        <v>8.2000000000000003E-2</v>
      </c>
      <c r="H40" s="81">
        <v>131</v>
      </c>
      <c r="I40" s="81">
        <v>0</v>
      </c>
      <c r="J40" s="81">
        <v>0</v>
      </c>
    </row>
    <row r="41" spans="1:10" x14ac:dyDescent="0.35">
      <c r="A41" s="81" t="s">
        <v>23</v>
      </c>
      <c r="B41" s="81" t="s">
        <v>87</v>
      </c>
      <c r="C41" s="81">
        <v>3.4000000000000002E-2</v>
      </c>
      <c r="D41" s="81">
        <v>0.124</v>
      </c>
      <c r="E41" s="81">
        <v>2.0529999999999999</v>
      </c>
      <c r="F41" s="81">
        <v>0.23</v>
      </c>
      <c r="G41" s="81">
        <v>0.14399999999999999</v>
      </c>
      <c r="H41" s="81">
        <v>356</v>
      </c>
      <c r="I41" s="81">
        <v>0</v>
      </c>
      <c r="J41" s="81">
        <v>0</v>
      </c>
    </row>
    <row r="42" spans="1:10" x14ac:dyDescent="0.35">
      <c r="A42" s="81" t="s">
        <v>108</v>
      </c>
      <c r="B42" s="81" t="s">
        <v>87</v>
      </c>
      <c r="C42" s="81">
        <v>3.4000000000000002E-2</v>
      </c>
      <c r="D42" s="81">
        <v>0.124</v>
      </c>
      <c r="E42" s="81">
        <v>2.0529999999999999</v>
      </c>
      <c r="F42" s="81">
        <v>0</v>
      </c>
      <c r="G42" s="81">
        <v>0.14399999999999999</v>
      </c>
      <c r="H42" s="81">
        <v>356</v>
      </c>
      <c r="I42" s="81">
        <v>0</v>
      </c>
      <c r="J42" s="81">
        <v>0</v>
      </c>
    </row>
    <row r="43" spans="1:10" x14ac:dyDescent="0.35">
      <c r="A43" s="81" t="s">
        <v>111</v>
      </c>
      <c r="B43" s="81" t="s">
        <v>87</v>
      </c>
      <c r="C43" s="81">
        <v>8.3000000000000004E-2</v>
      </c>
      <c r="D43" s="81">
        <v>0.27100000000000002</v>
      </c>
      <c r="E43" s="81">
        <v>4.6440000000000001</v>
      </c>
      <c r="F43" s="81">
        <v>0.59799999999999998</v>
      </c>
      <c r="G43" s="81">
        <v>0.17399999999999999</v>
      </c>
      <c r="H43" s="81">
        <v>408</v>
      </c>
      <c r="I43" s="81">
        <v>1</v>
      </c>
      <c r="J43" s="81">
        <v>0</v>
      </c>
    </row>
    <row r="44" spans="1:10" x14ac:dyDescent="0.35">
      <c r="A44" s="81" t="s">
        <v>108</v>
      </c>
      <c r="B44" s="81" t="s">
        <v>87</v>
      </c>
      <c r="C44" s="81">
        <v>8.3000000000000004E-2</v>
      </c>
      <c r="D44" s="81">
        <v>0.27100000000000002</v>
      </c>
      <c r="E44" s="81">
        <v>4.6440000000000001</v>
      </c>
      <c r="F44" s="81">
        <v>0</v>
      </c>
      <c r="G44" s="81">
        <v>0.17399999999999999</v>
      </c>
      <c r="H44" s="81">
        <v>408</v>
      </c>
      <c r="I44" s="81">
        <v>1</v>
      </c>
      <c r="J44" s="81">
        <v>0</v>
      </c>
    </row>
    <row r="45" spans="1:10" x14ac:dyDescent="0.35">
      <c r="A45" s="81" t="s">
        <v>112</v>
      </c>
      <c r="B45" s="81" t="s">
        <v>87</v>
      </c>
      <c r="C45" s="81">
        <v>5.5E-2</v>
      </c>
      <c r="D45" s="81">
        <v>0.28999999999999998</v>
      </c>
      <c r="E45" s="81">
        <v>3.7530000000000001</v>
      </c>
      <c r="F45" s="81">
        <v>0.53300000000000003</v>
      </c>
      <c r="G45" s="81">
        <v>0.91700000000000004</v>
      </c>
      <c r="H45" s="81">
        <v>427</v>
      </c>
      <c r="I45" s="81">
        <v>0</v>
      </c>
      <c r="J45" s="81">
        <v>0</v>
      </c>
    </row>
    <row r="46" spans="1:10" x14ac:dyDescent="0.35">
      <c r="A46" s="81" t="s">
        <v>108</v>
      </c>
      <c r="B46" s="81" t="s">
        <v>87</v>
      </c>
      <c r="C46" s="81">
        <v>5.5E-2</v>
      </c>
      <c r="D46" s="81">
        <v>0.28999999999999998</v>
      </c>
      <c r="E46" s="81">
        <v>3.7530000000000001</v>
      </c>
      <c r="F46" s="81">
        <v>0</v>
      </c>
      <c r="G46" s="81">
        <v>0.91700000000000004</v>
      </c>
      <c r="H46" s="81">
        <v>427</v>
      </c>
      <c r="I46" s="81">
        <v>0</v>
      </c>
      <c r="J46" s="81">
        <v>0</v>
      </c>
    </row>
    <row r="47" spans="1:10" x14ac:dyDescent="0.35">
      <c r="A47" s="81" t="s">
        <v>24</v>
      </c>
      <c r="B47" s="81" t="s">
        <v>87</v>
      </c>
      <c r="C47" s="81">
        <v>7.9000000000000001E-2</v>
      </c>
      <c r="D47" s="81">
        <v>0.49</v>
      </c>
      <c r="E47" s="81">
        <v>4.633</v>
      </c>
      <c r="F47" s="81">
        <v>0.80300000000000005</v>
      </c>
      <c r="G47" s="81">
        <v>1.6559999999999999</v>
      </c>
      <c r="H47" s="81">
        <v>545</v>
      </c>
      <c r="I47" s="81">
        <v>0</v>
      </c>
      <c r="J47" s="81">
        <v>0</v>
      </c>
    </row>
    <row r="48" spans="1:10" x14ac:dyDescent="0.35">
      <c r="A48" s="81" t="s">
        <v>108</v>
      </c>
      <c r="B48" s="81" t="s">
        <v>87</v>
      </c>
      <c r="C48" s="81">
        <v>7.9000000000000001E-2</v>
      </c>
      <c r="D48" s="81">
        <v>0.49</v>
      </c>
      <c r="E48" s="81">
        <v>4.633</v>
      </c>
      <c r="F48" s="81">
        <v>0</v>
      </c>
      <c r="G48" s="81">
        <v>1.6559999999999999</v>
      </c>
      <c r="H48" s="81">
        <v>545</v>
      </c>
      <c r="I48" s="81">
        <v>0</v>
      </c>
      <c r="J48" s="81">
        <v>0</v>
      </c>
    </row>
    <row r="49" spans="1:10" x14ac:dyDescent="0.35">
      <c r="A49" s="81" t="s">
        <v>113</v>
      </c>
      <c r="B49" s="81" t="s">
        <v>87</v>
      </c>
      <c r="C49" s="81">
        <v>3.2000000000000001E-2</v>
      </c>
      <c r="D49" s="81">
        <v>0.21099999999999999</v>
      </c>
      <c r="E49" s="81">
        <v>1.79</v>
      </c>
      <c r="F49" s="81">
        <v>0.39600000000000002</v>
      </c>
      <c r="G49" s="81">
        <v>0.92</v>
      </c>
      <c r="H49" s="81">
        <v>129</v>
      </c>
      <c r="I49" s="81">
        <v>0</v>
      </c>
      <c r="J49" s="81">
        <v>0</v>
      </c>
    </row>
    <row r="50" spans="1:10" x14ac:dyDescent="0.35">
      <c r="A50" s="81" t="s">
        <v>108</v>
      </c>
      <c r="B50" s="81" t="s">
        <v>87</v>
      </c>
      <c r="C50" s="81">
        <v>3.2000000000000001E-2</v>
      </c>
      <c r="D50" s="81">
        <v>0.21099999999999999</v>
      </c>
      <c r="E50" s="81">
        <v>1.79</v>
      </c>
      <c r="F50" s="81">
        <v>0</v>
      </c>
      <c r="G50" s="81">
        <v>0.92</v>
      </c>
      <c r="H50" s="81">
        <v>129</v>
      </c>
      <c r="I50" s="81">
        <v>0</v>
      </c>
      <c r="J50" s="81">
        <v>0</v>
      </c>
    </row>
    <row r="51" spans="1:10" x14ac:dyDescent="0.35">
      <c r="A51" s="81" t="s">
        <v>114</v>
      </c>
      <c r="B51" s="81" t="s">
        <v>87</v>
      </c>
      <c r="C51" s="81">
        <v>5.8000000000000003E-2</v>
      </c>
      <c r="D51" s="81">
        <v>0.32800000000000001</v>
      </c>
      <c r="E51" s="81">
        <v>4.3440000000000003</v>
      </c>
      <c r="F51" s="81">
        <v>0.68600000000000005</v>
      </c>
      <c r="G51" s="81">
        <v>1.0149999999999999</v>
      </c>
      <c r="H51" s="81">
        <v>673</v>
      </c>
      <c r="I51" s="81">
        <v>0</v>
      </c>
      <c r="J51" s="81">
        <v>0</v>
      </c>
    </row>
    <row r="52" spans="1:10" x14ac:dyDescent="0.35">
      <c r="A52" s="81" t="s">
        <v>108</v>
      </c>
      <c r="B52" s="81" t="s">
        <v>87</v>
      </c>
      <c r="C52" s="81">
        <v>5.8000000000000003E-2</v>
      </c>
      <c r="D52" s="81">
        <v>0.32800000000000001</v>
      </c>
      <c r="E52" s="81">
        <v>4.3440000000000003</v>
      </c>
      <c r="F52" s="81">
        <v>0</v>
      </c>
      <c r="G52" s="81">
        <v>1.0149999999999999</v>
      </c>
      <c r="H52" s="81">
        <v>673</v>
      </c>
      <c r="I52" s="81">
        <v>0</v>
      </c>
      <c r="J52" s="81">
        <v>0</v>
      </c>
    </row>
    <row r="53" spans="1:10" x14ac:dyDescent="0.35">
      <c r="A53" s="81" t="s">
        <v>19</v>
      </c>
      <c r="B53" s="81" t="s">
        <v>87</v>
      </c>
      <c r="C53" s="81">
        <v>3.5999999999999997E-2</v>
      </c>
      <c r="D53" s="81">
        <v>0.26</v>
      </c>
      <c r="E53" s="81">
        <v>3.4769999999999999</v>
      </c>
      <c r="F53" s="81">
        <v>0.50700000000000001</v>
      </c>
      <c r="G53" s="81">
        <v>0.79300000000000004</v>
      </c>
      <c r="H53" s="81">
        <v>247</v>
      </c>
      <c r="I53" s="81">
        <v>0</v>
      </c>
      <c r="J53" s="81">
        <v>0</v>
      </c>
    </row>
    <row r="54" spans="1:10" x14ac:dyDescent="0.35">
      <c r="A54" s="81" t="s">
        <v>108</v>
      </c>
      <c r="B54" s="81" t="s">
        <v>87</v>
      </c>
      <c r="C54" s="81">
        <v>3.5999999999999997E-2</v>
      </c>
      <c r="D54" s="81">
        <v>0.26</v>
      </c>
      <c r="E54" s="81">
        <v>3.4769999999999999</v>
      </c>
      <c r="F54" s="81">
        <v>0</v>
      </c>
      <c r="G54" s="81">
        <v>0.79300000000000004</v>
      </c>
      <c r="H54" s="81">
        <v>247</v>
      </c>
      <c r="I54" s="81">
        <v>0</v>
      </c>
      <c r="J54" s="81">
        <v>0</v>
      </c>
    </row>
    <row r="55" spans="1:10" x14ac:dyDescent="0.35">
      <c r="A55" s="81" t="s">
        <v>26</v>
      </c>
      <c r="B55" s="81" t="s">
        <v>87</v>
      </c>
      <c r="C55" s="81">
        <v>3.5000000000000003E-2</v>
      </c>
      <c r="D55" s="81">
        <v>5.8000000000000003E-2</v>
      </c>
      <c r="E55" s="81">
        <v>0.105</v>
      </c>
      <c r="F55" s="81">
        <v>1.6E-2</v>
      </c>
      <c r="G55" s="81">
        <v>8.6999999999999994E-2</v>
      </c>
      <c r="H55" s="81">
        <v>357</v>
      </c>
      <c r="I55" s="81">
        <v>0</v>
      </c>
      <c r="J55" s="81">
        <v>0</v>
      </c>
    </row>
    <row r="56" spans="1:10" x14ac:dyDescent="0.35">
      <c r="A56" s="81" t="s">
        <v>108</v>
      </c>
      <c r="B56" s="81" t="s">
        <v>87</v>
      </c>
      <c r="C56" s="81">
        <v>3.5000000000000003E-2</v>
      </c>
      <c r="D56" s="81">
        <v>5.8000000000000003E-2</v>
      </c>
      <c r="E56" s="81">
        <v>0.105</v>
      </c>
      <c r="F56" s="81">
        <v>0</v>
      </c>
      <c r="G56" s="81">
        <v>8.6999999999999994E-2</v>
      </c>
      <c r="H56" s="81">
        <v>357</v>
      </c>
      <c r="I56" s="81">
        <v>0</v>
      </c>
      <c r="J56" s="8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88"/>
  <sheetViews>
    <sheetView topLeftCell="A32" zoomScale="70" zoomScaleNormal="70" workbookViewId="0">
      <selection activeCell="K41" sqref="K41"/>
    </sheetView>
  </sheetViews>
  <sheetFormatPr defaultColWidth="11.453125" defaultRowHeight="14.5" x14ac:dyDescent="0.35"/>
  <cols>
    <col min="1" max="1" width="31.7265625" customWidth="1"/>
    <col min="2" max="2" width="31.453125" bestFit="1" customWidth="1"/>
    <col min="3" max="3" width="18.1796875" customWidth="1"/>
    <col min="4" max="4" width="17.81640625" customWidth="1"/>
    <col min="5" max="5" width="19.1796875" bestFit="1" customWidth="1"/>
    <col min="6" max="6" width="13.36328125" customWidth="1"/>
    <col min="7" max="7" width="18.7265625" bestFit="1" customWidth="1"/>
    <col min="8" max="8" width="17" customWidth="1"/>
    <col min="9" max="9" width="46.1796875" customWidth="1"/>
    <col min="10" max="10" width="21.453125" customWidth="1"/>
    <col min="11" max="11" width="18.1796875" customWidth="1"/>
    <col min="12" max="12" width="26.7265625" customWidth="1"/>
    <col min="13" max="13" width="35.1796875" bestFit="1" customWidth="1"/>
    <col min="14" max="14" width="17.81640625" customWidth="1"/>
    <col min="15" max="15" width="23.81640625" customWidth="1"/>
    <col min="16" max="16" width="23.453125" bestFit="1" customWidth="1"/>
    <col min="17" max="17" width="26" customWidth="1"/>
    <col min="18" max="18" width="10.54296875" customWidth="1"/>
    <col min="19" max="19" width="34.1796875" bestFit="1" customWidth="1"/>
    <col min="20" max="20" width="12.26953125" customWidth="1"/>
  </cols>
  <sheetData>
    <row r="1" spans="1:23" ht="15" thickBot="1" x14ac:dyDescent="0.4">
      <c r="A1" t="s">
        <v>36</v>
      </c>
      <c r="B1" t="s">
        <v>37</v>
      </c>
      <c r="C1" t="s">
        <v>38</v>
      </c>
      <c r="D1" t="s">
        <v>42</v>
      </c>
      <c r="E1" t="s">
        <v>52</v>
      </c>
      <c r="F1" t="s">
        <v>53</v>
      </c>
      <c r="G1" t="s">
        <v>54</v>
      </c>
      <c r="H1" t="s">
        <v>7</v>
      </c>
      <c r="I1" s="16" t="s">
        <v>39</v>
      </c>
      <c r="J1" t="s">
        <v>51</v>
      </c>
      <c r="M1" s="51" t="s">
        <v>41</v>
      </c>
      <c r="N1" s="52" t="s">
        <v>43</v>
      </c>
      <c r="O1" s="52" t="s">
        <v>44</v>
      </c>
      <c r="P1" s="52" t="s">
        <v>105</v>
      </c>
      <c r="Q1" s="52" t="s">
        <v>45</v>
      </c>
      <c r="R1" s="52" t="s">
        <v>42</v>
      </c>
      <c r="S1" s="65" t="s">
        <v>49</v>
      </c>
      <c r="T1" s="66" t="s">
        <v>46</v>
      </c>
      <c r="U1" s="66" t="s">
        <v>47</v>
      </c>
      <c r="V1" s="66" t="s">
        <v>48</v>
      </c>
      <c r="W1" s="35" t="s">
        <v>50</v>
      </c>
    </row>
    <row r="2" spans="1:23" x14ac:dyDescent="0.35">
      <c r="A2" s="24" t="s">
        <v>8</v>
      </c>
      <c r="B2" s="24" t="s">
        <v>62</v>
      </c>
      <c r="C2" s="47">
        <v>1</v>
      </c>
      <c r="D2" s="49">
        <f t="shared" ref="D2:D3" si="0">VLOOKUP(A2,$M$1:$X$8,6,FALSE)</f>
        <v>2</v>
      </c>
      <c r="E2">
        <f>VLOOKUP(A2,$M$1:$X$8,5,FALSE)</f>
        <v>39</v>
      </c>
      <c r="F2" s="19">
        <f>60/E2*C2</f>
        <v>1.5384615384615385</v>
      </c>
      <c r="G2">
        <f>VLOOKUP(A2,$M$1:$X$8,9,FALSE)</f>
        <v>20</v>
      </c>
      <c r="H2" s="18">
        <f>D2*F2*G2</f>
        <v>61.53846153846154</v>
      </c>
      <c r="I2" s="17" t="s">
        <v>0</v>
      </c>
      <c r="J2" s="18">
        <v>135.77375565610862</v>
      </c>
      <c r="K2" s="15"/>
      <c r="M2" s="54" t="s">
        <v>8</v>
      </c>
      <c r="N2" s="20">
        <v>1.5</v>
      </c>
      <c r="O2" s="43">
        <v>25</v>
      </c>
      <c r="P2" s="44">
        <f>N2+O2</f>
        <v>26.5</v>
      </c>
      <c r="Q2" s="26">
        <v>39</v>
      </c>
      <c r="R2" s="63">
        <v>2</v>
      </c>
      <c r="S2" s="64">
        <f t="shared" ref="S2:S7" si="1">R2/W$2</f>
        <v>0.2</v>
      </c>
      <c r="T2" s="67">
        <f t="shared" ref="T2:T7" si="2">60/(Q2)</f>
        <v>1.5384615384615385</v>
      </c>
      <c r="U2" s="68">
        <v>20</v>
      </c>
      <c r="V2" s="69">
        <f>ROUND(R2*T2*U2,0)</f>
        <v>62</v>
      </c>
      <c r="W2" s="33">
        <f>SUM(R2:R7)</f>
        <v>10</v>
      </c>
    </row>
    <row r="3" spans="1:23" x14ac:dyDescent="0.35">
      <c r="A3" s="24" t="s">
        <v>8</v>
      </c>
      <c r="B3" s="24" t="s">
        <v>0</v>
      </c>
      <c r="C3" s="47">
        <v>1</v>
      </c>
      <c r="D3" s="50">
        <f t="shared" si="0"/>
        <v>2</v>
      </c>
      <c r="E3">
        <f>VLOOKUP(A3,$M$1:$X$8,5,FALSE)</f>
        <v>39</v>
      </c>
      <c r="F3" s="19">
        <f>60/E3*C3</f>
        <v>1.5384615384615385</v>
      </c>
      <c r="G3">
        <f>VLOOKUP(A3,$M$1:$X$8,9,FALSE)</f>
        <v>20</v>
      </c>
      <c r="H3" s="18">
        <f>D3*F3*G3</f>
        <v>61.53846153846154</v>
      </c>
      <c r="I3" s="17" t="s">
        <v>12</v>
      </c>
      <c r="J3" s="18">
        <v>89.773755656108605</v>
      </c>
      <c r="K3" s="15"/>
      <c r="M3" s="54" t="s">
        <v>9</v>
      </c>
      <c r="N3" s="20">
        <v>1</v>
      </c>
      <c r="O3" s="43">
        <v>20.0014</v>
      </c>
      <c r="P3" s="44">
        <f t="shared" ref="P3:P7" si="3">N3+O3</f>
        <v>21.0014</v>
      </c>
      <c r="Q3" s="26">
        <v>50</v>
      </c>
      <c r="R3" s="63">
        <v>1</v>
      </c>
      <c r="S3" s="64">
        <f t="shared" si="1"/>
        <v>0.1</v>
      </c>
      <c r="T3" s="67">
        <f t="shared" si="2"/>
        <v>1.2</v>
      </c>
      <c r="U3" s="68">
        <v>20</v>
      </c>
      <c r="V3" s="69">
        <f>ROUND(R3*T3*U3,0)</f>
        <v>24</v>
      </c>
      <c r="W3" s="33"/>
    </row>
    <row r="4" spans="1:23" x14ac:dyDescent="0.35">
      <c r="A4" s="24" t="s">
        <v>8</v>
      </c>
      <c r="B4" s="24" t="s">
        <v>76</v>
      </c>
      <c r="C4" s="47">
        <v>1</v>
      </c>
      <c r="D4" s="50">
        <f>VLOOKUP(A5,$M$1:$X$8,6,FALSE)</f>
        <v>2</v>
      </c>
      <c r="E4">
        <f>VLOOKUP(A5,$M$1:$X$8,5,FALSE)</f>
        <v>39</v>
      </c>
      <c r="F4" s="19">
        <f t="shared" ref="F4" si="4">60/E4*C4</f>
        <v>1.5384615384615385</v>
      </c>
      <c r="G4">
        <f t="shared" ref="G4:G6" si="5">VLOOKUP(A4,$M$1:$X$8,9,FALSE)</f>
        <v>20</v>
      </c>
      <c r="H4" s="18">
        <f t="shared" ref="H4" si="6">D4*F4*G4</f>
        <v>61.53846153846154</v>
      </c>
      <c r="I4" s="17" t="s">
        <v>6</v>
      </c>
      <c r="J4" s="18">
        <v>106.66772655007949</v>
      </c>
      <c r="K4" s="15"/>
      <c r="M4" s="54" t="s">
        <v>61</v>
      </c>
      <c r="N4" s="78">
        <v>1</v>
      </c>
      <c r="O4" s="43">
        <v>20</v>
      </c>
      <c r="P4" s="44">
        <f t="shared" si="3"/>
        <v>21</v>
      </c>
      <c r="Q4" s="26">
        <v>37</v>
      </c>
      <c r="R4" s="63">
        <v>1</v>
      </c>
      <c r="S4" s="64">
        <f t="shared" si="1"/>
        <v>0.1</v>
      </c>
      <c r="T4" s="67">
        <f t="shared" si="2"/>
        <v>1.6216216216216217</v>
      </c>
      <c r="U4" s="68">
        <v>20</v>
      </c>
      <c r="V4" s="69">
        <f>ROUND(R4*T4*U4,0)</f>
        <v>32</v>
      </c>
      <c r="W4" s="33"/>
    </row>
    <row r="5" spans="1:23" x14ac:dyDescent="0.35">
      <c r="A5" s="24" t="s">
        <v>8</v>
      </c>
      <c r="B5" s="24" t="s">
        <v>11</v>
      </c>
      <c r="C5" s="47">
        <v>1</v>
      </c>
      <c r="D5" s="50">
        <f>VLOOKUP(A6,$M$1:$X$8,6,FALSE)</f>
        <v>2</v>
      </c>
      <c r="E5">
        <f>VLOOKUP(A6,$M$1:$X$8,5,FALSE)</f>
        <v>39</v>
      </c>
      <c r="F5" s="19">
        <f t="shared" ref="F5" si="7">60/E5*C5</f>
        <v>1.5384615384615385</v>
      </c>
      <c r="G5">
        <f t="shared" si="5"/>
        <v>20</v>
      </c>
      <c r="H5" s="18">
        <f t="shared" ref="H5" si="8">D5*F5*G5</f>
        <v>61.53846153846154</v>
      </c>
      <c r="I5" s="17" t="s">
        <v>11</v>
      </c>
      <c r="J5" s="18">
        <v>89.773755656108605</v>
      </c>
      <c r="K5" s="15"/>
      <c r="M5" s="54" t="s">
        <v>66</v>
      </c>
      <c r="N5" s="20">
        <v>1.2</v>
      </c>
      <c r="O5" s="43">
        <v>25</v>
      </c>
      <c r="P5" s="44">
        <f t="shared" si="3"/>
        <v>26.2</v>
      </c>
      <c r="Q5" s="26">
        <v>85</v>
      </c>
      <c r="R5" s="63">
        <v>2</v>
      </c>
      <c r="S5" s="64">
        <f t="shared" si="1"/>
        <v>0.2</v>
      </c>
      <c r="T5" s="67">
        <f t="shared" si="2"/>
        <v>0.70588235294117652</v>
      </c>
      <c r="U5" s="68">
        <v>20</v>
      </c>
      <c r="V5" s="69">
        <f>ROUND(R5*T5*U5,0)</f>
        <v>28</v>
      </c>
      <c r="W5" s="33"/>
    </row>
    <row r="6" spans="1:23" x14ac:dyDescent="0.35">
      <c r="A6" s="24" t="s">
        <v>8</v>
      </c>
      <c r="B6" s="24" t="s">
        <v>12</v>
      </c>
      <c r="C6" s="47">
        <v>1</v>
      </c>
      <c r="D6" s="50">
        <f t="shared" ref="D6:D32" si="9">VLOOKUP(A6,$M$1:$X$8,6,FALSE)</f>
        <v>2</v>
      </c>
      <c r="E6">
        <f t="shared" ref="E6" si="10">VLOOKUP(A6,$M$1:$X$8,5,FALSE)</f>
        <v>39</v>
      </c>
      <c r="F6" s="19">
        <f t="shared" ref="F6" si="11">60/E6*C6</f>
        <v>1.5384615384615385</v>
      </c>
      <c r="G6">
        <f t="shared" si="5"/>
        <v>20</v>
      </c>
      <c r="H6" s="18">
        <f t="shared" ref="H6" si="12">D6*F6*G6</f>
        <v>61.53846153846154</v>
      </c>
      <c r="I6" s="17" t="s">
        <v>3</v>
      </c>
      <c r="J6" s="18">
        <v>61.53846153846154</v>
      </c>
      <c r="K6" s="15"/>
      <c r="M6" s="54" t="s">
        <v>10</v>
      </c>
      <c r="N6" s="20">
        <v>1</v>
      </c>
      <c r="O6" s="43">
        <v>20</v>
      </c>
      <c r="P6" s="44">
        <f t="shared" si="3"/>
        <v>21</v>
      </c>
      <c r="Q6" s="26">
        <v>200</v>
      </c>
      <c r="R6" s="63">
        <v>2</v>
      </c>
      <c r="S6" s="64">
        <f t="shared" si="1"/>
        <v>0.2</v>
      </c>
      <c r="T6" s="67">
        <f t="shared" si="2"/>
        <v>0.3</v>
      </c>
      <c r="U6" s="68">
        <v>20</v>
      </c>
      <c r="V6" s="69">
        <f>ROUND(R6*T6*U6,0)</f>
        <v>12</v>
      </c>
      <c r="W6" s="33"/>
    </row>
    <row r="7" spans="1:23" x14ac:dyDescent="0.35">
      <c r="A7" s="24" t="s">
        <v>8</v>
      </c>
      <c r="B7" s="24" t="s">
        <v>3</v>
      </c>
      <c r="C7" s="47">
        <v>1</v>
      </c>
      <c r="D7" s="50">
        <f t="shared" si="9"/>
        <v>2</v>
      </c>
      <c r="E7">
        <f t="shared" ref="E7:E32" si="13">VLOOKUP(A7,$M$1:$X$8,5,FALSE)</f>
        <v>39</v>
      </c>
      <c r="F7" s="19">
        <f t="shared" ref="F7:F32" si="14">60/E7*C7</f>
        <v>1.5384615384615385</v>
      </c>
      <c r="G7">
        <f t="shared" ref="G7:G32" si="15">VLOOKUP(A7,$M$1:$X$8,9,FALSE)</f>
        <v>20</v>
      </c>
      <c r="H7" s="18">
        <f t="shared" ref="H7:H32" si="16">D7*F7*G7</f>
        <v>61.53846153846154</v>
      </c>
      <c r="I7" s="17" t="s">
        <v>13</v>
      </c>
      <c r="J7" s="18">
        <v>24</v>
      </c>
      <c r="K7" s="15"/>
      <c r="M7" s="54" t="s">
        <v>67</v>
      </c>
      <c r="N7" s="20">
        <v>0.7</v>
      </c>
      <c r="O7" s="45">
        <v>10</v>
      </c>
      <c r="P7" s="44">
        <f t="shared" si="3"/>
        <v>10.7</v>
      </c>
      <c r="Q7" s="26">
        <v>240</v>
      </c>
      <c r="R7" s="63">
        <v>2</v>
      </c>
      <c r="S7" s="64">
        <f t="shared" si="1"/>
        <v>0.2</v>
      </c>
      <c r="T7" s="67">
        <f t="shared" si="2"/>
        <v>0.25</v>
      </c>
      <c r="U7" s="68">
        <v>20</v>
      </c>
      <c r="V7" s="69">
        <f>SUM(V2:V6)</f>
        <v>158</v>
      </c>
      <c r="W7" s="33"/>
    </row>
    <row r="8" spans="1:23" ht="15" thickBot="1" x14ac:dyDescent="0.4">
      <c r="A8" s="24" t="s">
        <v>8</v>
      </c>
      <c r="B8" s="24" t="s">
        <v>4</v>
      </c>
      <c r="C8" s="47">
        <v>1</v>
      </c>
      <c r="D8" s="33">
        <v>2</v>
      </c>
      <c r="E8">
        <f t="shared" si="13"/>
        <v>39</v>
      </c>
      <c r="F8" s="19">
        <f t="shared" si="14"/>
        <v>1.5384615384615385</v>
      </c>
      <c r="G8">
        <f t="shared" si="15"/>
        <v>20</v>
      </c>
      <c r="H8" s="18">
        <f t="shared" si="16"/>
        <v>61.53846153846154</v>
      </c>
      <c r="I8" s="17" t="s">
        <v>4</v>
      </c>
      <c r="J8" s="18">
        <v>97.538461538461547</v>
      </c>
      <c r="K8" s="15"/>
      <c r="M8" s="60"/>
      <c r="N8" s="61"/>
      <c r="O8" s="61"/>
      <c r="P8" s="61"/>
      <c r="Q8" s="61"/>
      <c r="R8" s="61"/>
      <c r="S8" s="70">
        <f>SUM(S2:S7)</f>
        <v>1</v>
      </c>
      <c r="T8" s="61"/>
      <c r="U8" s="61"/>
      <c r="V8" s="61"/>
      <c r="W8" s="34"/>
    </row>
    <row r="9" spans="1:23" x14ac:dyDescent="0.35">
      <c r="A9" s="24" t="s">
        <v>9</v>
      </c>
      <c r="B9" s="24" t="s">
        <v>62</v>
      </c>
      <c r="C9" s="24">
        <v>1</v>
      </c>
      <c r="D9" s="35">
        <f t="shared" si="9"/>
        <v>1</v>
      </c>
      <c r="E9" s="18">
        <f t="shared" si="13"/>
        <v>50</v>
      </c>
      <c r="F9" s="19">
        <f t="shared" si="14"/>
        <v>1.2</v>
      </c>
      <c r="G9">
        <f t="shared" si="15"/>
        <v>20</v>
      </c>
      <c r="H9" s="18">
        <f t="shared" si="16"/>
        <v>24</v>
      </c>
      <c r="I9" s="17" t="s">
        <v>62</v>
      </c>
      <c r="J9" s="18">
        <v>168.20618808854104</v>
      </c>
      <c r="K9" s="15"/>
    </row>
    <row r="10" spans="1:23" x14ac:dyDescent="0.35">
      <c r="A10" s="24" t="s">
        <v>9</v>
      </c>
      <c r="B10" s="24" t="s">
        <v>0</v>
      </c>
      <c r="C10" s="24">
        <v>1</v>
      </c>
      <c r="D10" s="33">
        <f t="shared" si="9"/>
        <v>1</v>
      </c>
      <c r="E10" s="18">
        <f t="shared" si="13"/>
        <v>50</v>
      </c>
      <c r="F10" s="19">
        <f t="shared" si="14"/>
        <v>1.2</v>
      </c>
      <c r="G10">
        <f t="shared" si="15"/>
        <v>20</v>
      </c>
      <c r="H10" s="18">
        <f t="shared" si="16"/>
        <v>24</v>
      </c>
      <c r="I10" s="17" t="s">
        <v>64</v>
      </c>
      <c r="J10" s="18">
        <v>32.432432432432435</v>
      </c>
    </row>
    <row r="11" spans="1:23" x14ac:dyDescent="0.35">
      <c r="A11" s="24" t="s">
        <v>9</v>
      </c>
      <c r="B11" s="24" t="s">
        <v>4</v>
      </c>
      <c r="C11" s="24">
        <v>1</v>
      </c>
      <c r="D11" s="33">
        <f t="shared" si="9"/>
        <v>1</v>
      </c>
      <c r="E11" s="18">
        <f t="shared" si="13"/>
        <v>50</v>
      </c>
      <c r="F11" s="19">
        <f t="shared" si="14"/>
        <v>1.2</v>
      </c>
      <c r="G11">
        <f t="shared" si="15"/>
        <v>20</v>
      </c>
      <c r="H11" s="18">
        <f t="shared" si="16"/>
        <v>24</v>
      </c>
      <c r="I11" s="17" t="s">
        <v>63</v>
      </c>
      <c r="J11" s="18">
        <v>32.432432432432435</v>
      </c>
    </row>
    <row r="12" spans="1:23" x14ac:dyDescent="0.35">
      <c r="A12" s="24" t="s">
        <v>9</v>
      </c>
      <c r="B12" s="24" t="s">
        <v>13</v>
      </c>
      <c r="C12" s="24">
        <v>1</v>
      </c>
      <c r="D12" s="33">
        <f t="shared" si="9"/>
        <v>1</v>
      </c>
      <c r="E12" s="18">
        <f t="shared" si="13"/>
        <v>50</v>
      </c>
      <c r="F12" s="19">
        <f t="shared" si="14"/>
        <v>1.2</v>
      </c>
      <c r="G12">
        <f t="shared" si="15"/>
        <v>20</v>
      </c>
      <c r="H12" s="18">
        <f t="shared" si="16"/>
        <v>24</v>
      </c>
      <c r="I12" s="17" t="s">
        <v>65</v>
      </c>
      <c r="J12" s="18">
        <v>32.432432432432435</v>
      </c>
    </row>
    <row r="13" spans="1:23" ht="15" thickBot="1" x14ac:dyDescent="0.4">
      <c r="A13" s="24" t="s">
        <v>9</v>
      </c>
      <c r="B13" s="24" t="s">
        <v>6</v>
      </c>
      <c r="C13" s="24">
        <v>1</v>
      </c>
      <c r="D13" s="34">
        <f t="shared" si="9"/>
        <v>1</v>
      </c>
      <c r="E13" s="18">
        <f t="shared" si="13"/>
        <v>50</v>
      </c>
      <c r="F13" s="19">
        <f t="shared" si="14"/>
        <v>1.2</v>
      </c>
      <c r="G13">
        <f t="shared" si="15"/>
        <v>20</v>
      </c>
      <c r="H13" s="18">
        <f t="shared" si="16"/>
        <v>24</v>
      </c>
      <c r="I13" s="17" t="s">
        <v>76</v>
      </c>
      <c r="J13" s="18">
        <v>101.77375565610861</v>
      </c>
    </row>
    <row r="14" spans="1:23" x14ac:dyDescent="0.35">
      <c r="A14" s="24" t="s">
        <v>61</v>
      </c>
      <c r="B14" s="24" t="s">
        <v>62</v>
      </c>
      <c r="C14" s="24">
        <v>1</v>
      </c>
      <c r="D14" s="35">
        <f t="shared" si="9"/>
        <v>1</v>
      </c>
      <c r="E14" s="18">
        <f t="shared" si="13"/>
        <v>37</v>
      </c>
      <c r="F14" s="19">
        <f t="shared" si="14"/>
        <v>1.6216216216216217</v>
      </c>
      <c r="G14">
        <f t="shared" si="15"/>
        <v>20</v>
      </c>
      <c r="H14" s="18">
        <f t="shared" si="16"/>
        <v>32.432432432432435</v>
      </c>
      <c r="I14" s="17" t="s">
        <v>40</v>
      </c>
      <c r="J14" s="18">
        <v>972.34315763727523</v>
      </c>
    </row>
    <row r="15" spans="1:23" x14ac:dyDescent="0.35">
      <c r="A15" s="24" t="s">
        <v>61</v>
      </c>
      <c r="B15" s="24" t="s">
        <v>64</v>
      </c>
      <c r="C15" s="24">
        <v>1</v>
      </c>
      <c r="D15" s="33">
        <f t="shared" si="9"/>
        <v>1</v>
      </c>
      <c r="E15" s="18">
        <f t="shared" si="13"/>
        <v>37</v>
      </c>
      <c r="F15" s="19">
        <f t="shared" si="14"/>
        <v>1.6216216216216217</v>
      </c>
      <c r="G15">
        <f t="shared" si="15"/>
        <v>20</v>
      </c>
      <c r="H15" s="18">
        <f t="shared" si="16"/>
        <v>32.432432432432435</v>
      </c>
    </row>
    <row r="16" spans="1:23" x14ac:dyDescent="0.35">
      <c r="A16" s="24" t="s">
        <v>61</v>
      </c>
      <c r="B16" s="24" t="s">
        <v>63</v>
      </c>
      <c r="C16" s="24">
        <v>1</v>
      </c>
      <c r="D16" s="33">
        <f t="shared" si="9"/>
        <v>1</v>
      </c>
      <c r="E16" s="18">
        <f t="shared" si="13"/>
        <v>37</v>
      </c>
      <c r="F16" s="19">
        <f t="shared" si="14"/>
        <v>1.6216216216216217</v>
      </c>
      <c r="G16">
        <f t="shared" si="15"/>
        <v>20</v>
      </c>
      <c r="H16" s="18">
        <f t="shared" si="16"/>
        <v>32.432432432432435</v>
      </c>
    </row>
    <row r="17" spans="1:8" x14ac:dyDescent="0.35">
      <c r="A17" s="24" t="s">
        <v>61</v>
      </c>
      <c r="B17" s="24" t="s">
        <v>65</v>
      </c>
      <c r="C17" s="24">
        <v>1</v>
      </c>
      <c r="D17" s="33">
        <f t="shared" si="9"/>
        <v>1</v>
      </c>
      <c r="E17" s="18">
        <f t="shared" si="13"/>
        <v>37</v>
      </c>
      <c r="F17" s="19">
        <f t="shared" si="14"/>
        <v>1.6216216216216217</v>
      </c>
      <c r="G17">
        <f t="shared" si="15"/>
        <v>20</v>
      </c>
      <c r="H17" s="18">
        <f t="shared" si="16"/>
        <v>32.432432432432435</v>
      </c>
    </row>
    <row r="18" spans="1:8" ht="15" thickBot="1" x14ac:dyDescent="0.4">
      <c r="A18" s="24" t="s">
        <v>61</v>
      </c>
      <c r="B18" s="24" t="s">
        <v>6</v>
      </c>
      <c r="C18" s="24">
        <v>1</v>
      </c>
      <c r="D18" s="33">
        <f t="shared" si="9"/>
        <v>1</v>
      </c>
      <c r="E18" s="18">
        <f t="shared" si="13"/>
        <v>37</v>
      </c>
      <c r="F18" s="19">
        <f t="shared" si="14"/>
        <v>1.6216216216216217</v>
      </c>
      <c r="G18">
        <f t="shared" si="15"/>
        <v>20</v>
      </c>
      <c r="H18" s="18">
        <f t="shared" si="16"/>
        <v>32.432432432432435</v>
      </c>
    </row>
    <row r="19" spans="1:8" x14ac:dyDescent="0.35">
      <c r="A19" s="24" t="s">
        <v>67</v>
      </c>
      <c r="B19" s="24" t="s">
        <v>62</v>
      </c>
      <c r="C19" s="47">
        <v>1</v>
      </c>
      <c r="D19" s="49">
        <f t="shared" si="9"/>
        <v>2</v>
      </c>
      <c r="E19">
        <f t="shared" si="13"/>
        <v>240</v>
      </c>
      <c r="F19" s="19">
        <f t="shared" si="14"/>
        <v>0.25</v>
      </c>
      <c r="G19">
        <f t="shared" si="15"/>
        <v>20</v>
      </c>
      <c r="H19" s="18">
        <f t="shared" si="16"/>
        <v>10</v>
      </c>
    </row>
    <row r="20" spans="1:8" x14ac:dyDescent="0.35">
      <c r="A20" s="24" t="s">
        <v>67</v>
      </c>
      <c r="B20" s="24" t="s">
        <v>0</v>
      </c>
      <c r="C20" s="47">
        <v>1</v>
      </c>
      <c r="D20" s="50">
        <f t="shared" si="9"/>
        <v>2</v>
      </c>
      <c r="E20">
        <f t="shared" si="13"/>
        <v>240</v>
      </c>
      <c r="F20" s="19">
        <f t="shared" si="14"/>
        <v>0.25</v>
      </c>
      <c r="G20">
        <f t="shared" si="15"/>
        <v>20</v>
      </c>
      <c r="H20" s="18">
        <f t="shared" si="16"/>
        <v>10</v>
      </c>
    </row>
    <row r="21" spans="1:8" ht="15" thickBot="1" x14ac:dyDescent="0.4">
      <c r="A21" s="24" t="s">
        <v>67</v>
      </c>
      <c r="B21" s="24" t="s">
        <v>6</v>
      </c>
      <c r="C21" s="47">
        <v>1</v>
      </c>
      <c r="D21" s="48">
        <f t="shared" si="9"/>
        <v>2</v>
      </c>
      <c r="E21">
        <f t="shared" si="13"/>
        <v>240</v>
      </c>
      <c r="F21" s="19">
        <f t="shared" si="14"/>
        <v>0.25</v>
      </c>
      <c r="G21">
        <f t="shared" si="15"/>
        <v>20</v>
      </c>
      <c r="H21" s="18">
        <f t="shared" si="16"/>
        <v>10</v>
      </c>
    </row>
    <row r="22" spans="1:8" x14ac:dyDescent="0.35">
      <c r="A22" s="24" t="s">
        <v>66</v>
      </c>
      <c r="B22" s="24" t="s">
        <v>62</v>
      </c>
      <c r="C22" s="24">
        <v>1</v>
      </c>
      <c r="D22" s="33">
        <f t="shared" si="9"/>
        <v>2</v>
      </c>
      <c r="E22">
        <f t="shared" si="13"/>
        <v>85</v>
      </c>
      <c r="F22" s="19">
        <f t="shared" si="14"/>
        <v>0.70588235294117652</v>
      </c>
      <c r="G22">
        <f t="shared" si="15"/>
        <v>20</v>
      </c>
      <c r="H22" s="18">
        <f t="shared" si="16"/>
        <v>28.235294117647062</v>
      </c>
    </row>
    <row r="23" spans="1:8" x14ac:dyDescent="0.35">
      <c r="A23" s="24" t="s">
        <v>66</v>
      </c>
      <c r="B23" s="24" t="s">
        <v>0</v>
      </c>
      <c r="C23" s="24">
        <v>1</v>
      </c>
      <c r="D23" s="33">
        <f t="shared" si="9"/>
        <v>2</v>
      </c>
      <c r="E23">
        <f t="shared" si="13"/>
        <v>85</v>
      </c>
      <c r="F23" s="19">
        <f t="shared" si="14"/>
        <v>0.70588235294117652</v>
      </c>
      <c r="G23">
        <f t="shared" si="15"/>
        <v>20</v>
      </c>
      <c r="H23" s="18">
        <f t="shared" si="16"/>
        <v>28.235294117647062</v>
      </c>
    </row>
    <row r="24" spans="1:8" x14ac:dyDescent="0.35">
      <c r="A24" s="24" t="s">
        <v>66</v>
      </c>
      <c r="B24" s="24" t="s">
        <v>76</v>
      </c>
      <c r="C24" s="24">
        <v>1</v>
      </c>
      <c r="D24" s="33">
        <f t="shared" si="9"/>
        <v>2</v>
      </c>
      <c r="E24">
        <f t="shared" si="13"/>
        <v>85</v>
      </c>
      <c r="F24" s="19">
        <f t="shared" si="14"/>
        <v>0.70588235294117652</v>
      </c>
      <c r="G24">
        <f t="shared" si="15"/>
        <v>20</v>
      </c>
      <c r="H24" s="18">
        <f t="shared" si="16"/>
        <v>28.235294117647062</v>
      </c>
    </row>
    <row r="25" spans="1:8" x14ac:dyDescent="0.35">
      <c r="A25" s="24" t="s">
        <v>66</v>
      </c>
      <c r="B25" s="24" t="s">
        <v>11</v>
      </c>
      <c r="C25" s="24">
        <v>1</v>
      </c>
      <c r="D25" s="33">
        <f t="shared" si="9"/>
        <v>2</v>
      </c>
      <c r="E25">
        <f t="shared" si="13"/>
        <v>85</v>
      </c>
      <c r="F25" s="19">
        <f t="shared" si="14"/>
        <v>0.70588235294117652</v>
      </c>
      <c r="G25">
        <f t="shared" si="15"/>
        <v>20</v>
      </c>
      <c r="H25" s="18">
        <f t="shared" si="16"/>
        <v>28.235294117647062</v>
      </c>
    </row>
    <row r="26" spans="1:8" x14ac:dyDescent="0.35">
      <c r="A26" s="24" t="s">
        <v>66</v>
      </c>
      <c r="B26" s="24" t="s">
        <v>12</v>
      </c>
      <c r="C26" s="24">
        <v>1</v>
      </c>
      <c r="D26" s="33">
        <f t="shared" si="9"/>
        <v>2</v>
      </c>
      <c r="E26">
        <f t="shared" si="13"/>
        <v>85</v>
      </c>
      <c r="F26" s="19">
        <f t="shared" si="14"/>
        <v>0.70588235294117652</v>
      </c>
      <c r="G26">
        <f t="shared" si="15"/>
        <v>20</v>
      </c>
      <c r="H26" s="18">
        <f t="shared" si="16"/>
        <v>28.235294117647062</v>
      </c>
    </row>
    <row r="27" spans="1:8" ht="15" thickBot="1" x14ac:dyDescent="0.4">
      <c r="A27" s="24" t="s">
        <v>66</v>
      </c>
      <c r="B27" s="24" t="s">
        <v>6</v>
      </c>
      <c r="C27" s="24">
        <v>1</v>
      </c>
      <c r="D27" s="33">
        <f t="shared" si="9"/>
        <v>2</v>
      </c>
      <c r="E27">
        <f t="shared" si="13"/>
        <v>85</v>
      </c>
      <c r="F27" s="19">
        <f t="shared" si="14"/>
        <v>0.70588235294117652</v>
      </c>
      <c r="G27">
        <f t="shared" si="15"/>
        <v>20</v>
      </c>
      <c r="H27" s="18">
        <f t="shared" si="16"/>
        <v>28.235294117647062</v>
      </c>
    </row>
    <row r="28" spans="1:8" x14ac:dyDescent="0.35">
      <c r="A28" s="24" t="s">
        <v>10</v>
      </c>
      <c r="B28" s="24" t="s">
        <v>62</v>
      </c>
      <c r="C28" s="24">
        <v>1</v>
      </c>
      <c r="D28" s="35">
        <f t="shared" si="9"/>
        <v>2</v>
      </c>
      <c r="E28">
        <f t="shared" si="13"/>
        <v>200</v>
      </c>
      <c r="F28" s="19">
        <f t="shared" si="14"/>
        <v>0.3</v>
      </c>
      <c r="G28">
        <f t="shared" si="15"/>
        <v>20</v>
      </c>
      <c r="H28" s="18">
        <f t="shared" si="16"/>
        <v>12</v>
      </c>
    </row>
    <row r="29" spans="1:8" x14ac:dyDescent="0.35">
      <c r="A29" s="24" t="s">
        <v>10</v>
      </c>
      <c r="B29" s="24" t="s">
        <v>0</v>
      </c>
      <c r="C29" s="24">
        <v>1</v>
      </c>
      <c r="D29" s="33">
        <f t="shared" si="9"/>
        <v>2</v>
      </c>
      <c r="E29">
        <f t="shared" si="13"/>
        <v>200</v>
      </c>
      <c r="F29" s="19">
        <f t="shared" si="14"/>
        <v>0.3</v>
      </c>
      <c r="G29">
        <f t="shared" si="15"/>
        <v>20</v>
      </c>
      <c r="H29" s="18">
        <f t="shared" si="16"/>
        <v>12</v>
      </c>
    </row>
    <row r="30" spans="1:8" x14ac:dyDescent="0.35">
      <c r="A30" s="24" t="s">
        <v>10</v>
      </c>
      <c r="B30" s="24" t="s">
        <v>76</v>
      </c>
      <c r="C30" s="24">
        <v>1</v>
      </c>
      <c r="D30" s="33">
        <f t="shared" si="9"/>
        <v>2</v>
      </c>
      <c r="E30">
        <f t="shared" si="13"/>
        <v>200</v>
      </c>
      <c r="F30" s="19">
        <f t="shared" si="14"/>
        <v>0.3</v>
      </c>
      <c r="G30">
        <f t="shared" si="15"/>
        <v>20</v>
      </c>
      <c r="H30" s="18">
        <f t="shared" si="16"/>
        <v>12</v>
      </c>
    </row>
    <row r="31" spans="1:8" x14ac:dyDescent="0.35">
      <c r="A31" s="24" t="s">
        <v>10</v>
      </c>
      <c r="B31" s="24" t="s">
        <v>4</v>
      </c>
      <c r="C31" s="24">
        <v>1</v>
      </c>
      <c r="D31" s="33">
        <f t="shared" si="9"/>
        <v>2</v>
      </c>
      <c r="E31">
        <f t="shared" si="13"/>
        <v>200</v>
      </c>
      <c r="F31" s="19">
        <f t="shared" si="14"/>
        <v>0.3</v>
      </c>
      <c r="G31">
        <f t="shared" si="15"/>
        <v>20</v>
      </c>
      <c r="H31" s="18">
        <f t="shared" si="16"/>
        <v>12</v>
      </c>
    </row>
    <row r="32" spans="1:8" ht="15" thickBot="1" x14ac:dyDescent="0.4">
      <c r="A32" s="24" t="s">
        <v>10</v>
      </c>
      <c r="B32" s="24" t="s">
        <v>6</v>
      </c>
      <c r="C32" s="24">
        <v>1</v>
      </c>
      <c r="D32" s="34">
        <f t="shared" si="9"/>
        <v>2</v>
      </c>
      <c r="E32">
        <f t="shared" si="13"/>
        <v>200</v>
      </c>
      <c r="F32" s="19">
        <f t="shared" si="14"/>
        <v>0.3</v>
      </c>
      <c r="G32">
        <f t="shared" si="15"/>
        <v>20</v>
      </c>
      <c r="H32" s="18">
        <f t="shared" si="16"/>
        <v>12</v>
      </c>
    </row>
    <row r="35" spans="1:9" ht="15" thickBot="1" x14ac:dyDescent="0.4"/>
    <row r="36" spans="1:9" x14ac:dyDescent="0.35">
      <c r="A36" s="82" t="s">
        <v>78</v>
      </c>
      <c r="B36" s="83"/>
      <c r="C36" s="84" t="s">
        <v>107</v>
      </c>
      <c r="D36" s="85"/>
    </row>
    <row r="37" spans="1:9" ht="74" x14ac:dyDescent="0.45">
      <c r="A37" s="27" t="s">
        <v>77</v>
      </c>
      <c r="B37" s="71" t="s">
        <v>58</v>
      </c>
      <c r="C37" s="23" t="s">
        <v>56</v>
      </c>
      <c r="D37" s="23" t="s">
        <v>57</v>
      </c>
      <c r="E37" s="37"/>
      <c r="F37" s="76" t="s">
        <v>88</v>
      </c>
      <c r="G37" s="23" t="s">
        <v>55</v>
      </c>
      <c r="H37" s="23" t="s">
        <v>59</v>
      </c>
      <c r="I37" s="23" t="s">
        <v>60</v>
      </c>
    </row>
    <row r="38" spans="1:9" ht="18.5" x14ac:dyDescent="0.35">
      <c r="A38" s="27" t="s">
        <v>62</v>
      </c>
      <c r="B38" s="72">
        <v>520</v>
      </c>
      <c r="C38" s="74">
        <f>GETPIVOTDATA("Итого",$I$1,"transaction rq",A38)*3</f>
        <v>504.61856426562315</v>
      </c>
      <c r="D38" s="21">
        <f>1-B38/C38</f>
        <v>-3.0481311675010669E-2</v>
      </c>
      <c r="E38" s="36"/>
      <c r="F38" s="77" t="str">
        <f>VLOOKUP(A38,Соответствие!A:B,2,FALSE)</f>
        <v>open_site</v>
      </c>
      <c r="G38" s="38">
        <f t="shared" ref="G38:G49" si="17">C38/3</f>
        <v>168.20618808854104</v>
      </c>
      <c r="H38" s="24">
        <f>VLOOKUP(F38,SummaryReport!A:J,8,FALSE)</f>
        <v>169</v>
      </c>
      <c r="I38" s="22">
        <f>1-G38/H38</f>
        <v>4.6971119021240737E-3</v>
      </c>
    </row>
    <row r="39" spans="1:9" ht="18" x14ac:dyDescent="0.35">
      <c r="A39" s="28" t="s">
        <v>0</v>
      </c>
      <c r="B39" s="72">
        <v>422</v>
      </c>
      <c r="C39" s="74">
        <f t="shared" ref="C39:C49" si="18">GETPIVOTDATA("Итого",$I$1,"transaction rq",A39)*3</f>
        <v>407.32126696832586</v>
      </c>
      <c r="D39" s="21">
        <f>1-B39/C39</f>
        <v>-3.6037236997044975E-2</v>
      </c>
      <c r="E39" s="36"/>
      <c r="F39" s="77" t="str">
        <f>VLOOKUP(A39,Соответствие!A:B,2,FALSE)</f>
        <v>login</v>
      </c>
      <c r="G39" s="38">
        <f t="shared" si="17"/>
        <v>135.77375565610862</v>
      </c>
      <c r="H39" s="24">
        <f>VLOOKUP(F39,SummaryReport!A:J,8,FALSE)</f>
        <v>136</v>
      </c>
      <c r="I39" s="22">
        <f>1-G39/H39</f>
        <v>1.6635613521425174E-3</v>
      </c>
    </row>
    <row r="40" spans="1:9" ht="36" x14ac:dyDescent="0.35">
      <c r="A40" s="29" t="s">
        <v>76</v>
      </c>
      <c r="B40" s="72">
        <v>305</v>
      </c>
      <c r="C40" s="74">
        <f t="shared" si="18"/>
        <v>305.3212669683258</v>
      </c>
      <c r="D40" s="21">
        <f>1-B40/C40</f>
        <v>1.0522259766435615E-3</v>
      </c>
      <c r="E40" s="36"/>
      <c r="F40" s="77" t="str">
        <f>VLOOKUP(A40,Соответствие!A:B,2,FALSE)</f>
        <v>go_to_flights</v>
      </c>
      <c r="G40" s="38">
        <f t="shared" si="17"/>
        <v>101.77375565610861</v>
      </c>
      <c r="H40" s="24">
        <f>VLOOKUP(F40,SummaryReport!A:J,8,FALSE)</f>
        <v>102</v>
      </c>
      <c r="I40" s="22">
        <f>1-G40/H40</f>
        <v>2.2180818028567639E-3</v>
      </c>
    </row>
    <row r="41" spans="1:9" ht="36" x14ac:dyDescent="0.35">
      <c r="A41" s="28" t="s">
        <v>11</v>
      </c>
      <c r="B41" s="72">
        <v>282</v>
      </c>
      <c r="C41" s="74">
        <f t="shared" si="18"/>
        <v>269.3212669683258</v>
      </c>
      <c r="D41" s="21">
        <f t="shared" ref="D41:D50" si="19">1-B41/C41</f>
        <v>-4.7076612903225845E-2</v>
      </c>
      <c r="E41" s="36"/>
      <c r="F41" s="77" t="str">
        <f>VLOOKUP(A41,Соответствие!A:B,2,FALSE)</f>
        <v>fing_flight</v>
      </c>
      <c r="G41" s="38">
        <f>C41/3</f>
        <v>89.773755656108605</v>
      </c>
      <c r="H41" s="24">
        <f>VLOOKUP(F41,SummaryReport!A:J,8,FALSE)</f>
        <v>88</v>
      </c>
      <c r="I41" s="22">
        <f t="shared" ref="I41:I49" si="20">1-G41/H41</f>
        <v>-2.0156314273961362E-2</v>
      </c>
    </row>
    <row r="42" spans="1:9" ht="18" x14ac:dyDescent="0.35">
      <c r="A42" s="28" t="s">
        <v>12</v>
      </c>
      <c r="B42" s="72">
        <v>270</v>
      </c>
      <c r="C42" s="74">
        <f t="shared" si="18"/>
        <v>269.3212669683258</v>
      </c>
      <c r="D42" s="21">
        <f t="shared" si="19"/>
        <v>-2.520161290322509E-3</v>
      </c>
      <c r="E42" s="36"/>
      <c r="F42" s="77" t="str">
        <f>VLOOKUP(A42,Соответствие!A:B,2,FALSE)</f>
        <v>select_ticket</v>
      </c>
      <c r="G42" s="38">
        <f t="shared" si="17"/>
        <v>89.773755656108605</v>
      </c>
      <c r="H42" s="24">
        <f>VLOOKUP(F42,SummaryReport!A:J,8,FALSE)</f>
        <v>88</v>
      </c>
      <c r="I42" s="22">
        <f t="shared" si="20"/>
        <v>-2.0156314273961362E-2</v>
      </c>
    </row>
    <row r="43" spans="1:9" ht="18" x14ac:dyDescent="0.35">
      <c r="A43" s="28" t="s">
        <v>3</v>
      </c>
      <c r="B43" s="72">
        <v>175</v>
      </c>
      <c r="C43" s="74">
        <f t="shared" si="18"/>
        <v>184.61538461538461</v>
      </c>
      <c r="D43" s="21">
        <f t="shared" si="19"/>
        <v>5.208333333333337E-2</v>
      </c>
      <c r="E43" s="36"/>
      <c r="F43" s="77" t="str">
        <f>VLOOKUP(A43,Соответствие!A:B,2,FALSE)</f>
        <v>payment_details</v>
      </c>
      <c r="G43" s="38">
        <f t="shared" si="17"/>
        <v>61.53846153846154</v>
      </c>
      <c r="H43" s="24">
        <f>VLOOKUP(F43,SummaryReport!A:J,8,FALSE)</f>
        <v>62</v>
      </c>
      <c r="I43" s="22">
        <f t="shared" si="20"/>
        <v>7.4441687344912744E-3</v>
      </c>
    </row>
    <row r="44" spans="1:9" ht="18" x14ac:dyDescent="0.35">
      <c r="A44" s="28" t="s">
        <v>4</v>
      </c>
      <c r="B44" s="72">
        <v>280</v>
      </c>
      <c r="C44" s="74">
        <f t="shared" si="18"/>
        <v>292.61538461538464</v>
      </c>
      <c r="D44" s="21">
        <f t="shared" si="19"/>
        <v>4.311251314405895E-2</v>
      </c>
      <c r="E44" s="46"/>
      <c r="F44" s="77" t="str">
        <f>VLOOKUP(A44,Соответствие!A:B,2,FALSE)</f>
        <v>Check_ticket</v>
      </c>
      <c r="G44" s="38">
        <f t="shared" si="17"/>
        <v>97.538461538461547</v>
      </c>
      <c r="H44" s="24">
        <f>VLOOKUP(F44,SummaryReport!A:J,8,FALSE)</f>
        <v>98</v>
      </c>
      <c r="I44" s="22">
        <f t="shared" si="20"/>
        <v>4.7095761381474865E-3</v>
      </c>
    </row>
    <row r="45" spans="1:9" ht="18" x14ac:dyDescent="0.35">
      <c r="A45" s="28" t="s">
        <v>13</v>
      </c>
      <c r="B45" s="72">
        <v>73</v>
      </c>
      <c r="C45" s="74">
        <f t="shared" si="18"/>
        <v>72</v>
      </c>
      <c r="D45" s="21">
        <f t="shared" si="19"/>
        <v>-1.388888888888884E-2</v>
      </c>
      <c r="E45" s="36"/>
      <c r="F45" s="77" t="str">
        <f>VLOOKUP(A45,Соответствие!A:B,2,FALSE)</f>
        <v>Cancel_reservation</v>
      </c>
      <c r="G45" s="38">
        <f t="shared" si="17"/>
        <v>24</v>
      </c>
      <c r="H45" s="24">
        <f>VLOOKUP(F45,SummaryReport!A:J,8,FALSE)</f>
        <v>24</v>
      </c>
      <c r="I45" s="22">
        <f t="shared" si="20"/>
        <v>0</v>
      </c>
    </row>
    <row r="46" spans="1:9" ht="18" x14ac:dyDescent="0.35">
      <c r="A46" s="28" t="s">
        <v>6</v>
      </c>
      <c r="B46" s="72">
        <v>326</v>
      </c>
      <c r="C46" s="74">
        <f t="shared" si="18"/>
        <v>320.00317965023851</v>
      </c>
      <c r="D46" s="21">
        <f t="shared" si="19"/>
        <v>-1.873987738595595E-2</v>
      </c>
      <c r="E46" s="36"/>
      <c r="F46" s="77" t="str">
        <f>VLOOKUP(A46,Соответствие!A:B,2,FALSE)</f>
        <v>log_out</v>
      </c>
      <c r="G46" s="38">
        <f t="shared" si="17"/>
        <v>106.66772655007951</v>
      </c>
      <c r="H46" s="24">
        <f>VLOOKUP(F46,SummaryReport!A:J,8,FALSE)</f>
        <v>106</v>
      </c>
      <c r="I46" s="22">
        <f t="shared" si="20"/>
        <v>-6.2993070762218384E-3</v>
      </c>
    </row>
    <row r="47" spans="1:9" ht="36" x14ac:dyDescent="0.35">
      <c r="A47" s="28" t="s">
        <v>64</v>
      </c>
      <c r="B47" s="72">
        <v>97</v>
      </c>
      <c r="C47" s="74">
        <f t="shared" si="18"/>
        <v>97.297297297297305</v>
      </c>
      <c r="D47" s="21">
        <f t="shared" si="19"/>
        <v>3.0555555555555891E-3</v>
      </c>
      <c r="E47" s="36"/>
      <c r="F47" s="77" t="str">
        <f>VLOOKUP(A47,Соответствие!A:B,2,FALSE)</f>
        <v>Open_sign_up_now</v>
      </c>
      <c r="G47" s="38">
        <f t="shared" si="17"/>
        <v>32.432432432432435</v>
      </c>
      <c r="H47" s="24">
        <f>VLOOKUP(F47,SummaryReport!A:J,8,FALSE)</f>
        <v>33</v>
      </c>
      <c r="I47" s="22">
        <f t="shared" si="20"/>
        <v>1.7199017199017064E-2</v>
      </c>
    </row>
    <row r="48" spans="1:9" ht="36" x14ac:dyDescent="0.35">
      <c r="A48" s="28" t="s">
        <v>63</v>
      </c>
      <c r="B48" s="72">
        <v>97</v>
      </c>
      <c r="C48" s="74">
        <f t="shared" si="18"/>
        <v>97.297297297297305</v>
      </c>
      <c r="D48" s="21">
        <f t="shared" si="19"/>
        <v>3.0555555555555891E-3</v>
      </c>
      <c r="E48" s="36"/>
      <c r="F48" s="77" t="str">
        <f>VLOOKUP(A48,Соответствие!A:B,2,FALSE)</f>
        <v>Filling_out_the_form</v>
      </c>
      <c r="G48" s="38">
        <f t="shared" si="17"/>
        <v>32.432432432432435</v>
      </c>
      <c r="H48" s="24">
        <f>VLOOKUP(F48,SummaryReport!A:J,8,FALSE)</f>
        <v>33</v>
      </c>
      <c r="I48" s="22">
        <f t="shared" si="20"/>
        <v>1.7199017199017064E-2</v>
      </c>
    </row>
    <row r="49" spans="1:10" ht="36.5" thickBot="1" x14ac:dyDescent="0.4">
      <c r="A49" s="28" t="s">
        <v>65</v>
      </c>
      <c r="B49" s="72">
        <v>97</v>
      </c>
      <c r="C49" s="74">
        <f t="shared" si="18"/>
        <v>97.297297297297305</v>
      </c>
      <c r="D49" s="21">
        <f t="shared" si="19"/>
        <v>3.0555555555555891E-3</v>
      </c>
      <c r="E49" s="36"/>
      <c r="F49" s="77" t="str">
        <f>VLOOKUP(A49,Соответствие!A:B,2,FALSE)</f>
        <v>Continue</v>
      </c>
      <c r="G49" s="38">
        <f t="shared" si="17"/>
        <v>32.432432432432435</v>
      </c>
      <c r="H49" s="24">
        <f>VLOOKUP(F49,SummaryReport!A:J,8,FALSE)</f>
        <v>32</v>
      </c>
      <c r="I49" s="22">
        <f t="shared" si="20"/>
        <v>-1.3513513513513598E-2</v>
      </c>
    </row>
    <row r="50" spans="1:10" ht="18.5" thickBot="1" x14ac:dyDescent="0.4">
      <c r="A50" s="30" t="s">
        <v>7</v>
      </c>
      <c r="B50" s="73">
        <f>SUM(B38:B49)</f>
        <v>2944</v>
      </c>
      <c r="C50" s="75">
        <f>SUM(C38:C49)</f>
        <v>2917.0294729118264</v>
      </c>
      <c r="D50" s="21">
        <f t="shared" si="19"/>
        <v>-9.2458877562355823E-3</v>
      </c>
      <c r="I50" s="35"/>
    </row>
    <row r="51" spans="1:10" ht="15" thickBot="1" x14ac:dyDescent="0.4">
      <c r="I51" s="33"/>
    </row>
    <row r="52" spans="1:10" x14ac:dyDescent="0.35">
      <c r="A52" s="51"/>
      <c r="B52" s="52"/>
      <c r="C52" s="53" t="s">
        <v>75</v>
      </c>
      <c r="D52" s="53"/>
      <c r="E52" s="53"/>
      <c r="F52" s="53"/>
      <c r="G52" s="53"/>
      <c r="H52" s="53"/>
      <c r="I52" s="59">
        <f>1-B54/H54</f>
        <v>1.8333333333333202E-2</v>
      </c>
    </row>
    <row r="53" spans="1:10" x14ac:dyDescent="0.35">
      <c r="A53" s="54"/>
      <c r="B53" s="55" t="s">
        <v>90</v>
      </c>
      <c r="C53" s="55" t="s">
        <v>74</v>
      </c>
      <c r="D53" s="55" t="s">
        <v>70</v>
      </c>
      <c r="E53" s="55" t="s">
        <v>72</v>
      </c>
      <c r="F53" s="55" t="s">
        <v>71</v>
      </c>
      <c r="G53" s="55" t="s">
        <v>73</v>
      </c>
      <c r="H53" s="55" t="s">
        <v>89</v>
      </c>
      <c r="I53" s="59">
        <f>1-B55/H55</f>
        <v>-4.1666666666666741E-2</v>
      </c>
    </row>
    <row r="54" spans="1:10" x14ac:dyDescent="0.35">
      <c r="A54" s="56" t="s">
        <v>8</v>
      </c>
      <c r="B54" s="40">
        <f>124/3</f>
        <v>41.333333333333336</v>
      </c>
      <c r="C54" s="26">
        <v>57</v>
      </c>
      <c r="D54" s="25">
        <f>60/C54</f>
        <v>1.0526315789473684</v>
      </c>
      <c r="E54" s="32">
        <v>20</v>
      </c>
      <c r="F54" s="57">
        <f>B54/(D54*E54)</f>
        <v>1.9633333333333336</v>
      </c>
      <c r="G54" s="58">
        <f>ROUND(F54,0)</f>
        <v>2</v>
      </c>
      <c r="H54" s="58">
        <f>G54*D54*E54</f>
        <v>42.105263157894733</v>
      </c>
      <c r="I54" s="59">
        <f>1-B56/H56</f>
        <v>4.166666666666663E-2</v>
      </c>
    </row>
    <row r="55" spans="1:10" x14ac:dyDescent="0.35">
      <c r="A55" s="56" t="s">
        <v>98</v>
      </c>
      <c r="B55" s="40">
        <f>150/3</f>
        <v>50</v>
      </c>
      <c r="C55" s="26">
        <v>25</v>
      </c>
      <c r="D55" s="25">
        <f>60/C55</f>
        <v>2.4</v>
      </c>
      <c r="E55" s="32">
        <v>20</v>
      </c>
      <c r="F55" s="57">
        <f>B55/(D55*E55)</f>
        <v>1.0416666666666667</v>
      </c>
      <c r="G55" s="58">
        <f>ROUND(F55,0)</f>
        <v>1</v>
      </c>
      <c r="H55" s="58">
        <f>G55*D55*E55</f>
        <v>48</v>
      </c>
      <c r="I55" s="59">
        <f>1-B57/H57</f>
        <v>0</v>
      </c>
    </row>
    <row r="56" spans="1:10" x14ac:dyDescent="0.35">
      <c r="A56" s="56" t="s">
        <v>91</v>
      </c>
      <c r="B56" s="41">
        <f>30/3</f>
        <v>10</v>
      </c>
      <c r="C56" s="31">
        <v>115</v>
      </c>
      <c r="D56" s="25">
        <f>60/C56</f>
        <v>0.52173913043478259</v>
      </c>
      <c r="E56" s="32">
        <v>20</v>
      </c>
      <c r="F56" s="57">
        <f>B56/(D56*E56)</f>
        <v>0.95833333333333337</v>
      </c>
      <c r="G56" s="58">
        <v>1</v>
      </c>
      <c r="H56" s="58">
        <f>G56*D56*E56</f>
        <v>10.434782608695652</v>
      </c>
      <c r="I56" s="59">
        <f>1-B58/H58</f>
        <v>0</v>
      </c>
    </row>
    <row r="57" spans="1:10" ht="15" thickBot="1" x14ac:dyDescent="0.4">
      <c r="A57" s="56" t="s">
        <v>68</v>
      </c>
      <c r="B57" s="40">
        <f>20/3</f>
        <v>6.666666666666667</v>
      </c>
      <c r="C57" s="26">
        <v>180</v>
      </c>
      <c r="D57" s="25">
        <f>60/C57</f>
        <v>0.33333333333333331</v>
      </c>
      <c r="E57" s="32">
        <v>20</v>
      </c>
      <c r="F57" s="57">
        <f>B57/(D57*E57)</f>
        <v>1.0000000000000002</v>
      </c>
      <c r="G57" s="58">
        <v>1</v>
      </c>
      <c r="H57" s="58">
        <f>G57*D57*E57</f>
        <v>6.6666666666666661</v>
      </c>
      <c r="I57" s="34"/>
    </row>
    <row r="58" spans="1:10" x14ac:dyDescent="0.35">
      <c r="A58" s="56" t="s">
        <v>69</v>
      </c>
      <c r="B58" s="40">
        <f>120/3</f>
        <v>40</v>
      </c>
      <c r="C58" s="26">
        <v>30</v>
      </c>
      <c r="D58" s="25">
        <f>60/C58</f>
        <v>2</v>
      </c>
      <c r="E58" s="32">
        <v>20</v>
      </c>
      <c r="F58" s="57">
        <f>B58/(D58*E58)</f>
        <v>1</v>
      </c>
      <c r="G58" s="58">
        <f>ROUND(F58,0)</f>
        <v>1</v>
      </c>
      <c r="H58" s="58">
        <f>G58*D58*E58</f>
        <v>40</v>
      </c>
    </row>
    <row r="59" spans="1:10" ht="15" thickBot="1" x14ac:dyDescent="0.4">
      <c r="A59" s="60"/>
      <c r="B59" s="61"/>
      <c r="C59" s="61"/>
      <c r="D59" s="61"/>
      <c r="E59" s="61"/>
      <c r="F59" s="61"/>
      <c r="G59" s="62">
        <f>SUM(G54:G58)</f>
        <v>6</v>
      </c>
      <c r="H59" s="61"/>
    </row>
    <row r="60" spans="1:10" x14ac:dyDescent="0.35">
      <c r="I60" s="16" t="s">
        <v>39</v>
      </c>
      <c r="J60" t="s">
        <v>51</v>
      </c>
    </row>
    <row r="61" spans="1:10" ht="15" thickBot="1" x14ac:dyDescent="0.4">
      <c r="I61" s="17" t="s">
        <v>95</v>
      </c>
      <c r="J61" s="18">
        <v>48</v>
      </c>
    </row>
    <row r="62" spans="1:10" x14ac:dyDescent="0.35">
      <c r="A62" s="51" t="s">
        <v>101</v>
      </c>
      <c r="B62" s="52" t="s">
        <v>102</v>
      </c>
      <c r="C62" s="52" t="s">
        <v>103</v>
      </c>
      <c r="D62" s="52" t="s">
        <v>45</v>
      </c>
      <c r="E62" s="52" t="s">
        <v>104</v>
      </c>
      <c r="F62" s="52" t="s">
        <v>54</v>
      </c>
      <c r="G62" s="52" t="s">
        <v>7</v>
      </c>
      <c r="H62" s="35"/>
      <c r="I62" s="17" t="s">
        <v>92</v>
      </c>
      <c r="J62" s="18">
        <v>154.66666666666669</v>
      </c>
    </row>
    <row r="63" spans="1:10" x14ac:dyDescent="0.35">
      <c r="A63" s="54" t="s">
        <v>8</v>
      </c>
      <c r="B63" s="55" t="s">
        <v>92</v>
      </c>
      <c r="C63" s="58">
        <f t="shared" ref="C63:C88" si="21">VLOOKUP(A63,$A$54:$H$58,6,FALSE)</f>
        <v>1.9633333333333336</v>
      </c>
      <c r="D63" s="55">
        <f t="shared" ref="D63:D88" si="22">VLOOKUP(A63,$A$54:$H$58,3,FALSE)</f>
        <v>57</v>
      </c>
      <c r="E63" s="58">
        <f t="shared" ref="E63:E88" si="23">60/D63</f>
        <v>1.0526315789473684</v>
      </c>
      <c r="F63" s="55">
        <v>20</v>
      </c>
      <c r="G63" s="58">
        <f t="shared" ref="G63:G88" si="24">C63*E63*F63</f>
        <v>41.333333333333336</v>
      </c>
      <c r="H63" s="33"/>
      <c r="I63" s="17" t="s">
        <v>94</v>
      </c>
      <c r="J63" s="18">
        <v>48</v>
      </c>
    </row>
    <row r="64" spans="1:10" x14ac:dyDescent="0.35">
      <c r="A64" s="54" t="s">
        <v>8</v>
      </c>
      <c r="B64" s="55" t="s">
        <v>67</v>
      </c>
      <c r="C64" s="58">
        <f t="shared" si="21"/>
        <v>1.9633333333333336</v>
      </c>
      <c r="D64" s="55">
        <f t="shared" si="22"/>
        <v>57</v>
      </c>
      <c r="E64" s="58">
        <f t="shared" si="23"/>
        <v>1.0526315789473684</v>
      </c>
      <c r="F64" s="55">
        <v>20</v>
      </c>
      <c r="G64" s="58">
        <f t="shared" si="24"/>
        <v>41.333333333333336</v>
      </c>
      <c r="H64" s="33"/>
      <c r="I64" s="42" t="s">
        <v>97</v>
      </c>
      <c r="J64" s="18">
        <v>148</v>
      </c>
    </row>
    <row r="65" spans="1:10" x14ac:dyDescent="0.35">
      <c r="A65" s="54" t="s">
        <v>8</v>
      </c>
      <c r="B65" s="55" t="s">
        <v>93</v>
      </c>
      <c r="C65" s="58">
        <f t="shared" si="21"/>
        <v>1.9633333333333336</v>
      </c>
      <c r="D65" s="55">
        <f t="shared" si="22"/>
        <v>57</v>
      </c>
      <c r="E65" s="58">
        <f t="shared" si="23"/>
        <v>1.0526315789473684</v>
      </c>
      <c r="F65" s="55">
        <v>20</v>
      </c>
      <c r="G65" s="58">
        <f t="shared" si="24"/>
        <v>41.333333333333336</v>
      </c>
      <c r="H65" s="33"/>
      <c r="I65" s="42" t="s">
        <v>67</v>
      </c>
      <c r="J65" s="18">
        <v>148</v>
      </c>
    </row>
    <row r="66" spans="1:10" x14ac:dyDescent="0.35">
      <c r="A66" s="54" t="s">
        <v>8</v>
      </c>
      <c r="B66" s="55" t="s">
        <v>94</v>
      </c>
      <c r="C66" s="58">
        <f t="shared" si="21"/>
        <v>1.9633333333333336</v>
      </c>
      <c r="D66" s="55">
        <f t="shared" si="22"/>
        <v>57</v>
      </c>
      <c r="E66" s="58">
        <f t="shared" si="23"/>
        <v>1.0526315789473684</v>
      </c>
      <c r="F66" s="55">
        <v>20</v>
      </c>
      <c r="G66" s="58">
        <f t="shared" si="24"/>
        <v>41.333333333333336</v>
      </c>
      <c r="H66" s="33"/>
      <c r="I66" s="17" t="s">
        <v>93</v>
      </c>
      <c r="J66" s="18">
        <v>48</v>
      </c>
    </row>
    <row r="67" spans="1:10" x14ac:dyDescent="0.35">
      <c r="A67" s="54" t="s">
        <v>8</v>
      </c>
      <c r="B67" s="55" t="s">
        <v>95</v>
      </c>
      <c r="C67" s="58">
        <f t="shared" si="21"/>
        <v>1.9633333333333336</v>
      </c>
      <c r="D67" s="55">
        <f t="shared" si="22"/>
        <v>57</v>
      </c>
      <c r="E67" s="58">
        <f t="shared" si="23"/>
        <v>1.0526315789473684</v>
      </c>
      <c r="F67" s="55">
        <v>20</v>
      </c>
      <c r="G67" s="58">
        <f t="shared" si="24"/>
        <v>41.333333333333336</v>
      </c>
      <c r="H67" s="33"/>
      <c r="I67" s="42" t="s">
        <v>96</v>
      </c>
      <c r="J67" s="18">
        <v>41.333333333333336</v>
      </c>
    </row>
    <row r="68" spans="1:10" x14ac:dyDescent="0.35">
      <c r="A68" s="54" t="s">
        <v>8</v>
      </c>
      <c r="B68" s="55" t="s">
        <v>96</v>
      </c>
      <c r="C68" s="58">
        <f t="shared" si="21"/>
        <v>1.9633333333333336</v>
      </c>
      <c r="D68" s="55">
        <f t="shared" si="22"/>
        <v>57</v>
      </c>
      <c r="E68" s="58">
        <f t="shared" si="23"/>
        <v>1.0526315789473684</v>
      </c>
      <c r="F68" s="55">
        <v>20</v>
      </c>
      <c r="G68" s="58">
        <f t="shared" si="24"/>
        <v>41.333333333333336</v>
      </c>
      <c r="H68" s="33"/>
      <c r="I68" s="17" t="s">
        <v>99</v>
      </c>
      <c r="J68" s="18">
        <v>50</v>
      </c>
    </row>
    <row r="69" spans="1:10" x14ac:dyDescent="0.35">
      <c r="A69" s="54" t="s">
        <v>8</v>
      </c>
      <c r="B69" s="55" t="s">
        <v>97</v>
      </c>
      <c r="C69" s="58">
        <f t="shared" si="21"/>
        <v>1.9633333333333336</v>
      </c>
      <c r="D69" s="55">
        <f t="shared" si="22"/>
        <v>57</v>
      </c>
      <c r="E69" s="58">
        <f t="shared" si="23"/>
        <v>1.0526315789473684</v>
      </c>
      <c r="F69" s="55">
        <v>20</v>
      </c>
      <c r="G69" s="58">
        <f t="shared" si="24"/>
        <v>41.333333333333336</v>
      </c>
      <c r="H69" s="33"/>
      <c r="I69" s="42" t="s">
        <v>100</v>
      </c>
      <c r="J69" s="18">
        <v>10</v>
      </c>
    </row>
    <row r="70" spans="1:10" x14ac:dyDescent="0.35">
      <c r="A70" s="54" t="s">
        <v>98</v>
      </c>
      <c r="B70" s="55" t="s">
        <v>92</v>
      </c>
      <c r="C70" s="58">
        <f t="shared" si="21"/>
        <v>1.0416666666666667</v>
      </c>
      <c r="D70" s="55">
        <f t="shared" si="22"/>
        <v>25</v>
      </c>
      <c r="E70" s="58">
        <f t="shared" si="23"/>
        <v>2.4</v>
      </c>
      <c r="F70" s="55">
        <v>20</v>
      </c>
      <c r="G70" s="58">
        <f t="shared" si="24"/>
        <v>50</v>
      </c>
      <c r="H70" s="33"/>
      <c r="I70" s="17" t="s">
        <v>40</v>
      </c>
      <c r="J70" s="15">
        <v>696.00000000000011</v>
      </c>
    </row>
    <row r="71" spans="1:10" x14ac:dyDescent="0.35">
      <c r="A71" s="54" t="s">
        <v>98</v>
      </c>
      <c r="B71" s="55" t="s">
        <v>67</v>
      </c>
      <c r="C71" s="58">
        <f t="shared" si="21"/>
        <v>1.0416666666666667</v>
      </c>
      <c r="D71" s="55">
        <f t="shared" si="22"/>
        <v>25</v>
      </c>
      <c r="E71" s="58">
        <f t="shared" si="23"/>
        <v>2.4</v>
      </c>
      <c r="F71" s="55">
        <v>20</v>
      </c>
      <c r="G71" s="58">
        <f t="shared" si="24"/>
        <v>50</v>
      </c>
      <c r="H71" s="33"/>
    </row>
    <row r="72" spans="1:10" x14ac:dyDescent="0.35">
      <c r="A72" s="54" t="s">
        <v>98</v>
      </c>
      <c r="B72" s="55" t="s">
        <v>97</v>
      </c>
      <c r="C72" s="58">
        <f t="shared" si="21"/>
        <v>1.0416666666666667</v>
      </c>
      <c r="D72" s="55">
        <f t="shared" si="22"/>
        <v>25</v>
      </c>
      <c r="E72" s="58">
        <f t="shared" si="23"/>
        <v>2.4</v>
      </c>
      <c r="F72" s="55">
        <v>20</v>
      </c>
      <c r="G72" s="58">
        <f t="shared" si="24"/>
        <v>50</v>
      </c>
      <c r="H72" s="33"/>
    </row>
    <row r="73" spans="1:10" x14ac:dyDescent="0.35">
      <c r="A73" s="54" t="s">
        <v>91</v>
      </c>
      <c r="B73" s="55" t="s">
        <v>92</v>
      </c>
      <c r="C73" s="58">
        <f t="shared" si="21"/>
        <v>0.95833333333333337</v>
      </c>
      <c r="D73" s="55">
        <f t="shared" si="22"/>
        <v>115</v>
      </c>
      <c r="E73" s="58">
        <f t="shared" si="23"/>
        <v>0.52173913043478259</v>
      </c>
      <c r="F73" s="55">
        <v>20</v>
      </c>
      <c r="G73" s="58">
        <f t="shared" si="24"/>
        <v>10</v>
      </c>
      <c r="H73" s="33"/>
    </row>
    <row r="74" spans="1:10" x14ac:dyDescent="0.35">
      <c r="A74" s="54" t="s">
        <v>91</v>
      </c>
      <c r="B74" s="55" t="s">
        <v>67</v>
      </c>
      <c r="C74" s="58">
        <f t="shared" si="21"/>
        <v>0.95833333333333337</v>
      </c>
      <c r="D74" s="55">
        <f t="shared" si="22"/>
        <v>115</v>
      </c>
      <c r="E74" s="58">
        <f t="shared" si="23"/>
        <v>0.52173913043478259</v>
      </c>
      <c r="F74" s="55">
        <v>20</v>
      </c>
      <c r="G74" s="58">
        <f t="shared" si="24"/>
        <v>10</v>
      </c>
      <c r="H74" s="33"/>
    </row>
    <row r="75" spans="1:10" x14ac:dyDescent="0.35">
      <c r="A75" s="54" t="s">
        <v>91</v>
      </c>
      <c r="B75" s="55" t="s">
        <v>99</v>
      </c>
      <c r="C75" s="58">
        <f t="shared" si="21"/>
        <v>0.95833333333333337</v>
      </c>
      <c r="D75" s="55">
        <f t="shared" si="22"/>
        <v>115</v>
      </c>
      <c r="E75" s="58">
        <f t="shared" si="23"/>
        <v>0.52173913043478259</v>
      </c>
      <c r="F75" s="55">
        <v>20</v>
      </c>
      <c r="G75" s="58">
        <f t="shared" si="24"/>
        <v>10</v>
      </c>
      <c r="H75" s="33"/>
    </row>
    <row r="76" spans="1:10" x14ac:dyDescent="0.35">
      <c r="A76" s="54" t="s">
        <v>91</v>
      </c>
      <c r="B76" s="55" t="s">
        <v>100</v>
      </c>
      <c r="C76" s="58">
        <f t="shared" si="21"/>
        <v>0.95833333333333337</v>
      </c>
      <c r="D76" s="55">
        <f t="shared" si="22"/>
        <v>115</v>
      </c>
      <c r="E76" s="58">
        <f t="shared" si="23"/>
        <v>0.52173913043478259</v>
      </c>
      <c r="F76" s="55">
        <v>20</v>
      </c>
      <c r="G76" s="58">
        <f t="shared" si="24"/>
        <v>10</v>
      </c>
      <c r="H76" s="33"/>
    </row>
    <row r="77" spans="1:10" x14ac:dyDescent="0.35">
      <c r="A77" s="54" t="s">
        <v>91</v>
      </c>
      <c r="B77" s="55" t="s">
        <v>97</v>
      </c>
      <c r="C77" s="58">
        <f t="shared" si="21"/>
        <v>0.95833333333333337</v>
      </c>
      <c r="D77" s="55">
        <f t="shared" si="22"/>
        <v>115</v>
      </c>
      <c r="E77" s="58">
        <f t="shared" si="23"/>
        <v>0.52173913043478259</v>
      </c>
      <c r="F77" s="55">
        <v>20</v>
      </c>
      <c r="G77" s="58">
        <f t="shared" si="24"/>
        <v>10</v>
      </c>
      <c r="H77" s="33"/>
    </row>
    <row r="78" spans="1:10" x14ac:dyDescent="0.35">
      <c r="A78" s="54" t="s">
        <v>68</v>
      </c>
      <c r="B78" s="55" t="s">
        <v>92</v>
      </c>
      <c r="C78" s="58">
        <f t="shared" si="21"/>
        <v>1.0000000000000002</v>
      </c>
      <c r="D78" s="55">
        <f t="shared" si="22"/>
        <v>180</v>
      </c>
      <c r="E78" s="58">
        <f t="shared" si="23"/>
        <v>0.33333333333333331</v>
      </c>
      <c r="F78" s="55">
        <v>20</v>
      </c>
      <c r="G78" s="58">
        <f t="shared" si="24"/>
        <v>6.6666666666666679</v>
      </c>
      <c r="H78" s="33"/>
    </row>
    <row r="79" spans="1:10" x14ac:dyDescent="0.35">
      <c r="A79" s="54" t="s">
        <v>68</v>
      </c>
      <c r="B79" s="55" t="s">
        <v>92</v>
      </c>
      <c r="C79" s="58">
        <f t="shared" si="21"/>
        <v>1.0000000000000002</v>
      </c>
      <c r="D79" s="55">
        <f t="shared" si="22"/>
        <v>180</v>
      </c>
      <c r="E79" s="58">
        <f t="shared" si="23"/>
        <v>0.33333333333333331</v>
      </c>
      <c r="F79" s="55">
        <v>20</v>
      </c>
      <c r="G79" s="58">
        <f t="shared" si="24"/>
        <v>6.6666666666666679</v>
      </c>
      <c r="H79" s="33"/>
    </row>
    <row r="80" spans="1:10" x14ac:dyDescent="0.35">
      <c r="A80" s="54" t="s">
        <v>68</v>
      </c>
      <c r="B80" s="55" t="s">
        <v>67</v>
      </c>
      <c r="C80" s="58">
        <f t="shared" si="21"/>
        <v>1.0000000000000002</v>
      </c>
      <c r="D80" s="55">
        <f t="shared" si="22"/>
        <v>180</v>
      </c>
      <c r="E80" s="58">
        <f t="shared" si="23"/>
        <v>0.33333333333333331</v>
      </c>
      <c r="F80" s="55">
        <v>20</v>
      </c>
      <c r="G80" s="58">
        <f t="shared" si="24"/>
        <v>6.6666666666666679</v>
      </c>
      <c r="H80" s="33"/>
    </row>
    <row r="81" spans="1:8" x14ac:dyDescent="0.35">
      <c r="A81" s="54" t="s">
        <v>68</v>
      </c>
      <c r="B81" s="55" t="s">
        <v>93</v>
      </c>
      <c r="C81" s="58">
        <f t="shared" si="21"/>
        <v>1.0000000000000002</v>
      </c>
      <c r="D81" s="55">
        <f t="shared" si="22"/>
        <v>180</v>
      </c>
      <c r="E81" s="58">
        <f t="shared" si="23"/>
        <v>0.33333333333333331</v>
      </c>
      <c r="F81" s="55">
        <v>20</v>
      </c>
      <c r="G81" s="58">
        <f t="shared" si="24"/>
        <v>6.6666666666666679</v>
      </c>
      <c r="H81" s="33"/>
    </row>
    <row r="82" spans="1:8" x14ac:dyDescent="0.35">
      <c r="A82" s="54" t="s">
        <v>68</v>
      </c>
      <c r="B82" s="55" t="s">
        <v>94</v>
      </c>
      <c r="C82" s="58">
        <f t="shared" si="21"/>
        <v>1.0000000000000002</v>
      </c>
      <c r="D82" s="55">
        <f t="shared" si="22"/>
        <v>180</v>
      </c>
      <c r="E82" s="58">
        <f t="shared" si="23"/>
        <v>0.33333333333333331</v>
      </c>
      <c r="F82" s="55">
        <v>20</v>
      </c>
      <c r="G82" s="58">
        <f t="shared" si="24"/>
        <v>6.6666666666666679</v>
      </c>
      <c r="H82" s="33"/>
    </row>
    <row r="83" spans="1:8" x14ac:dyDescent="0.35">
      <c r="A83" s="54" t="s">
        <v>68</v>
      </c>
      <c r="B83" s="55" t="s">
        <v>95</v>
      </c>
      <c r="C83" s="58">
        <f t="shared" si="21"/>
        <v>1.0000000000000002</v>
      </c>
      <c r="D83" s="55">
        <f t="shared" si="22"/>
        <v>180</v>
      </c>
      <c r="E83" s="58">
        <f t="shared" si="23"/>
        <v>0.33333333333333331</v>
      </c>
      <c r="F83" s="55">
        <v>20</v>
      </c>
      <c r="G83" s="58">
        <f t="shared" si="24"/>
        <v>6.6666666666666679</v>
      </c>
      <c r="H83" s="33"/>
    </row>
    <row r="84" spans="1:8" x14ac:dyDescent="0.35">
      <c r="A84" s="54" t="s">
        <v>68</v>
      </c>
      <c r="B84" s="55" t="s">
        <v>97</v>
      </c>
      <c r="C84" s="58">
        <f t="shared" si="21"/>
        <v>1.0000000000000002</v>
      </c>
      <c r="D84" s="55">
        <f t="shared" si="22"/>
        <v>180</v>
      </c>
      <c r="E84" s="58">
        <f t="shared" si="23"/>
        <v>0.33333333333333331</v>
      </c>
      <c r="F84" s="55">
        <v>20</v>
      </c>
      <c r="G84" s="58">
        <f t="shared" si="24"/>
        <v>6.6666666666666679</v>
      </c>
      <c r="H84" s="33"/>
    </row>
    <row r="85" spans="1:8" x14ac:dyDescent="0.35">
      <c r="A85" s="54" t="s">
        <v>69</v>
      </c>
      <c r="B85" s="55" t="s">
        <v>92</v>
      </c>
      <c r="C85" s="58">
        <f t="shared" si="21"/>
        <v>1</v>
      </c>
      <c r="D85" s="55">
        <f t="shared" si="22"/>
        <v>30</v>
      </c>
      <c r="E85" s="58">
        <f t="shared" si="23"/>
        <v>2</v>
      </c>
      <c r="F85" s="55">
        <v>20</v>
      </c>
      <c r="G85" s="58">
        <f t="shared" si="24"/>
        <v>40</v>
      </c>
      <c r="H85" s="33"/>
    </row>
    <row r="86" spans="1:8" x14ac:dyDescent="0.35">
      <c r="A86" s="54" t="s">
        <v>69</v>
      </c>
      <c r="B86" s="55" t="s">
        <v>67</v>
      </c>
      <c r="C86" s="58">
        <f t="shared" si="21"/>
        <v>1</v>
      </c>
      <c r="D86" s="55">
        <f t="shared" si="22"/>
        <v>30</v>
      </c>
      <c r="E86" s="58">
        <f t="shared" si="23"/>
        <v>2</v>
      </c>
      <c r="F86" s="55">
        <v>20</v>
      </c>
      <c r="G86" s="58">
        <f t="shared" si="24"/>
        <v>40</v>
      </c>
      <c r="H86" s="33"/>
    </row>
    <row r="87" spans="1:8" x14ac:dyDescent="0.35">
      <c r="A87" s="54" t="s">
        <v>69</v>
      </c>
      <c r="B87" s="55" t="s">
        <v>99</v>
      </c>
      <c r="C87" s="58">
        <f t="shared" si="21"/>
        <v>1</v>
      </c>
      <c r="D87" s="55">
        <f t="shared" si="22"/>
        <v>30</v>
      </c>
      <c r="E87" s="58">
        <f t="shared" si="23"/>
        <v>2</v>
      </c>
      <c r="F87" s="55">
        <v>20</v>
      </c>
      <c r="G87" s="58">
        <f t="shared" si="24"/>
        <v>40</v>
      </c>
      <c r="H87" s="33"/>
    </row>
    <row r="88" spans="1:8" ht="15" thickBot="1" x14ac:dyDescent="0.4">
      <c r="A88" s="60" t="s">
        <v>69</v>
      </c>
      <c r="B88" s="61" t="s">
        <v>97</v>
      </c>
      <c r="C88" s="62">
        <f t="shared" si="21"/>
        <v>1</v>
      </c>
      <c r="D88" s="61">
        <f t="shared" si="22"/>
        <v>30</v>
      </c>
      <c r="E88" s="62">
        <f t="shared" si="23"/>
        <v>2</v>
      </c>
      <c r="F88" s="61">
        <v>20</v>
      </c>
      <c r="G88" s="62">
        <f t="shared" si="24"/>
        <v>40</v>
      </c>
      <c r="H88" s="34"/>
    </row>
  </sheetData>
  <mergeCells count="2">
    <mergeCell ref="A36:B36"/>
    <mergeCell ref="C36:D36"/>
  </mergeCells>
  <pageMargins left="0.7" right="0.7" top="0.75" bottom="0.75" header="0.3" footer="0.3"/>
  <pageSetup paperSize="9" orientation="portrait"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Z62"/>
  <sheetViews>
    <sheetView tabSelected="1" topLeftCell="E17" zoomScale="86" workbookViewId="0">
      <selection activeCell="J49" sqref="J49"/>
    </sheetView>
  </sheetViews>
  <sheetFormatPr defaultColWidth="8.81640625" defaultRowHeight="14.5" x14ac:dyDescent="0.35"/>
  <cols>
    <col min="2" max="2" width="4.453125" customWidth="1"/>
    <col min="3" max="4" width="9.1796875" hidden="1" customWidth="1"/>
    <col min="5" max="5" width="20.453125" customWidth="1"/>
    <col min="6" max="6" width="18.81640625" customWidth="1"/>
    <col min="7" max="7" width="15.26953125" customWidth="1"/>
    <col min="8" max="8" width="15.1796875" customWidth="1"/>
    <col min="9" max="9" width="14" customWidth="1"/>
    <col min="11" max="11" width="1.453125" customWidth="1"/>
    <col min="12" max="12" width="40.26953125" customWidth="1"/>
    <col min="13" max="13" width="6" bestFit="1" customWidth="1"/>
    <col min="14" max="14" width="4.1796875" bestFit="1" customWidth="1"/>
    <col min="15" max="15" width="5" bestFit="1" customWidth="1"/>
    <col min="16" max="16" width="14.1796875" bestFit="1" customWidth="1"/>
    <col min="17" max="17" width="19.453125" bestFit="1" customWidth="1"/>
  </cols>
  <sheetData>
    <row r="9" spans="5:9" x14ac:dyDescent="0.35">
      <c r="E9" s="86" t="s">
        <v>32</v>
      </c>
      <c r="F9" s="86"/>
      <c r="G9" s="86"/>
      <c r="H9" s="86"/>
      <c r="I9" s="86"/>
    </row>
    <row r="11" spans="5:9" ht="28" x14ac:dyDescent="0.35">
      <c r="E11" s="1" t="s">
        <v>14</v>
      </c>
      <c r="F11" s="1" t="s">
        <v>15</v>
      </c>
      <c r="G11" s="1" t="s">
        <v>16</v>
      </c>
      <c r="H11" s="1" t="s">
        <v>17</v>
      </c>
      <c r="I11" s="1" t="s">
        <v>18</v>
      </c>
    </row>
    <row r="12" spans="5:9" ht="15" x14ac:dyDescent="0.35">
      <c r="E12" s="2" t="s">
        <v>0</v>
      </c>
      <c r="F12" s="3" t="s">
        <v>24</v>
      </c>
      <c r="G12" s="4">
        <v>407</v>
      </c>
      <c r="H12" s="3">
        <v>408</v>
      </c>
      <c r="I12" s="5">
        <f>1-G12/H12</f>
        <v>2.450980392156854E-3</v>
      </c>
    </row>
    <row r="13" spans="5:9" ht="30" x14ac:dyDescent="0.35">
      <c r="E13" s="2" t="s">
        <v>1</v>
      </c>
      <c r="F13" s="3" t="s">
        <v>23</v>
      </c>
      <c r="G13" s="4">
        <v>269</v>
      </c>
      <c r="H13" s="3">
        <f>88*3</f>
        <v>264</v>
      </c>
      <c r="I13" s="5">
        <f t="shared" ref="I13:I18" si="0">1-G13/H13</f>
        <v>-1.8939393939394034E-2</v>
      </c>
    </row>
    <row r="14" spans="5:9" ht="30" x14ac:dyDescent="0.35">
      <c r="E14" s="2" t="s">
        <v>2</v>
      </c>
      <c r="F14" s="3" t="s">
        <v>26</v>
      </c>
      <c r="G14" s="4">
        <v>269</v>
      </c>
      <c r="H14" s="3">
        <f>88*3</f>
        <v>264</v>
      </c>
      <c r="I14" s="5">
        <f t="shared" si="0"/>
        <v>-1.8939393939394034E-2</v>
      </c>
    </row>
    <row r="15" spans="5:9" ht="15" x14ac:dyDescent="0.35">
      <c r="E15" s="2" t="s">
        <v>3</v>
      </c>
      <c r="F15" s="3" t="s">
        <v>19</v>
      </c>
      <c r="G15" s="4">
        <v>185</v>
      </c>
      <c r="H15" s="3">
        <f>62*3</f>
        <v>186</v>
      </c>
      <c r="I15" s="6">
        <f t="shared" si="0"/>
        <v>5.3763440860215006E-3</v>
      </c>
    </row>
    <row r="16" spans="5:9" ht="30" x14ac:dyDescent="0.35">
      <c r="E16" s="2" t="s">
        <v>20</v>
      </c>
      <c r="F16" s="3" t="s">
        <v>22</v>
      </c>
      <c r="G16" s="4">
        <v>293</v>
      </c>
      <c r="H16" s="4">
        <f>98*3</f>
        <v>294</v>
      </c>
      <c r="I16" s="5">
        <f t="shared" si="0"/>
        <v>3.4013605442176909E-3</v>
      </c>
    </row>
    <row r="17" spans="5:26" ht="45" x14ac:dyDescent="0.35">
      <c r="E17" s="2" t="s">
        <v>5</v>
      </c>
      <c r="F17" s="3" t="s">
        <v>21</v>
      </c>
      <c r="G17" s="4">
        <v>72</v>
      </c>
      <c r="H17" s="3">
        <f>24*3</f>
        <v>72</v>
      </c>
      <c r="I17" s="5">
        <f t="shared" si="0"/>
        <v>0</v>
      </c>
    </row>
    <row r="18" spans="5:26" ht="15" x14ac:dyDescent="0.35">
      <c r="E18" s="2" t="s">
        <v>6</v>
      </c>
      <c r="F18" s="3" t="s">
        <v>25</v>
      </c>
      <c r="G18" s="4">
        <v>320</v>
      </c>
      <c r="H18" s="3">
        <f>106*3</f>
        <v>318</v>
      </c>
      <c r="I18" s="5">
        <f t="shared" si="0"/>
        <v>-6.2893081761006275E-3</v>
      </c>
    </row>
    <row r="23" spans="5:26" x14ac:dyDescent="0.35">
      <c r="E23" s="86" t="s">
        <v>121</v>
      </c>
      <c r="F23" s="86"/>
      <c r="G23" s="86"/>
      <c r="H23" s="86"/>
      <c r="I23" s="86"/>
    </row>
    <row r="24" spans="5:26" x14ac:dyDescent="0.35">
      <c r="Q24" s="89" t="s">
        <v>27</v>
      </c>
      <c r="R24" s="89" t="s">
        <v>81</v>
      </c>
      <c r="S24" s="89" t="s">
        <v>82</v>
      </c>
      <c r="T24" s="89" t="s">
        <v>83</v>
      </c>
      <c r="U24" s="89" t="s">
        <v>84</v>
      </c>
      <c r="V24" s="89" t="s">
        <v>85</v>
      </c>
      <c r="W24" s="89" t="s">
        <v>86</v>
      </c>
      <c r="X24" s="89" t="s">
        <v>28</v>
      </c>
      <c r="Y24" s="89" t="s">
        <v>29</v>
      </c>
      <c r="Z24" s="89" t="s">
        <v>30</v>
      </c>
    </row>
    <row r="25" spans="5:26" x14ac:dyDescent="0.35">
      <c r="E25" s="8" t="s">
        <v>14</v>
      </c>
      <c r="F25" s="8" t="s">
        <v>15</v>
      </c>
      <c r="G25" s="8" t="s">
        <v>16</v>
      </c>
      <c r="H25" s="8" t="s">
        <v>17</v>
      </c>
      <c r="I25" s="8" t="s">
        <v>18</v>
      </c>
      <c r="Q25" s="89" t="s">
        <v>115</v>
      </c>
      <c r="R25" s="89" t="s">
        <v>87</v>
      </c>
      <c r="S25" s="89">
        <v>0.26400000000000001</v>
      </c>
      <c r="T25" s="89">
        <v>0.86099999999999999</v>
      </c>
      <c r="U25" s="89">
        <v>3.8740000000000001</v>
      </c>
      <c r="V25" s="89">
        <v>0.79800000000000004</v>
      </c>
      <c r="W25" s="89">
        <v>2.1579999999999999</v>
      </c>
      <c r="X25" s="89">
        <v>388</v>
      </c>
      <c r="Y25" s="89">
        <v>1</v>
      </c>
      <c r="Z25" s="89">
        <v>0</v>
      </c>
    </row>
    <row r="26" spans="5:26" ht="15" x14ac:dyDescent="0.35">
      <c r="E26" s="13" t="s">
        <v>0</v>
      </c>
      <c r="F26" s="12" t="s">
        <v>24</v>
      </c>
      <c r="G26" s="10">
        <f>4*G12</f>
        <v>1628</v>
      </c>
      <c r="H26" s="9">
        <f>4*H12</f>
        <v>1632</v>
      </c>
      <c r="I26" s="11">
        <f>1-G26/H26</f>
        <v>2.450980392156854E-3</v>
      </c>
      <c r="Q26" s="89" t="s">
        <v>108</v>
      </c>
      <c r="R26" s="89" t="s">
        <v>87</v>
      </c>
      <c r="S26" s="89">
        <v>0.26400000000000001</v>
      </c>
      <c r="T26" s="89">
        <v>0.86099999999999999</v>
      </c>
      <c r="U26" s="89">
        <v>3.8740000000000001</v>
      </c>
      <c r="V26" s="89">
        <v>0</v>
      </c>
      <c r="W26" s="89">
        <v>2.1579999999999999</v>
      </c>
      <c r="X26" s="89">
        <v>388</v>
      </c>
      <c r="Y26" s="89">
        <v>1</v>
      </c>
      <c r="Z26" s="89">
        <v>0</v>
      </c>
    </row>
    <row r="27" spans="5:26" ht="15" x14ac:dyDescent="0.35">
      <c r="E27" s="13" t="s">
        <v>1</v>
      </c>
      <c r="F27" s="12" t="s">
        <v>23</v>
      </c>
      <c r="G27" s="10">
        <f t="shared" ref="G27:H32" si="1">4*G13</f>
        <v>1076</v>
      </c>
      <c r="H27" s="9">
        <f t="shared" si="1"/>
        <v>1056</v>
      </c>
      <c r="I27" s="11">
        <f t="shared" ref="I27:I32" si="2">1-G27/H27</f>
        <v>-1.8939393939394034E-2</v>
      </c>
      <c r="Q27" s="89" t="s">
        <v>116</v>
      </c>
      <c r="R27" s="89" t="s">
        <v>87</v>
      </c>
      <c r="S27" s="89">
        <v>0.52200000000000002</v>
      </c>
      <c r="T27" s="89">
        <v>1.198</v>
      </c>
      <c r="U27" s="89">
        <v>5.0259999999999998</v>
      </c>
      <c r="V27" s="89">
        <v>0.83</v>
      </c>
      <c r="W27" s="89">
        <v>2.4670000000000001</v>
      </c>
      <c r="X27" s="89">
        <v>738</v>
      </c>
      <c r="Y27" s="89">
        <v>0</v>
      </c>
      <c r="Z27" s="89">
        <v>0</v>
      </c>
    </row>
    <row r="28" spans="5:26" ht="15" x14ac:dyDescent="0.35">
      <c r="E28" s="13" t="s">
        <v>2</v>
      </c>
      <c r="F28" s="12" t="s">
        <v>26</v>
      </c>
      <c r="G28" s="10">
        <f t="shared" si="1"/>
        <v>1076</v>
      </c>
      <c r="H28" s="9">
        <f t="shared" si="1"/>
        <v>1056</v>
      </c>
      <c r="I28" s="11">
        <f t="shared" si="2"/>
        <v>-1.8939393939394034E-2</v>
      </c>
      <c r="Q28" s="89" t="s">
        <v>108</v>
      </c>
      <c r="R28" s="89" t="s">
        <v>87</v>
      </c>
      <c r="S28" s="89">
        <v>0.52200000000000002</v>
      </c>
      <c r="T28" s="89">
        <v>1.198</v>
      </c>
      <c r="U28" s="89">
        <v>5.0259999999999998</v>
      </c>
      <c r="V28" s="89">
        <v>0</v>
      </c>
      <c r="W28" s="89">
        <v>2.4670000000000001</v>
      </c>
      <c r="X28" s="89">
        <v>738</v>
      </c>
      <c r="Y28" s="89">
        <v>0</v>
      </c>
      <c r="Z28" s="89">
        <v>0</v>
      </c>
    </row>
    <row r="29" spans="5:26" ht="15" x14ac:dyDescent="0.35">
      <c r="E29" s="13" t="s">
        <v>3</v>
      </c>
      <c r="F29" s="12" t="s">
        <v>19</v>
      </c>
      <c r="G29" s="10">
        <f t="shared" si="1"/>
        <v>740</v>
      </c>
      <c r="H29" s="9">
        <f t="shared" si="1"/>
        <v>744</v>
      </c>
      <c r="I29" s="7">
        <f t="shared" si="2"/>
        <v>5.3763440860215006E-3</v>
      </c>
      <c r="Q29" s="89" t="s">
        <v>117</v>
      </c>
      <c r="R29" s="89" t="s">
        <v>87</v>
      </c>
      <c r="S29" s="89">
        <v>0.41499999999999998</v>
      </c>
      <c r="T29" s="89">
        <v>1.2969999999999999</v>
      </c>
      <c r="U29" s="89">
        <v>5.1109999999999998</v>
      </c>
      <c r="V29" s="89">
        <v>1.0429999999999999</v>
      </c>
      <c r="W29" s="89">
        <v>2.8929999999999998</v>
      </c>
      <c r="X29" s="89">
        <v>288</v>
      </c>
      <c r="Y29" s="89">
        <v>0</v>
      </c>
      <c r="Z29" s="89">
        <v>0</v>
      </c>
    </row>
    <row r="30" spans="5:26" ht="15" x14ac:dyDescent="0.35">
      <c r="E30" s="13" t="s">
        <v>20</v>
      </c>
      <c r="F30" s="12" t="s">
        <v>22</v>
      </c>
      <c r="G30" s="10">
        <f t="shared" si="1"/>
        <v>1172</v>
      </c>
      <c r="H30" s="9">
        <f t="shared" si="1"/>
        <v>1176</v>
      </c>
      <c r="I30" s="11">
        <f t="shared" si="2"/>
        <v>3.4013605442176909E-3</v>
      </c>
      <c r="Q30" s="89" t="s">
        <v>108</v>
      </c>
      <c r="R30" s="89" t="s">
        <v>87</v>
      </c>
      <c r="S30" s="89">
        <v>0.41499999999999998</v>
      </c>
      <c r="T30" s="89">
        <v>1.2969999999999999</v>
      </c>
      <c r="U30" s="89">
        <v>5.1109999999999998</v>
      </c>
      <c r="V30" s="89">
        <v>0</v>
      </c>
      <c r="W30" s="89">
        <v>2.8929999999999998</v>
      </c>
      <c r="X30" s="89">
        <v>288</v>
      </c>
      <c r="Y30" s="89">
        <v>0</v>
      </c>
      <c r="Z30" s="89">
        <v>0</v>
      </c>
    </row>
    <row r="31" spans="5:26" ht="15" x14ac:dyDescent="0.35">
      <c r="E31" s="13" t="s">
        <v>5</v>
      </c>
      <c r="F31" s="12" t="s">
        <v>21</v>
      </c>
      <c r="G31" s="10">
        <f t="shared" si="1"/>
        <v>288</v>
      </c>
      <c r="H31" s="9">
        <f t="shared" si="1"/>
        <v>288</v>
      </c>
      <c r="I31" s="11">
        <f t="shared" si="2"/>
        <v>0</v>
      </c>
      <c r="Q31" s="89" t="s">
        <v>118</v>
      </c>
      <c r="R31" s="89" t="s">
        <v>87</v>
      </c>
      <c r="S31" s="89">
        <v>0.39900000000000002</v>
      </c>
      <c r="T31" s="89">
        <v>0.79700000000000004</v>
      </c>
      <c r="U31" s="89">
        <v>4.92</v>
      </c>
      <c r="V31" s="89">
        <v>0.64600000000000002</v>
      </c>
      <c r="W31" s="89">
        <v>1.4059999999999999</v>
      </c>
      <c r="X31" s="89">
        <v>337</v>
      </c>
      <c r="Y31" s="89">
        <v>2</v>
      </c>
      <c r="Z31" s="89">
        <v>0</v>
      </c>
    </row>
    <row r="32" spans="5:26" ht="15" x14ac:dyDescent="0.35">
      <c r="E32" s="13" t="s">
        <v>6</v>
      </c>
      <c r="F32" s="12" t="s">
        <v>25</v>
      </c>
      <c r="G32" s="10">
        <f t="shared" si="1"/>
        <v>1280</v>
      </c>
      <c r="H32" s="9">
        <f t="shared" si="1"/>
        <v>1272</v>
      </c>
      <c r="I32" s="11">
        <f t="shared" si="2"/>
        <v>-6.2893081761006275E-3</v>
      </c>
      <c r="Q32" s="89" t="s">
        <v>108</v>
      </c>
      <c r="R32" s="89" t="s">
        <v>87</v>
      </c>
      <c r="S32" s="89">
        <v>0.39900000000000002</v>
      </c>
      <c r="T32" s="89">
        <v>0.79700000000000004</v>
      </c>
      <c r="U32" s="89">
        <v>4.92</v>
      </c>
      <c r="V32" s="89">
        <v>0</v>
      </c>
      <c r="W32" s="89">
        <v>1.4059999999999999</v>
      </c>
      <c r="X32" s="89">
        <v>337</v>
      </c>
      <c r="Y32" s="89">
        <v>2</v>
      </c>
      <c r="Z32" s="89">
        <v>0</v>
      </c>
    </row>
    <row r="33" spans="5:26" x14ac:dyDescent="0.35">
      <c r="Q33" s="89" t="s">
        <v>119</v>
      </c>
      <c r="R33" s="89" t="s">
        <v>87</v>
      </c>
      <c r="S33" s="89">
        <v>0.434</v>
      </c>
      <c r="T33" s="89">
        <v>0.746</v>
      </c>
      <c r="U33" s="89">
        <v>4.7619999999999996</v>
      </c>
      <c r="V33" s="89">
        <v>0.52</v>
      </c>
      <c r="W33" s="89">
        <v>1.159</v>
      </c>
      <c r="X33" s="89">
        <v>143</v>
      </c>
      <c r="Y33" s="89">
        <v>1</v>
      </c>
      <c r="Z33" s="89">
        <v>0</v>
      </c>
    </row>
    <row r="34" spans="5:26" x14ac:dyDescent="0.35">
      <c r="Q34" s="89" t="s">
        <v>108</v>
      </c>
      <c r="R34" s="89" t="s">
        <v>87</v>
      </c>
      <c r="S34" s="89">
        <v>0.434</v>
      </c>
      <c r="T34" s="89">
        <v>0.746</v>
      </c>
      <c r="U34" s="89">
        <v>4.7619999999999996</v>
      </c>
      <c r="V34" s="89">
        <v>0</v>
      </c>
      <c r="W34" s="89">
        <v>1.159</v>
      </c>
      <c r="X34" s="89">
        <v>143</v>
      </c>
      <c r="Y34" s="89">
        <v>1</v>
      </c>
      <c r="Z34" s="89">
        <v>0</v>
      </c>
    </row>
    <row r="35" spans="5:26" x14ac:dyDescent="0.35">
      <c r="E35" s="86" t="s">
        <v>31</v>
      </c>
      <c r="F35" s="86"/>
      <c r="G35" s="86"/>
      <c r="H35" s="86"/>
      <c r="I35" s="86"/>
      <c r="Q35" s="89" t="s">
        <v>120</v>
      </c>
      <c r="R35" s="89" t="s">
        <v>87</v>
      </c>
      <c r="S35" s="89">
        <v>0.192</v>
      </c>
      <c r="T35" s="89">
        <v>0.433</v>
      </c>
      <c r="U35" s="89">
        <v>3.339</v>
      </c>
      <c r="V35" s="89">
        <v>0.45300000000000001</v>
      </c>
      <c r="W35" s="89">
        <v>0.74199999999999999</v>
      </c>
      <c r="X35" s="89">
        <v>120</v>
      </c>
      <c r="Y35" s="89">
        <v>0</v>
      </c>
      <c r="Z35" s="89">
        <v>0</v>
      </c>
    </row>
    <row r="36" spans="5:26" x14ac:dyDescent="0.35">
      <c r="Q36" s="89" t="s">
        <v>108</v>
      </c>
      <c r="R36" s="89" t="s">
        <v>87</v>
      </c>
      <c r="S36" s="89">
        <v>0.192</v>
      </c>
      <c r="T36" s="89">
        <v>0.433</v>
      </c>
      <c r="U36" s="89">
        <v>3.339</v>
      </c>
      <c r="V36" s="89">
        <v>0</v>
      </c>
      <c r="W36" s="89">
        <v>0.74199999999999999</v>
      </c>
      <c r="X36" s="89">
        <v>120</v>
      </c>
      <c r="Y36" s="89">
        <v>0</v>
      </c>
      <c r="Z36" s="89">
        <v>0</v>
      </c>
    </row>
    <row r="37" spans="5:26" x14ac:dyDescent="0.35">
      <c r="E37" s="8" t="s">
        <v>14</v>
      </c>
      <c r="F37" s="8" t="s">
        <v>15</v>
      </c>
      <c r="G37" s="8" t="s">
        <v>16</v>
      </c>
      <c r="H37" s="8" t="s">
        <v>17</v>
      </c>
      <c r="I37" s="8" t="s">
        <v>18</v>
      </c>
      <c r="L37" s="14" t="s">
        <v>27</v>
      </c>
      <c r="M37" s="14" t="s">
        <v>28</v>
      </c>
      <c r="N37" s="14" t="s">
        <v>29</v>
      </c>
      <c r="O37" s="14" t="s">
        <v>30</v>
      </c>
      <c r="Q37" s="89" t="s">
        <v>106</v>
      </c>
      <c r="R37" s="89" t="s">
        <v>87</v>
      </c>
      <c r="S37" s="89">
        <v>0.192</v>
      </c>
      <c r="T37" s="89">
        <v>1.002</v>
      </c>
      <c r="U37" s="89">
        <v>5.1109999999999998</v>
      </c>
      <c r="V37" s="89">
        <v>0.83199999999999996</v>
      </c>
      <c r="W37" s="89">
        <v>2.17</v>
      </c>
      <c r="X37" s="89" t="s">
        <v>122</v>
      </c>
      <c r="Y37" s="89">
        <v>4</v>
      </c>
      <c r="Z37" s="89">
        <v>0</v>
      </c>
    </row>
    <row r="38" spans="5:26" ht="15" x14ac:dyDescent="0.35">
      <c r="E38" s="13" t="s">
        <v>0</v>
      </c>
      <c r="F38" s="12" t="s">
        <v>24</v>
      </c>
      <c r="G38" s="10">
        <f>4*G12</f>
        <v>1628</v>
      </c>
      <c r="H38" s="87">
        <v>1628</v>
      </c>
      <c r="I38" s="11">
        <f>1-G38/H38</f>
        <v>0</v>
      </c>
      <c r="L38" s="14" t="s">
        <v>21</v>
      </c>
      <c r="M38" s="14">
        <v>377</v>
      </c>
      <c r="N38" s="14">
        <v>27</v>
      </c>
      <c r="O38" s="14">
        <v>0</v>
      </c>
      <c r="Q38" s="89" t="s">
        <v>108</v>
      </c>
      <c r="R38" s="89" t="s">
        <v>87</v>
      </c>
      <c r="S38" s="89">
        <v>0.192</v>
      </c>
      <c r="T38" s="89">
        <v>1.002</v>
      </c>
      <c r="U38" s="89">
        <v>5.1109999999999998</v>
      </c>
      <c r="V38" s="89">
        <v>0</v>
      </c>
      <c r="W38" s="89">
        <v>2.17</v>
      </c>
      <c r="X38" s="89" t="s">
        <v>122</v>
      </c>
      <c r="Y38" s="89">
        <v>4</v>
      </c>
      <c r="Z38" s="89">
        <v>0</v>
      </c>
    </row>
    <row r="39" spans="5:26" ht="15" x14ac:dyDescent="0.35">
      <c r="E39" s="13" t="s">
        <v>1</v>
      </c>
      <c r="F39" s="12" t="s">
        <v>23</v>
      </c>
      <c r="G39" s="10">
        <f t="shared" ref="G39:G44" si="3">4*G13</f>
        <v>1076</v>
      </c>
      <c r="H39" s="88">
        <v>1075</v>
      </c>
      <c r="I39" s="11">
        <f t="shared" ref="I39:I44" si="4">1-G39/H39</f>
        <v>-9.3023255813950989E-4</v>
      </c>
      <c r="L39" s="14" t="s">
        <v>22</v>
      </c>
      <c r="M39" s="14">
        <v>998</v>
      </c>
      <c r="N39" s="14">
        <v>1</v>
      </c>
      <c r="O39" s="14">
        <v>0</v>
      </c>
      <c r="Q39" s="89" t="s">
        <v>21</v>
      </c>
      <c r="R39" s="89" t="s">
        <v>87</v>
      </c>
      <c r="S39" s="89">
        <v>4.2000000000000003E-2</v>
      </c>
      <c r="T39" s="89">
        <v>0.152</v>
      </c>
      <c r="U39" s="89">
        <v>0.60199999999999998</v>
      </c>
      <c r="V39" s="89">
        <v>5.6000000000000001E-2</v>
      </c>
      <c r="W39" s="89">
        <v>0.20799999999999999</v>
      </c>
      <c r="X39" s="89">
        <v>288</v>
      </c>
      <c r="Y39" s="89">
        <v>0</v>
      </c>
      <c r="Z39" s="89">
        <v>0</v>
      </c>
    </row>
    <row r="40" spans="5:26" ht="15" x14ac:dyDescent="0.35">
      <c r="E40" s="13" t="s">
        <v>2</v>
      </c>
      <c r="F40" s="12" t="s">
        <v>26</v>
      </c>
      <c r="G40" s="10">
        <f t="shared" si="3"/>
        <v>1076</v>
      </c>
      <c r="H40" s="88">
        <v>1076</v>
      </c>
      <c r="I40" s="11">
        <f t="shared" si="4"/>
        <v>0</v>
      </c>
      <c r="L40" s="14" t="s">
        <v>23</v>
      </c>
      <c r="M40" s="14" t="s">
        <v>33</v>
      </c>
      <c r="N40" s="14">
        <v>0</v>
      </c>
      <c r="O40" s="14">
        <v>0</v>
      </c>
      <c r="Q40" s="89" t="s">
        <v>108</v>
      </c>
      <c r="R40" s="89" t="s">
        <v>87</v>
      </c>
      <c r="S40" s="89">
        <v>4.2000000000000003E-2</v>
      </c>
      <c r="T40" s="89">
        <v>0.152</v>
      </c>
      <c r="U40" s="89">
        <v>0.60199999999999998</v>
      </c>
      <c r="V40" s="89">
        <v>0</v>
      </c>
      <c r="W40" s="89">
        <v>0.20799999999999999</v>
      </c>
      <c r="X40" s="89">
        <v>288</v>
      </c>
      <c r="Y40" s="89">
        <v>0</v>
      </c>
      <c r="Z40" s="89">
        <v>0</v>
      </c>
    </row>
    <row r="41" spans="5:26" ht="15" x14ac:dyDescent="0.35">
      <c r="E41" s="13" t="s">
        <v>3</v>
      </c>
      <c r="F41" s="12" t="s">
        <v>19</v>
      </c>
      <c r="G41" s="10">
        <f t="shared" si="3"/>
        <v>740</v>
      </c>
      <c r="H41" s="88">
        <v>738</v>
      </c>
      <c r="I41" s="7">
        <f t="shared" si="4"/>
        <v>-2.7100271002709064E-3</v>
      </c>
      <c r="L41" s="14" t="s">
        <v>24</v>
      </c>
      <c r="M41" s="14" t="s">
        <v>34</v>
      </c>
      <c r="N41" s="14">
        <v>139</v>
      </c>
      <c r="O41" s="14">
        <v>0</v>
      </c>
      <c r="Q41" s="89" t="s">
        <v>22</v>
      </c>
      <c r="R41" s="89" t="s">
        <v>87</v>
      </c>
      <c r="S41" s="89">
        <v>0.104</v>
      </c>
      <c r="T41" s="89">
        <v>0.29599999999999999</v>
      </c>
      <c r="U41" s="89">
        <v>3.88</v>
      </c>
      <c r="V41" s="89">
        <v>0.39500000000000002</v>
      </c>
      <c r="W41" s="89">
        <v>0.46800000000000003</v>
      </c>
      <c r="X41" s="89" t="s">
        <v>123</v>
      </c>
      <c r="Y41" s="89">
        <v>1</v>
      </c>
      <c r="Z41" s="89">
        <v>0</v>
      </c>
    </row>
    <row r="42" spans="5:26" ht="15" x14ac:dyDescent="0.35">
      <c r="E42" s="13" t="s">
        <v>20</v>
      </c>
      <c r="F42" s="12" t="s">
        <v>22</v>
      </c>
      <c r="G42" s="10">
        <f t="shared" si="3"/>
        <v>1172</v>
      </c>
      <c r="H42" s="87">
        <v>1169</v>
      </c>
      <c r="I42" s="11">
        <f t="shared" si="4"/>
        <v>-2.5662959794696683E-3</v>
      </c>
      <c r="L42" s="14" t="s">
        <v>25</v>
      </c>
      <c r="M42" s="14" t="s">
        <v>35</v>
      </c>
      <c r="N42" s="14">
        <v>1</v>
      </c>
      <c r="O42" s="14">
        <v>0</v>
      </c>
      <c r="Q42" s="89" t="s">
        <v>108</v>
      </c>
      <c r="R42" s="89" t="s">
        <v>87</v>
      </c>
      <c r="S42" s="89">
        <v>0.104</v>
      </c>
      <c r="T42" s="89">
        <v>0.29599999999999999</v>
      </c>
      <c r="U42" s="89">
        <v>3.88</v>
      </c>
      <c r="V42" s="89">
        <v>0</v>
      </c>
      <c r="W42" s="89">
        <v>0.46800000000000003</v>
      </c>
      <c r="X42" s="89" t="s">
        <v>123</v>
      </c>
      <c r="Y42" s="89">
        <v>1</v>
      </c>
      <c r="Z42" s="89">
        <v>0</v>
      </c>
    </row>
    <row r="43" spans="5:26" ht="15" x14ac:dyDescent="0.35">
      <c r="E43" s="13" t="s">
        <v>5</v>
      </c>
      <c r="F43" s="12" t="s">
        <v>21</v>
      </c>
      <c r="G43" s="10">
        <f t="shared" si="3"/>
        <v>288</v>
      </c>
      <c r="H43" s="88">
        <v>288</v>
      </c>
      <c r="I43" s="11">
        <f t="shared" si="4"/>
        <v>0</v>
      </c>
      <c r="L43" s="14" t="s">
        <v>19</v>
      </c>
      <c r="M43" s="14">
        <v>924</v>
      </c>
      <c r="N43" s="14">
        <v>0</v>
      </c>
      <c r="O43" s="14">
        <v>0</v>
      </c>
      <c r="Q43" s="89" t="s">
        <v>109</v>
      </c>
      <c r="R43" s="89" t="s">
        <v>87</v>
      </c>
      <c r="S43" s="89">
        <v>7.6999999999999999E-2</v>
      </c>
      <c r="T43" s="89">
        <v>0.32200000000000001</v>
      </c>
      <c r="U43" s="89">
        <v>3.5950000000000002</v>
      </c>
      <c r="V43" s="89">
        <v>0.58499999999999996</v>
      </c>
      <c r="W43" s="89">
        <v>1.073</v>
      </c>
      <c r="X43" s="89">
        <v>388</v>
      </c>
      <c r="Y43" s="89">
        <v>1</v>
      </c>
      <c r="Z43" s="89">
        <v>0</v>
      </c>
    </row>
    <row r="44" spans="5:26" ht="15" x14ac:dyDescent="0.35">
      <c r="E44" s="13" t="s">
        <v>6</v>
      </c>
      <c r="F44" s="12" t="s">
        <v>25</v>
      </c>
      <c r="G44" s="10">
        <f t="shared" si="3"/>
        <v>1280</v>
      </c>
      <c r="H44" s="88">
        <v>1276</v>
      </c>
      <c r="I44" s="11">
        <f t="shared" si="4"/>
        <v>-3.1347962382444194E-3</v>
      </c>
      <c r="L44" s="14" t="s">
        <v>26</v>
      </c>
      <c r="M44" s="14" t="s">
        <v>33</v>
      </c>
      <c r="N44" s="14">
        <v>0</v>
      </c>
      <c r="O44" s="14">
        <v>0</v>
      </c>
      <c r="Q44" s="89" t="s">
        <v>108</v>
      </c>
      <c r="R44" s="89" t="s">
        <v>87</v>
      </c>
      <c r="S44" s="89">
        <v>7.6999999999999999E-2</v>
      </c>
      <c r="T44" s="89">
        <v>0.32200000000000001</v>
      </c>
      <c r="U44" s="89">
        <v>3.5950000000000002</v>
      </c>
      <c r="V44" s="89">
        <v>0</v>
      </c>
      <c r="W44" s="89">
        <v>1.073</v>
      </c>
      <c r="X44" s="89">
        <v>388</v>
      </c>
      <c r="Y44" s="89">
        <v>1</v>
      </c>
      <c r="Z44" s="89">
        <v>0</v>
      </c>
    </row>
    <row r="45" spans="5:26" x14ac:dyDescent="0.35">
      <c r="Q45" s="89" t="s">
        <v>110</v>
      </c>
      <c r="R45" s="89" t="s">
        <v>87</v>
      </c>
      <c r="S45" s="89">
        <v>0.03</v>
      </c>
      <c r="T45" s="89">
        <v>5.0999999999999997E-2</v>
      </c>
      <c r="U45" s="89">
        <v>0.16</v>
      </c>
      <c r="V45" s="89">
        <v>1.7000000000000001E-2</v>
      </c>
      <c r="W45" s="89">
        <v>7.9000000000000001E-2</v>
      </c>
      <c r="X45" s="89">
        <v>389</v>
      </c>
      <c r="Y45" s="89">
        <v>0</v>
      </c>
      <c r="Z45" s="89">
        <v>0</v>
      </c>
    </row>
    <row r="46" spans="5:26" x14ac:dyDescent="0.35">
      <c r="Q46" s="89" t="s">
        <v>108</v>
      </c>
      <c r="R46" s="89" t="s">
        <v>87</v>
      </c>
      <c r="S46" s="89">
        <v>0.03</v>
      </c>
      <c r="T46" s="89">
        <v>5.0999999999999997E-2</v>
      </c>
      <c r="U46" s="89">
        <v>0.16</v>
      </c>
      <c r="V46" s="89">
        <v>0</v>
      </c>
      <c r="W46" s="89">
        <v>7.9000000000000001E-2</v>
      </c>
      <c r="X46" s="89">
        <v>389</v>
      </c>
      <c r="Y46" s="89">
        <v>0</v>
      </c>
      <c r="Z46" s="89">
        <v>0</v>
      </c>
    </row>
    <row r="47" spans="5:26" x14ac:dyDescent="0.35">
      <c r="Q47" s="89" t="s">
        <v>23</v>
      </c>
      <c r="R47" s="89" t="s">
        <v>87</v>
      </c>
      <c r="S47" s="89">
        <v>3.5000000000000003E-2</v>
      </c>
      <c r="T47" s="89">
        <v>8.2000000000000003E-2</v>
      </c>
      <c r="U47" s="89">
        <v>1.972</v>
      </c>
      <c r="V47" s="89">
        <v>0.14199999999999999</v>
      </c>
      <c r="W47" s="89">
        <v>9.7000000000000003E-2</v>
      </c>
      <c r="X47" s="89" t="s">
        <v>124</v>
      </c>
      <c r="Y47" s="89">
        <v>0</v>
      </c>
      <c r="Z47" s="89">
        <v>0</v>
      </c>
    </row>
    <row r="48" spans="5:26" x14ac:dyDescent="0.35">
      <c r="Q48" s="89" t="s">
        <v>108</v>
      </c>
      <c r="R48" s="89" t="s">
        <v>87</v>
      </c>
      <c r="S48" s="89">
        <v>3.5000000000000003E-2</v>
      </c>
      <c r="T48" s="89">
        <v>8.2000000000000003E-2</v>
      </c>
      <c r="U48" s="89">
        <v>1.972</v>
      </c>
      <c r="V48" s="89">
        <v>0</v>
      </c>
      <c r="W48" s="89">
        <v>9.7000000000000003E-2</v>
      </c>
      <c r="X48" s="89" t="s">
        <v>124</v>
      </c>
      <c r="Y48" s="89">
        <v>0</v>
      </c>
      <c r="Z48" s="89">
        <v>0</v>
      </c>
    </row>
    <row r="49" spans="17:26" x14ac:dyDescent="0.35">
      <c r="Q49" s="89" t="s">
        <v>111</v>
      </c>
      <c r="R49" s="89" t="s">
        <v>87</v>
      </c>
      <c r="S49" s="89">
        <v>7.9000000000000001E-2</v>
      </c>
      <c r="T49" s="89">
        <v>0.14099999999999999</v>
      </c>
      <c r="U49" s="89">
        <v>3.35</v>
      </c>
      <c r="V49" s="89">
        <v>0.154</v>
      </c>
      <c r="W49" s="89">
        <v>0.15</v>
      </c>
      <c r="X49" s="89" t="s">
        <v>125</v>
      </c>
      <c r="Y49" s="89">
        <v>1</v>
      </c>
      <c r="Z49" s="89">
        <v>0</v>
      </c>
    </row>
    <row r="50" spans="17:26" x14ac:dyDescent="0.35">
      <c r="Q50" s="89" t="s">
        <v>108</v>
      </c>
      <c r="R50" s="89" t="s">
        <v>87</v>
      </c>
      <c r="S50" s="89">
        <v>7.9000000000000001E-2</v>
      </c>
      <c r="T50" s="89">
        <v>0.14099999999999999</v>
      </c>
      <c r="U50" s="89">
        <v>3.35</v>
      </c>
      <c r="V50" s="89">
        <v>0</v>
      </c>
      <c r="W50" s="89">
        <v>0.15</v>
      </c>
      <c r="X50" s="89" t="s">
        <v>125</v>
      </c>
      <c r="Y50" s="89">
        <v>1</v>
      </c>
      <c r="Z50" s="89">
        <v>0</v>
      </c>
    </row>
    <row r="51" spans="17:26" x14ac:dyDescent="0.35">
      <c r="Q51" s="89" t="s">
        <v>112</v>
      </c>
      <c r="R51" s="89" t="s">
        <v>87</v>
      </c>
      <c r="S51" s="89">
        <v>5.3999999999999999E-2</v>
      </c>
      <c r="T51" s="89">
        <v>0.13900000000000001</v>
      </c>
      <c r="U51" s="89">
        <v>3.1549999999999998</v>
      </c>
      <c r="V51" s="89">
        <v>0.27800000000000002</v>
      </c>
      <c r="W51" s="89">
        <v>0.129</v>
      </c>
      <c r="X51" s="89" t="s">
        <v>126</v>
      </c>
      <c r="Y51" s="89">
        <v>0</v>
      </c>
      <c r="Z51" s="89">
        <v>0</v>
      </c>
    </row>
    <row r="52" spans="17:26" x14ac:dyDescent="0.35">
      <c r="Q52" s="89" t="s">
        <v>108</v>
      </c>
      <c r="R52" s="89" t="s">
        <v>87</v>
      </c>
      <c r="S52" s="89">
        <v>5.3999999999999999E-2</v>
      </c>
      <c r="T52" s="89">
        <v>0.13900000000000001</v>
      </c>
      <c r="U52" s="89">
        <v>3.1549999999999998</v>
      </c>
      <c r="V52" s="89">
        <v>0</v>
      </c>
      <c r="W52" s="89">
        <v>0.129</v>
      </c>
      <c r="X52" s="89" t="s">
        <v>126</v>
      </c>
      <c r="Y52" s="89">
        <v>0</v>
      </c>
      <c r="Z52" s="89">
        <v>0</v>
      </c>
    </row>
    <row r="53" spans="17:26" x14ac:dyDescent="0.35">
      <c r="Q53" s="89" t="s">
        <v>24</v>
      </c>
      <c r="R53" s="89" t="s">
        <v>87</v>
      </c>
      <c r="S53" s="89">
        <v>7.8E-2</v>
      </c>
      <c r="T53" s="89">
        <v>0.26200000000000001</v>
      </c>
      <c r="U53" s="89">
        <v>4.4089999999999998</v>
      </c>
      <c r="V53" s="89">
        <v>0.501</v>
      </c>
      <c r="W53" s="89">
        <v>0.45400000000000001</v>
      </c>
      <c r="X53" s="89" t="s">
        <v>127</v>
      </c>
      <c r="Y53" s="89">
        <v>1</v>
      </c>
      <c r="Z53" s="89">
        <v>0</v>
      </c>
    </row>
    <row r="54" spans="17:26" x14ac:dyDescent="0.35">
      <c r="Q54" s="89" t="s">
        <v>108</v>
      </c>
      <c r="R54" s="89" t="s">
        <v>87</v>
      </c>
      <c r="S54" s="89">
        <v>7.8E-2</v>
      </c>
      <c r="T54" s="89">
        <v>0.26200000000000001</v>
      </c>
      <c r="U54" s="89">
        <v>4.4089999999999998</v>
      </c>
      <c r="V54" s="89">
        <v>0</v>
      </c>
      <c r="W54" s="89">
        <v>0.45400000000000001</v>
      </c>
      <c r="X54" s="89" t="s">
        <v>127</v>
      </c>
      <c r="Y54" s="89">
        <v>1</v>
      </c>
      <c r="Z54" s="89">
        <v>0</v>
      </c>
    </row>
    <row r="55" spans="17:26" x14ac:dyDescent="0.35">
      <c r="Q55" s="89" t="s">
        <v>113</v>
      </c>
      <c r="R55" s="89" t="s">
        <v>87</v>
      </c>
      <c r="S55" s="89">
        <v>3.2000000000000001E-2</v>
      </c>
      <c r="T55" s="89">
        <v>0.16700000000000001</v>
      </c>
      <c r="U55" s="89">
        <v>2.8690000000000002</v>
      </c>
      <c r="V55" s="89">
        <v>0.36799999999999999</v>
      </c>
      <c r="W55" s="89">
        <v>0.42899999999999999</v>
      </c>
      <c r="X55" s="89">
        <v>389</v>
      </c>
      <c r="Y55" s="89">
        <v>0</v>
      </c>
      <c r="Z55" s="89">
        <v>0</v>
      </c>
    </row>
    <row r="56" spans="17:26" x14ac:dyDescent="0.35">
      <c r="Q56" s="89" t="s">
        <v>108</v>
      </c>
      <c r="R56" s="89" t="s">
        <v>87</v>
      </c>
      <c r="S56" s="89">
        <v>3.2000000000000001E-2</v>
      </c>
      <c r="T56" s="89">
        <v>0.16700000000000001</v>
      </c>
      <c r="U56" s="89">
        <v>2.8690000000000002</v>
      </c>
      <c r="V56" s="89">
        <v>0</v>
      </c>
      <c r="W56" s="89">
        <v>0.42899999999999999</v>
      </c>
      <c r="X56" s="89">
        <v>389</v>
      </c>
      <c r="Y56" s="89">
        <v>0</v>
      </c>
      <c r="Z56" s="89">
        <v>0</v>
      </c>
    </row>
    <row r="57" spans="17:26" x14ac:dyDescent="0.35">
      <c r="Q57" s="89" t="s">
        <v>114</v>
      </c>
      <c r="R57" s="89" t="s">
        <v>87</v>
      </c>
      <c r="S57" s="89">
        <v>5.6000000000000001E-2</v>
      </c>
      <c r="T57" s="89">
        <v>0.183</v>
      </c>
      <c r="U57" s="89">
        <v>4.3579999999999997</v>
      </c>
      <c r="V57" s="89">
        <v>0.41</v>
      </c>
      <c r="W57" s="89">
        <v>0.158</v>
      </c>
      <c r="X57" s="89" t="s">
        <v>128</v>
      </c>
      <c r="Y57" s="89">
        <v>0</v>
      </c>
      <c r="Z57" s="89">
        <v>0</v>
      </c>
    </row>
    <row r="58" spans="17:26" x14ac:dyDescent="0.35">
      <c r="Q58" s="89" t="s">
        <v>108</v>
      </c>
      <c r="R58" s="89" t="s">
        <v>87</v>
      </c>
      <c r="S58" s="89">
        <v>5.6000000000000001E-2</v>
      </c>
      <c r="T58" s="89">
        <v>0.183</v>
      </c>
      <c r="U58" s="89">
        <v>4.3579999999999997</v>
      </c>
      <c r="V58" s="89">
        <v>0</v>
      </c>
      <c r="W58" s="89">
        <v>0.158</v>
      </c>
      <c r="X58" s="89" t="s">
        <v>128</v>
      </c>
      <c r="Y58" s="89">
        <v>0</v>
      </c>
      <c r="Z58" s="89">
        <v>0</v>
      </c>
    </row>
    <row r="59" spans="17:26" x14ac:dyDescent="0.35">
      <c r="Q59" s="89" t="s">
        <v>19</v>
      </c>
      <c r="R59" s="89" t="s">
        <v>87</v>
      </c>
      <c r="S59" s="89">
        <v>3.5999999999999997E-2</v>
      </c>
      <c r="T59" s="89">
        <v>0.16600000000000001</v>
      </c>
      <c r="U59" s="89">
        <v>2.8490000000000002</v>
      </c>
      <c r="V59" s="89">
        <v>0.33500000000000002</v>
      </c>
      <c r="W59" s="89">
        <v>0.29899999999999999</v>
      </c>
      <c r="X59" s="89">
        <v>738</v>
      </c>
      <c r="Y59" s="89">
        <v>0</v>
      </c>
      <c r="Z59" s="89">
        <v>0</v>
      </c>
    </row>
    <row r="60" spans="17:26" x14ac:dyDescent="0.35">
      <c r="Q60" s="89" t="s">
        <v>108</v>
      </c>
      <c r="R60" s="89" t="s">
        <v>87</v>
      </c>
      <c r="S60" s="89">
        <v>3.5999999999999997E-2</v>
      </c>
      <c r="T60" s="89">
        <v>0.16600000000000001</v>
      </c>
      <c r="U60" s="89">
        <v>2.8490000000000002</v>
      </c>
      <c r="V60" s="89">
        <v>0</v>
      </c>
      <c r="W60" s="89">
        <v>0.29899999999999999</v>
      </c>
      <c r="X60" s="89">
        <v>738</v>
      </c>
      <c r="Y60" s="89">
        <v>0</v>
      </c>
      <c r="Z60" s="89">
        <v>0</v>
      </c>
    </row>
    <row r="61" spans="17:26" x14ac:dyDescent="0.35">
      <c r="Q61" s="89" t="s">
        <v>26</v>
      </c>
      <c r="R61" s="89" t="s">
        <v>87</v>
      </c>
      <c r="S61" s="89">
        <v>3.4000000000000002E-2</v>
      </c>
      <c r="T61" s="89">
        <v>5.7000000000000002E-2</v>
      </c>
      <c r="U61" s="89">
        <v>0.114</v>
      </c>
      <c r="V61" s="89">
        <v>1.7000000000000001E-2</v>
      </c>
      <c r="W61" s="89">
        <v>8.5000000000000006E-2</v>
      </c>
      <c r="X61" s="89" t="s">
        <v>129</v>
      </c>
      <c r="Y61" s="89">
        <v>0</v>
      </c>
      <c r="Z61" s="89">
        <v>0</v>
      </c>
    </row>
    <row r="62" spans="17:26" x14ac:dyDescent="0.35">
      <c r="Q62" s="89" t="s">
        <v>108</v>
      </c>
      <c r="R62" s="89" t="s">
        <v>87</v>
      </c>
      <c r="S62" s="89">
        <v>3.4000000000000002E-2</v>
      </c>
      <c r="T62" s="89">
        <v>5.7000000000000002E-2</v>
      </c>
      <c r="U62" s="89">
        <v>0.114</v>
      </c>
      <c r="V62" s="89">
        <v>0</v>
      </c>
      <c r="W62" s="89">
        <v>8.5000000000000006E-2</v>
      </c>
      <c r="X62" s="89" t="s">
        <v>129</v>
      </c>
      <c r="Y62" s="89">
        <v>0</v>
      </c>
      <c r="Z62" s="89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Соответствие</vt:lpstr>
      <vt:lpstr>SummaryReport</vt:lpstr>
      <vt:lpstr>Автоматизированный расчет</vt:lpstr>
      <vt:lpstr>Результаты всех тестов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Ann Safronova</cp:lastModifiedBy>
  <dcterms:created xsi:type="dcterms:W3CDTF">2015-06-05T18:19:34Z</dcterms:created>
  <dcterms:modified xsi:type="dcterms:W3CDTF">2023-05-23T13:34:35Z</dcterms:modified>
</cp:coreProperties>
</file>