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iana\OneDrive\Рабочий стол\сценарии и результаты\Документация\"/>
    </mc:Choice>
  </mc:AlternateContent>
  <bookViews>
    <workbookView xWindow="0" yWindow="0" windowWidth="25600" windowHeight="12510" activeTab="2"/>
  </bookViews>
  <sheets>
    <sheet name="Соответствие" sheetId="4" r:id="rId1"/>
    <sheet name="SummaryReport" sheetId="5" r:id="rId2"/>
    <sheet name="Автоматизированный расчет" sheetId="3" r:id="rId3"/>
    <sheet name="Результаты всех тестов" sheetId="2" r:id="rId4"/>
  </sheets>
  <calcPr calcId="152511"/>
  <pivotCaches>
    <pivotCache cacheId="0" r:id="rId5"/>
    <pivotCache cacheId="1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2" l="1"/>
  <c r="H31" i="2"/>
  <c r="H26" i="2"/>
  <c r="H27" i="2"/>
  <c r="H30" i="2" l="1"/>
  <c r="H29" i="2"/>
  <c r="H28" i="2"/>
  <c r="H13" i="2"/>
  <c r="H14" i="2"/>
  <c r="H15" i="2"/>
  <c r="H16" i="2"/>
  <c r="H17" i="2"/>
  <c r="H18" i="2"/>
  <c r="H12" i="2"/>
  <c r="E8" i="3" l="1"/>
  <c r="F8" i="3" s="1"/>
  <c r="G8" i="3"/>
  <c r="R8" i="3"/>
  <c r="G16" i="3"/>
  <c r="G17" i="3"/>
  <c r="G18" i="3"/>
  <c r="G19" i="3"/>
  <c r="G20" i="3"/>
  <c r="G21" i="3"/>
  <c r="G22" i="3"/>
  <c r="G23" i="3"/>
  <c r="G24" i="3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D18" i="3"/>
  <c r="D19" i="3"/>
  <c r="D20" i="3"/>
  <c r="D21" i="3"/>
  <c r="D22" i="3"/>
  <c r="D23" i="3"/>
  <c r="D24" i="3"/>
  <c r="H8" i="3" l="1"/>
  <c r="H23" i="3"/>
  <c r="H19" i="3"/>
  <c r="H20" i="3"/>
  <c r="H21" i="3"/>
  <c r="H18" i="3"/>
  <c r="H22" i="3"/>
  <c r="G39" i="2" l="1"/>
  <c r="G40" i="2"/>
  <c r="G41" i="2"/>
  <c r="G42" i="2"/>
  <c r="G43" i="2"/>
  <c r="G44" i="2"/>
  <c r="G38" i="2"/>
  <c r="I38" i="2" s="1"/>
  <c r="G27" i="2" l="1"/>
  <c r="G28" i="2"/>
  <c r="G29" i="2"/>
  <c r="G30" i="2"/>
  <c r="G31" i="2"/>
  <c r="G32" i="2"/>
  <c r="G26" i="2"/>
  <c r="C42" i="3"/>
  <c r="D32" i="3" l="1"/>
  <c r="E32" i="3"/>
  <c r="F32" i="3" s="1"/>
  <c r="G32" i="3"/>
  <c r="D26" i="3"/>
  <c r="E26" i="3"/>
  <c r="F26" i="3" s="1"/>
  <c r="G26" i="3"/>
  <c r="E7" i="3"/>
  <c r="H32" i="3" l="1"/>
  <c r="H26" i="3"/>
  <c r="G4" i="3"/>
  <c r="G5" i="3"/>
  <c r="G6" i="3"/>
  <c r="G7" i="3"/>
  <c r="G9" i="3"/>
  <c r="G10" i="3"/>
  <c r="G11" i="3"/>
  <c r="G12" i="3"/>
  <c r="G13" i="3"/>
  <c r="G14" i="3"/>
  <c r="G15" i="3"/>
  <c r="G25" i="3"/>
  <c r="G27" i="3"/>
  <c r="G28" i="3"/>
  <c r="G29" i="3"/>
  <c r="G30" i="3"/>
  <c r="G31" i="3"/>
  <c r="G33" i="3"/>
  <c r="G34" i="3"/>
  <c r="G2" i="3"/>
  <c r="G3" i="3"/>
  <c r="P3" i="3"/>
  <c r="P4" i="3"/>
  <c r="P6" i="3"/>
  <c r="P7" i="3"/>
  <c r="P2" i="3"/>
  <c r="D5" i="3"/>
  <c r="E5" i="3"/>
  <c r="F5" i="3" s="1"/>
  <c r="D42" i="3" l="1"/>
  <c r="D3" i="3" l="1"/>
  <c r="E3" i="3"/>
  <c r="F3" i="3" s="1"/>
  <c r="W2" i="3"/>
  <c r="E2" i="3" l="1"/>
  <c r="D66" i="3" l="1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78" i="3"/>
  <c r="E78" i="3" s="1"/>
  <c r="D79" i="3"/>
  <c r="E79" i="3" s="1"/>
  <c r="D80" i="3"/>
  <c r="E80" i="3" s="1"/>
  <c r="D81" i="3"/>
  <c r="E81" i="3" s="1"/>
  <c r="D82" i="3"/>
  <c r="E82" i="3" s="1"/>
  <c r="D83" i="3"/>
  <c r="E83" i="3" s="1"/>
  <c r="D84" i="3"/>
  <c r="E84" i="3" s="1"/>
  <c r="D85" i="3"/>
  <c r="E85" i="3" s="1"/>
  <c r="D86" i="3"/>
  <c r="E86" i="3" s="1"/>
  <c r="D87" i="3"/>
  <c r="E87" i="3" s="1"/>
  <c r="D88" i="3"/>
  <c r="E88" i="3" s="1"/>
  <c r="D89" i="3"/>
  <c r="E89" i="3" s="1"/>
  <c r="D90" i="3"/>
  <c r="E90" i="3" s="1"/>
  <c r="D65" i="3"/>
  <c r="E65" i="3" s="1"/>
  <c r="D56" i="3"/>
  <c r="G42" i="3" l="1"/>
  <c r="B56" i="3"/>
  <c r="F56" i="3" s="1"/>
  <c r="B57" i="3"/>
  <c r="B58" i="3"/>
  <c r="B59" i="3"/>
  <c r="B60" i="3"/>
  <c r="A3" i="4" l="1"/>
  <c r="A4" i="4"/>
  <c r="A5" i="4"/>
  <c r="A6" i="4"/>
  <c r="A7" i="4"/>
  <c r="A8" i="4"/>
  <c r="A9" i="4"/>
  <c r="A10" i="4"/>
  <c r="A11" i="4"/>
  <c r="A12" i="4"/>
  <c r="A13" i="4"/>
  <c r="A2" i="4"/>
  <c r="F40" i="3" s="1"/>
  <c r="H40" i="3" s="1"/>
  <c r="F51" i="3" l="1"/>
  <c r="H51" i="3" s="1"/>
  <c r="F43" i="3"/>
  <c r="H43" i="3" s="1"/>
  <c r="F49" i="3"/>
  <c r="H49" i="3" s="1"/>
  <c r="F44" i="3"/>
  <c r="H44" i="3" s="1"/>
  <c r="F50" i="3"/>
  <c r="H50" i="3" s="1"/>
  <c r="F45" i="3"/>
  <c r="H45" i="3" s="1"/>
  <c r="F41" i="3"/>
  <c r="H41" i="3" s="1"/>
  <c r="F48" i="3"/>
  <c r="H48" i="3" s="1"/>
  <c r="F47" i="3"/>
  <c r="H47" i="3" s="1"/>
  <c r="F46" i="3"/>
  <c r="H46" i="3" s="1"/>
  <c r="F42" i="3"/>
  <c r="H42" i="3" s="1"/>
  <c r="I42" i="3" s="1"/>
  <c r="F2" i="3"/>
  <c r="D2" i="3"/>
  <c r="T7" i="3"/>
  <c r="D57" i="3"/>
  <c r="D58" i="3"/>
  <c r="H58" i="3" s="1"/>
  <c r="D59" i="3"/>
  <c r="H59" i="3" s="1"/>
  <c r="D60" i="3"/>
  <c r="C45" i="3"/>
  <c r="C41" i="3"/>
  <c r="C51" i="3"/>
  <c r="C48" i="3"/>
  <c r="C49" i="3"/>
  <c r="C50" i="3"/>
  <c r="C43" i="3"/>
  <c r="C46" i="3"/>
  <c r="C44" i="3"/>
  <c r="C40" i="3"/>
  <c r="C47" i="3"/>
  <c r="G43" i="3" l="1"/>
  <c r="I43" i="3" s="1"/>
  <c r="G46" i="3"/>
  <c r="I46" i="3" s="1"/>
  <c r="G44" i="3"/>
  <c r="I44" i="3" s="1"/>
  <c r="G41" i="3"/>
  <c r="G47" i="3"/>
  <c r="I47" i="3" s="1"/>
  <c r="G48" i="3"/>
  <c r="I48" i="3" s="1"/>
  <c r="G45" i="3"/>
  <c r="I45" i="3" s="1"/>
  <c r="G49" i="3"/>
  <c r="I49" i="3" s="1"/>
  <c r="G51" i="3"/>
  <c r="I51" i="3" s="1"/>
  <c r="G40" i="3"/>
  <c r="G50" i="3"/>
  <c r="I50" i="3" s="1"/>
  <c r="F60" i="3"/>
  <c r="F58" i="3"/>
  <c r="F59" i="3"/>
  <c r="G56" i="3"/>
  <c r="H56" i="3" s="1"/>
  <c r="I57" i="3"/>
  <c r="F57" i="3"/>
  <c r="I56" i="3"/>
  <c r="B52" i="3"/>
  <c r="D9" i="3"/>
  <c r="D30" i="3"/>
  <c r="E30" i="3"/>
  <c r="F30" i="3" s="1"/>
  <c r="D14" i="3"/>
  <c r="C67" i="3" l="1"/>
  <c r="G67" i="3" s="1"/>
  <c r="C71" i="3"/>
  <c r="G71" i="3" s="1"/>
  <c r="C68" i="3"/>
  <c r="G68" i="3" s="1"/>
  <c r="C69" i="3"/>
  <c r="G69" i="3" s="1"/>
  <c r="C66" i="3"/>
  <c r="G66" i="3" s="1"/>
  <c r="C70" i="3"/>
  <c r="G70" i="3" s="1"/>
  <c r="C65" i="3"/>
  <c r="G65" i="3" s="1"/>
  <c r="C80" i="3"/>
  <c r="G80" i="3" s="1"/>
  <c r="C84" i="3"/>
  <c r="G84" i="3" s="1"/>
  <c r="C81" i="3"/>
  <c r="G81" i="3" s="1"/>
  <c r="C85" i="3"/>
  <c r="G85" i="3" s="1"/>
  <c r="C82" i="3"/>
  <c r="G82" i="3" s="1"/>
  <c r="C86" i="3"/>
  <c r="G86" i="3" s="1"/>
  <c r="C83" i="3"/>
  <c r="G83" i="3" s="1"/>
  <c r="C76" i="3"/>
  <c r="G76" i="3" s="1"/>
  <c r="C77" i="3"/>
  <c r="G77" i="3" s="1"/>
  <c r="C78" i="3"/>
  <c r="G78" i="3" s="1"/>
  <c r="C75" i="3"/>
  <c r="G75" i="3" s="1"/>
  <c r="C79" i="3"/>
  <c r="G79" i="3" s="1"/>
  <c r="G57" i="3"/>
  <c r="H57" i="3" s="1"/>
  <c r="I55" i="3" s="1"/>
  <c r="C72" i="3"/>
  <c r="G72" i="3" s="1"/>
  <c r="C73" i="3"/>
  <c r="G73" i="3" s="1"/>
  <c r="C74" i="3"/>
  <c r="G74" i="3" s="1"/>
  <c r="G60" i="3"/>
  <c r="H60" i="3" s="1"/>
  <c r="I58" i="3" s="1"/>
  <c r="C88" i="3"/>
  <c r="G88" i="3" s="1"/>
  <c r="C89" i="3"/>
  <c r="G89" i="3" s="1"/>
  <c r="C90" i="3"/>
  <c r="G90" i="3" s="1"/>
  <c r="C87" i="3"/>
  <c r="G87" i="3" s="1"/>
  <c r="I54" i="3"/>
  <c r="D49" i="3"/>
  <c r="D40" i="3"/>
  <c r="D50" i="3"/>
  <c r="D51" i="3"/>
  <c r="D15" i="3"/>
  <c r="D17" i="3"/>
  <c r="D16" i="3"/>
  <c r="D31" i="3"/>
  <c r="D33" i="3"/>
  <c r="D34" i="3"/>
  <c r="G61" i="3" l="1"/>
  <c r="S6" i="3"/>
  <c r="S5" i="3"/>
  <c r="S3" i="3"/>
  <c r="S7" i="3"/>
  <c r="S4" i="3"/>
  <c r="E11" i="3"/>
  <c r="E9" i="3"/>
  <c r="F9" i="3" s="1"/>
  <c r="E24" i="3"/>
  <c r="F24" i="3" s="1"/>
  <c r="H24" i="3" s="1"/>
  <c r="D25" i="3"/>
  <c r="D29" i="3"/>
  <c r="S2" i="3"/>
  <c r="T2" i="3"/>
  <c r="T6" i="3"/>
  <c r="T3" i="3"/>
  <c r="V3" i="3" l="1"/>
  <c r="D11" i="3" s="1"/>
  <c r="V2" i="3"/>
  <c r="H5" i="3"/>
  <c r="H3" i="3"/>
  <c r="H2" i="3"/>
  <c r="H9" i="3"/>
  <c r="H30" i="3"/>
  <c r="S8" i="3"/>
  <c r="T5" i="3"/>
  <c r="V5" i="3" s="1"/>
  <c r="D27" i="3" s="1"/>
  <c r="E14" i="3"/>
  <c r="F14" i="3" s="1"/>
  <c r="T4" i="3"/>
  <c r="I40" i="3"/>
  <c r="D41" i="3"/>
  <c r="V6" i="3"/>
  <c r="D6" i="3"/>
  <c r="E34" i="3"/>
  <c r="F34" i="3" s="1"/>
  <c r="D4" i="3"/>
  <c r="D13" i="3"/>
  <c r="D10" i="3"/>
  <c r="D28" i="3"/>
  <c r="D12" i="3"/>
  <c r="D7" i="3"/>
  <c r="E13" i="3"/>
  <c r="F13" i="3" s="1"/>
  <c r="E33" i="3"/>
  <c r="F33" i="3" s="1"/>
  <c r="E28" i="3"/>
  <c r="F28" i="3" s="1"/>
  <c r="E17" i="3"/>
  <c r="F17" i="3" s="1"/>
  <c r="H17" i="3" s="1"/>
  <c r="E12" i="3"/>
  <c r="F12" i="3" s="1"/>
  <c r="F7" i="3"/>
  <c r="E31" i="3"/>
  <c r="E27" i="3"/>
  <c r="F27" i="3" s="1"/>
  <c r="E16" i="3"/>
  <c r="E6" i="3"/>
  <c r="F6" i="3" s="1"/>
  <c r="E29" i="3"/>
  <c r="E25" i="3"/>
  <c r="E15" i="3"/>
  <c r="F15" i="3" s="1"/>
  <c r="E10" i="3"/>
  <c r="F10" i="3" s="1"/>
  <c r="E4" i="3"/>
  <c r="F4" i="3" s="1"/>
  <c r="D44" i="3"/>
  <c r="I43" i="2"/>
  <c r="I42" i="2"/>
  <c r="I39" i="2"/>
  <c r="I12" i="2"/>
  <c r="I13" i="2"/>
  <c r="I14" i="2"/>
  <c r="I15" i="2"/>
  <c r="I16" i="2"/>
  <c r="I17" i="2"/>
  <c r="I18" i="2"/>
  <c r="V4" i="3" l="1"/>
  <c r="V7" i="3" s="1"/>
  <c r="H14" i="3"/>
  <c r="H27" i="3"/>
  <c r="H28" i="3"/>
  <c r="F31" i="3"/>
  <c r="H31" i="3" s="1"/>
  <c r="F25" i="3"/>
  <c r="F11" i="3"/>
  <c r="H11" i="3" s="1"/>
  <c r="F29" i="3"/>
  <c r="H29" i="3" s="1"/>
  <c r="F16" i="3"/>
  <c r="H16" i="3" s="1"/>
  <c r="C52" i="3"/>
  <c r="D47" i="3"/>
  <c r="D48" i="3"/>
  <c r="I41" i="3"/>
  <c r="D43" i="3"/>
  <c r="D45" i="3"/>
  <c r="D46" i="3"/>
  <c r="H4" i="3"/>
  <c r="H6" i="3"/>
  <c r="H34" i="3"/>
  <c r="H13" i="3"/>
  <c r="H33" i="3"/>
  <c r="H12" i="3"/>
  <c r="H10" i="3"/>
  <c r="H7" i="3"/>
  <c r="H15" i="3"/>
  <c r="I40" i="2"/>
  <c r="I44" i="2"/>
  <c r="I41" i="2"/>
  <c r="I32" i="2"/>
  <c r="I31" i="2"/>
  <c r="I30" i="2"/>
  <c r="I29" i="2"/>
  <c r="I28" i="2"/>
  <c r="I27" i="2"/>
  <c r="I26" i="2"/>
  <c r="H25" i="3" l="1"/>
  <c r="D52" i="3"/>
  <c r="P5" i="3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<sst xmlns="http://schemas.openxmlformats.org/spreadsheetml/2006/main" count="416" uniqueCount="118">
  <si>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</si>
  <si>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</si>
  <si>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</si>
  <si>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</si>
  <si>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</si>
  <si>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</si>
  <si>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</si>
  <si>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</si>
  <si>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</si>
  <si>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</si>
  <si>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</si>
  <si>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</si>
  <si>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</si>
  <si>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</si>
  <si>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</si>
  <si>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</si>
  <si>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</si>
  <si>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</si>
  <si>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</si>
  <si>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Просмотр квитанции</t>
  </si>
  <si>
    <t>Cancel_reservation</t>
  </si>
  <si>
    <t>login</t>
  </si>
  <si>
    <t>logout</t>
  </si>
  <si>
    <t>select_ticket</t>
  </si>
  <si>
    <t>Transaction Name</t>
  </si>
  <si>
    <t>Pass</t>
  </si>
  <si>
    <t>Fail</t>
  </si>
  <si>
    <t>Stop</t>
  </si>
  <si>
    <t>Подтверждение максимума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</si>
  <si>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</si>
  <si>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</si>
  <si>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</si>
  <si>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</si>
  <si>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</si>
  <si>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</si>
  <si>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</si>
  <si>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</si>
  <si>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</si>
  <si>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</si>
  <si>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</si>
  <si>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</si>
  <si>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</si>
  <si>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</si>
  <si>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</si>
  <si>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</si>
  <si>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</si>
  <si>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</si>
  <si>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</si>
  <si>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</si>
  <si>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</si>
  <si>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</si>
  <si>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</si>
  <si>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</si>
  <si>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</si>
  <si>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</si>
  <si>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</si>
  <si>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</si>
  <si>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</si>
  <si>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</si>
  <si>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</si>
  <si>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</si>
  <si>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</si>
  <si>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</si>
  <si>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</si>
  <si>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</si>
  <si>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</si>
  <si>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</si>
  <si>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</si>
  <si>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</si>
  <si>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</si>
  <si>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</si>
  <si>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</si>
  <si>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</si>
  <si>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</si>
  <si>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</si>
  <si>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</si>
  <si>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</si>
  <si>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</si>
  <si>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</si>
  <si>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</si>
  <si>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No Data</t>
  </si>
  <si>
    <t>ScriptName</t>
  </si>
  <si>
    <t>Операций 20 мин</t>
  </si>
  <si>
    <t>Статистика операций 20 мин</t>
  </si>
  <si>
    <t>Удаление брони</t>
  </si>
  <si>
    <t>Главная страница</t>
  </si>
  <si>
    <t>Переход на стр. Поиска</t>
  </si>
  <si>
    <t>Заполнение полей и поиск</t>
  </si>
  <si>
    <t>Выбор рейса</t>
  </si>
  <si>
    <t>Покупка</t>
  </si>
  <si>
    <t>Логаут</t>
  </si>
  <si>
    <t>Логин и логаут</t>
  </si>
  <si>
    <t>Просмотр путевых листов</t>
  </si>
  <si>
    <t>Удаление</t>
  </si>
  <si>
    <t>Операция/Скрипт</t>
  </si>
  <si>
    <t>Запросы</t>
  </si>
  <si>
    <t>Vus</t>
  </si>
  <si>
    <t>Кол-во одним Vu</t>
  </si>
  <si>
    <t>Duration + Think_time</t>
  </si>
  <si>
    <t>Профиль</t>
  </si>
  <si>
    <t>00000000-0000-0000-0000-000000000000</t>
  </si>
  <si>
    <t>Continue</t>
  </si>
  <si>
    <t>Filling_out_the_form</t>
  </si>
  <si>
    <t>Open_sign_up_now</t>
  </si>
  <si>
    <t>Поиск максимума 4 ступень</t>
  </si>
  <si>
    <t>Поиск билета без выбора</t>
  </si>
  <si>
    <t>click_flights</t>
  </si>
  <si>
    <t>goToSite</t>
  </si>
  <si>
    <t>pay_ticket</t>
  </si>
  <si>
    <t>search_flights</t>
  </si>
  <si>
    <t>viewing_receipt</t>
  </si>
  <si>
    <t xml:space="preserve"> </t>
  </si>
  <si>
    <t>1 143,</t>
  </si>
  <si>
    <t>1 995,</t>
  </si>
  <si>
    <t>1 591,</t>
  </si>
  <si>
    <t>1 045,</t>
  </si>
  <si>
    <t>1 170,</t>
  </si>
  <si>
    <t>Профиль для 10 пользавателей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</si>
</sst>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36">
    <xf numFmtId="0" fontId="0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8" fillId="0" borderId="0"/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6" applyNumberFormat="0" applyAlignment="0" applyProtection="0"/>
    <xf numFmtId="0" fontId="24" fillId="7" borderId="7" applyNumberFormat="0" applyAlignment="0" applyProtection="0"/>
    <xf numFmtId="0" fontId="25" fillId="7" borderId="6" applyNumberFormat="0" applyAlignment="0" applyProtection="0"/>
    <xf numFmtId="0" fontId="26" fillId="0" borderId="8" applyNumberFormat="0" applyFill="0" applyAlignment="0" applyProtection="0"/>
    <xf numFmtId="0" fontId="27" fillId="8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30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30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30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30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30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30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0" borderId="0"/>
    <xf numFmtId="0" fontId="7" fillId="9" borderId="10" applyNumberFormat="0" applyFont="0" applyAlignment="0" applyProtection="0"/>
    <xf numFmtId="9" fontId="31" fillId="0" borderId="0" applyFont="0" applyFill="0" applyBorder="0" applyAlignment="0" applyProtection="0"/>
    <xf numFmtId="0" fontId="6" fillId="0" borderId="0"/>
    <xf numFmtId="0" fontId="35" fillId="4" borderId="0" applyNumberFormat="0" applyBorder="0" applyAlignment="0" applyProtection="0"/>
    <xf numFmtId="0" fontId="6" fillId="9" borderId="10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30" fillId="13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30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30" fillId="21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30" fillId="25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30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30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8">
    <xf numFmtId="0" fontId="0" fillId="0" borderId="0" xfId="0"/>
    <xf numFmtId="0" fontId="16" fillId="5" borderId="1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horizontal="left" vertical="top" wrapText="1"/>
    </xf>
    <xf numFmtId="0" fontId="15" fillId="0" borderId="2" xfId="4" applyFont="1" applyBorder="1" applyAlignment="1">
      <alignment horizontal="center" vertical="top"/>
    </xf>
    <xf numFmtId="0" fontId="16" fillId="0" borderId="2" xfId="0" applyFont="1" applyBorder="1" applyAlignment="1">
      <alignment horizontal="center" vertical="top"/>
    </xf>
    <xf numFmtId="10" fontId="16" fillId="0" borderId="2" xfId="0" applyNumberFormat="1" applyFont="1" applyBorder="1" applyAlignment="1">
      <alignment horizontal="center" vertical="top"/>
    </xf>
    <xf numFmtId="10" fontId="18" fillId="0" borderId="2" xfId="0" applyNumberFormat="1" applyFont="1" applyBorder="1" applyAlignment="1">
      <alignment horizontal="center" vertical="top"/>
    </xf>
    <xf numFmtId="10" fontId="18" fillId="0" borderId="2" xfId="0" applyNumberFormat="1" applyFont="1" applyBorder="1" applyAlignment="1">
      <alignment horizontal="left" vertical="top"/>
    </xf>
    <xf numFmtId="0" fontId="16" fillId="5" borderId="2" xfId="0" applyFont="1" applyFill="1" applyBorder="1" applyAlignment="1">
      <alignment horizontal="left" vertical="top"/>
    </xf>
    <xf numFmtId="0" fontId="7" fillId="0" borderId="2" xfId="42" applyBorder="1"/>
    <xf numFmtId="0" fontId="16" fillId="0" borderId="2" xfId="0" applyFont="1" applyBorder="1" applyAlignment="1">
      <alignment horizontal="left" vertical="top"/>
    </xf>
    <xf numFmtId="10" fontId="16" fillId="0" borderId="2" xfId="0" applyNumberFormat="1" applyFont="1" applyBorder="1" applyAlignment="1">
      <alignment horizontal="left" vertical="top"/>
    </xf>
    <xf numFmtId="0" fontId="15" fillId="0" borderId="2" xfId="4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7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11" fillId="0" borderId="2" xfId="0" applyFont="1" applyBorder="1" applyAlignment="1">
      <alignment vertical="center" wrapText="1"/>
    </xf>
    <xf numFmtId="0" fontId="0" fillId="40" borderId="2" xfId="0" applyFill="1" applyBorder="1"/>
    <xf numFmtId="165" fontId="0" fillId="41" borderId="2" xfId="0" applyNumberFormat="1" applyFill="1" applyBorder="1"/>
    <xf numFmtId="1" fontId="0" fillId="35" borderId="2" xfId="0" applyNumberFormat="1" applyFill="1" applyBorder="1"/>
    <xf numFmtId="0" fontId="11" fillId="39" borderId="15" xfId="0" applyFont="1" applyFill="1" applyBorder="1" applyAlignment="1">
      <alignment vertical="center" wrapText="1"/>
    </xf>
    <xf numFmtId="0" fontId="9" fillId="39" borderId="15" xfId="0" applyFont="1" applyFill="1" applyBorder="1" applyAlignment="1">
      <alignment horizontal="left" vertical="center" wrapText="1"/>
    </xf>
    <xf numFmtId="0" fontId="9" fillId="35" borderId="15" xfId="0" applyFont="1" applyFill="1" applyBorder="1" applyAlignment="1">
      <alignment horizontal="left" vertical="center" wrapText="1"/>
    </xf>
    <xf numFmtId="0" fontId="10" fillId="39" borderId="16" xfId="0" applyFont="1" applyFill="1" applyBorder="1" applyAlignment="1">
      <alignment horizontal="left" vertical="center" wrapText="1"/>
    </xf>
    <xf numFmtId="1" fontId="0" fillId="35" borderId="2" xfId="0" quotePrefix="1" applyNumberFormat="1" applyFill="1" applyBorder="1"/>
    <xf numFmtId="1" fontId="0" fillId="41" borderId="2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0" xfId="44" applyFont="1" applyBorder="1"/>
    <xf numFmtId="0" fontId="11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9" borderId="2" xfId="0" applyNumberFormat="1" applyFill="1" applyBorder="1"/>
    <xf numFmtId="1" fontId="0" fillId="39" borderId="2" xfId="0" quotePrefix="1" applyNumberFormat="1" applyFill="1" applyBorder="1"/>
    <xf numFmtId="0" fontId="0" fillId="35" borderId="0" xfId="0" applyFill="1" applyAlignment="1">
      <alignment horizontal="left"/>
    </xf>
    <xf numFmtId="1" fontId="0" fillId="37" borderId="2" xfId="0" applyNumberFormat="1" applyFill="1" applyBorder="1"/>
    <xf numFmtId="1" fontId="0" fillId="0" borderId="2" xfId="0" applyNumberFormat="1" applyFill="1" applyBorder="1"/>
    <xf numFmtId="1" fontId="0" fillId="37" borderId="12" xfId="0" applyNumberFormat="1" applyFill="1" applyBorder="1"/>
    <xf numFmtId="2" fontId="0" fillId="0" borderId="0" xfId="44" applyNumberFormat="1" applyFont="1" applyBorder="1"/>
    <xf numFmtId="0" fontId="0" fillId="40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0" xfId="0" applyBorder="1"/>
    <xf numFmtId="0" fontId="0" fillId="39" borderId="15" xfId="0" applyFill="1" applyBorder="1"/>
    <xf numFmtId="165" fontId="0" fillId="35" borderId="0" xfId="0" applyNumberFormat="1" applyFill="1" applyBorder="1"/>
    <xf numFmtId="1" fontId="0" fillId="0" borderId="0" xfId="0" applyNumberFormat="1" applyBorder="1"/>
    <xf numFmtId="9" fontId="0" fillId="0" borderId="17" xfId="44" applyFont="1" applyBorder="1"/>
    <xf numFmtId="0" fontId="0" fillId="0" borderId="26" xfId="0" applyBorder="1"/>
    <xf numFmtId="0" fontId="0" fillId="0" borderId="27" xfId="0" applyBorder="1"/>
    <xf numFmtId="1" fontId="0" fillId="0" borderId="27" xfId="0" applyNumberFormat="1" applyBorder="1"/>
    <xf numFmtId="0" fontId="0" fillId="35" borderId="20" xfId="0" applyFill="1" applyBorder="1"/>
    <xf numFmtId="9" fontId="0" fillId="0" borderId="2" xfId="0" applyNumberFormat="1" applyFont="1" applyBorder="1"/>
    <xf numFmtId="0" fontId="0" fillId="0" borderId="28" xfId="0" applyFont="1" applyBorder="1"/>
    <xf numFmtId="0" fontId="32" fillId="0" borderId="24" xfId="0" applyFont="1" applyBorder="1"/>
    <xf numFmtId="164" fontId="32" fillId="0" borderId="0" xfId="0" applyNumberFormat="1" applyFont="1" applyBorder="1"/>
    <xf numFmtId="0" fontId="32" fillId="0" borderId="0" xfId="0" applyFont="1" applyBorder="1"/>
    <xf numFmtId="1" fontId="32" fillId="0" borderId="0" xfId="0" applyNumberFormat="1" applyFont="1" applyBorder="1"/>
    <xf numFmtId="9" fontId="0" fillId="0" borderId="29" xfId="0" applyNumberFormat="1" applyBorder="1"/>
    <xf numFmtId="0" fontId="11" fillId="39" borderId="20" xfId="0" applyFont="1" applyFill="1" applyBorder="1" applyAlignment="1">
      <alignment vertical="center" wrapText="1"/>
    </xf>
    <xf numFmtId="0" fontId="9" fillId="39" borderId="20" xfId="0" applyFont="1" applyFill="1" applyBorder="1" applyAlignment="1">
      <alignment horizontal="center" vertical="center" wrapText="1"/>
    </xf>
    <xf numFmtId="0" fontId="9" fillId="39" borderId="32" xfId="0" applyFont="1" applyFill="1" applyBorder="1" applyAlignment="1">
      <alignment horizontal="center" vertical="center" wrapText="1"/>
    </xf>
    <xf numFmtId="1" fontId="0" fillId="0" borderId="2" xfId="0" applyNumberFormat="1" applyBorder="1"/>
    <xf numFmtId="1" fontId="9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0" fillId="0" borderId="2" xfId="0" applyBorder="1"/>
    <xf numFmtId="0" fontId="0" fillId="37" borderId="2" xfId="0" applyFill="1" applyBorder="1" applyAlignment="1">
      <alignment horizontal="right"/>
    </xf>
    <xf numFmtId="0" fontId="4" fillId="0" borderId="0" xfId="80" applyFill="1"/>
    <xf numFmtId="0" fontId="4" fillId="0" borderId="0" xfId="80"/>
    <xf numFmtId="0" fontId="4" fillId="0" borderId="0" xfId="80"/>
    <xf numFmtId="0" fontId="3" fillId="0" borderId="0" xfId="94" applyAlignment="1">
      <alignment horizontal="right"/>
    </xf>
    <xf numFmtId="0" fontId="3" fillId="0" borderId="0" xfId="94"/>
    <xf numFmtId="0" fontId="3" fillId="0" borderId="0" xfId="94"/>
    <xf numFmtId="0" fontId="2" fillId="0" borderId="0" xfId="108"/>
    <xf numFmtId="0" fontId="2" fillId="0" borderId="0" xfId="108"/>
    <xf numFmtId="0" fontId="15" fillId="0" borderId="0" xfId="0" applyFont="1"/>
    <xf numFmtId="0" fontId="15" fillId="0" borderId="0" xfId="0" applyFont="1" applyAlignment="1">
      <alignment horizontal="center"/>
    </xf>
    <xf numFmtId="0" fontId="7" fillId="35" borderId="2" xfId="42" applyFill="1" applyBorder="1"/>
    <xf numFmtId="10" fontId="16" fillId="35" borderId="2" xfId="0" applyNumberFormat="1" applyFont="1" applyFill="1" applyBorder="1" applyAlignment="1">
      <alignment horizontal="left" vertical="top"/>
    </xf>
    <xf numFmtId="0" fontId="0" fillId="35" borderId="0" xfId="0" applyFill="1"/>
    <xf numFmtId="0" fontId="3" fillId="35" borderId="0" xfId="94" applyFill="1"/>
    <xf numFmtId="0" fontId="1" fillId="0" borderId="0" xfId="122"/>
    <xf numFmtId="0" fontId="0" fillId="41" borderId="13" xfId="0" applyFill="1" applyBorder="1" applyAlignment="1">
      <alignment horizontal="center"/>
    </xf>
    <xf numFmtId="0" fontId="0" fillId="41" borderId="14" xfId="0" applyFill="1" applyBorder="1" applyAlignment="1">
      <alignment horizontal="center"/>
    </xf>
    <xf numFmtId="0" fontId="0" fillId="41" borderId="30" xfId="0" applyFill="1" applyBorder="1" applyAlignment="1">
      <alignment horizontal="center"/>
    </xf>
    <xf numFmtId="0" fontId="0" fillId="41" borderId="31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136">
    <cellStyle name="20% — акцент1" xfId="19" builtinId="30" customBuiltin="1"/>
    <cellStyle name="20% — акцент1 2" xfId="48"/>
    <cellStyle name="20% — акцент1 3" xfId="68"/>
    <cellStyle name="20% — акцент1 4" xfId="82"/>
    <cellStyle name="20% — акцент1 5" xfId="96"/>
    <cellStyle name="20% — акцент1 6" xfId="110"/>
    <cellStyle name="20% — акцент1 7" xfId="124"/>
    <cellStyle name="20% — акцент2" xfId="23" builtinId="34" customBuiltin="1"/>
    <cellStyle name="20% — акцент2 2" xfId="51"/>
    <cellStyle name="20% — акцент2 3" xfId="70"/>
    <cellStyle name="20% — акцент2 4" xfId="84"/>
    <cellStyle name="20% — акцент2 5" xfId="98"/>
    <cellStyle name="20% — акцент2 6" xfId="112"/>
    <cellStyle name="20% — акцент2 7" xfId="126"/>
    <cellStyle name="20% — акцент3" xfId="27" builtinId="38" customBuiltin="1"/>
    <cellStyle name="20% — акцент3 2" xfId="54"/>
    <cellStyle name="20% — акцент3 3" xfId="72"/>
    <cellStyle name="20% — акцент3 4" xfId="86"/>
    <cellStyle name="20% — акцент3 5" xfId="100"/>
    <cellStyle name="20% — акцент3 6" xfId="114"/>
    <cellStyle name="20% — акцент3 7" xfId="128"/>
    <cellStyle name="20% — акцент4" xfId="31" builtinId="42" customBuiltin="1"/>
    <cellStyle name="20% — акцент4 2" xfId="57"/>
    <cellStyle name="20% — акцент4 3" xfId="74"/>
    <cellStyle name="20% — акцент4 4" xfId="88"/>
    <cellStyle name="20% — акцент4 5" xfId="102"/>
    <cellStyle name="20% — акцент4 6" xfId="116"/>
    <cellStyle name="20% — акцент4 7" xfId="130"/>
    <cellStyle name="20% — акцент5" xfId="35" builtinId="46" customBuiltin="1"/>
    <cellStyle name="20% — акцент5 2" xfId="60"/>
    <cellStyle name="20% — акцент5 3" xfId="76"/>
    <cellStyle name="20% — акцент5 4" xfId="90"/>
    <cellStyle name="20% — акцент5 5" xfId="104"/>
    <cellStyle name="20% — акцент5 6" xfId="118"/>
    <cellStyle name="20% — акцент5 7" xfId="132"/>
    <cellStyle name="20% — акцент6" xfId="39" builtinId="50" customBuiltin="1"/>
    <cellStyle name="20% — акцент6 2" xfId="63"/>
    <cellStyle name="20% — акцент6 3" xfId="78"/>
    <cellStyle name="20% — акцент6 4" xfId="92"/>
    <cellStyle name="20% — акцент6 5" xfId="106"/>
    <cellStyle name="20% — акцент6 6" xfId="120"/>
    <cellStyle name="20% — акцент6 7" xfId="134"/>
    <cellStyle name="40% — акцент1" xfId="20" builtinId="31" customBuiltin="1"/>
    <cellStyle name="40% — акцент1 2" xfId="49"/>
    <cellStyle name="40% — акцент1 3" xfId="69"/>
    <cellStyle name="40% — акцент1 4" xfId="83"/>
    <cellStyle name="40% — акцент1 5" xfId="97"/>
    <cellStyle name="40% — акцент1 6" xfId="111"/>
    <cellStyle name="40% — акцент1 7" xfId="125"/>
    <cellStyle name="40% — акцент2" xfId="24" builtinId="35" customBuiltin="1"/>
    <cellStyle name="40% — акцент2 2" xfId="52"/>
    <cellStyle name="40% — акцент2 3" xfId="71"/>
    <cellStyle name="40% — акцент2 4" xfId="85"/>
    <cellStyle name="40% — акцент2 5" xfId="99"/>
    <cellStyle name="40% — акцент2 6" xfId="113"/>
    <cellStyle name="40% — акцент2 7" xfId="127"/>
    <cellStyle name="40% — акцент3" xfId="28" builtinId="39" customBuiltin="1"/>
    <cellStyle name="40% — акцент3 2" xfId="55"/>
    <cellStyle name="40% — акцент3 3" xfId="73"/>
    <cellStyle name="40% — акцент3 4" xfId="87"/>
    <cellStyle name="40% — акцент3 5" xfId="101"/>
    <cellStyle name="40% — акцент3 6" xfId="115"/>
    <cellStyle name="40% — акцент3 7" xfId="129"/>
    <cellStyle name="40% — акцент4" xfId="32" builtinId="43" customBuiltin="1"/>
    <cellStyle name="40% — акцент4 2" xfId="58"/>
    <cellStyle name="40% — акцент4 3" xfId="75"/>
    <cellStyle name="40% — акцент4 4" xfId="89"/>
    <cellStyle name="40% — акцент4 5" xfId="103"/>
    <cellStyle name="40% — акцент4 6" xfId="117"/>
    <cellStyle name="40% — акцент4 7" xfId="131"/>
    <cellStyle name="40% — акцент5" xfId="36" builtinId="47" customBuiltin="1"/>
    <cellStyle name="40% — акцент5 2" xfId="61"/>
    <cellStyle name="40% — акцент5 3" xfId="77"/>
    <cellStyle name="40% — акцент5 4" xfId="91"/>
    <cellStyle name="40% — акцент5 5" xfId="105"/>
    <cellStyle name="40% — акцент5 6" xfId="119"/>
    <cellStyle name="40% — акцент5 7" xfId="133"/>
    <cellStyle name="40% — акцент6" xfId="40" builtinId="51" customBuiltin="1"/>
    <cellStyle name="40% — акцент6 2" xfId="64"/>
    <cellStyle name="40% — акцент6 3" xfId="79"/>
    <cellStyle name="40% — акцент6 4" xfId="93"/>
    <cellStyle name="40% — акцент6 5" xfId="107"/>
    <cellStyle name="40% — акцент6 6" xfId="121"/>
    <cellStyle name="40% — акцент6 7" xfId="135"/>
    <cellStyle name="60% — акцент1" xfId="21" builtinId="32" customBuiltin="1"/>
    <cellStyle name="60% — акцент1 2" xfId="50"/>
    <cellStyle name="60% — акцент2" xfId="25" builtinId="36" customBuiltin="1"/>
    <cellStyle name="60% — акцент2 2" xfId="53"/>
    <cellStyle name="60% — акцент3" xfId="29" builtinId="40" customBuiltin="1"/>
    <cellStyle name="60% — акцент3 2" xfId="56"/>
    <cellStyle name="60% — акцент4" xfId="33" builtinId="44" customBuiltin="1"/>
    <cellStyle name="60% — акцент4 2" xfId="59"/>
    <cellStyle name="60% — акцент5" xfId="37" builtinId="48" customBuiltin="1"/>
    <cellStyle name="60% — акцент5 2" xfId="62"/>
    <cellStyle name="60% — акцент6" xfId="41" builtinId="52" customBuiltin="1"/>
    <cellStyle name="60% — акцент6 2" xfId="65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/>
    <cellStyle name="Обычный" xfId="0" builtinId="0"/>
    <cellStyle name="Обычный 2" xfId="4"/>
    <cellStyle name="Обычный 3" xfId="42"/>
    <cellStyle name="Обычный 4" xfId="45"/>
    <cellStyle name="Обычный 5" xfId="66"/>
    <cellStyle name="Обычный 6" xfId="80"/>
    <cellStyle name="Обычный 7" xfId="94"/>
    <cellStyle name="Обычный 8" xfId="108"/>
    <cellStyle name="Обычный 9" xfId="122"/>
    <cellStyle name="Плохой" xfId="2" builtinId="27" customBuiltin="1"/>
    <cellStyle name="Пояснение" xfId="16" builtinId="53" customBuiltin="1"/>
    <cellStyle name="Примечание 2" xfId="43"/>
    <cellStyle name="Примечание 3" xfId="47"/>
    <cellStyle name="Примечание 4" xfId="67"/>
    <cellStyle name="Примечание 5" xfId="81"/>
    <cellStyle name="Примечание 6" xfId="95"/>
    <cellStyle name="Примечание 7" xfId="109"/>
    <cellStyle name="Примечание 8" xfId="123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41">
    <dxf>
      <numFmt numFmtId="166" formatCode="0.000000"/>
    </dxf>
    <dxf>
      <numFmt numFmtId="167" formatCode="0.00000"/>
    </dxf>
    <dxf>
      <numFmt numFmtId="164" formatCode="0.0000"/>
    </dxf>
    <dxf>
      <numFmt numFmtId="168" formatCode="0.000"/>
    </dxf>
    <dxf>
      <numFmt numFmtId="2" formatCode="0.00"/>
    </dxf>
    <dxf>
      <numFmt numFmtId="165" formatCode="0.0"/>
    </dxf>
    <dxf>
      <numFmt numFmtId="1" formatCode="0"/>
    </dxf>
    <dxf>
      <numFmt numFmtId="166" formatCode="0.000000"/>
    </dxf>
    <dxf>
      <numFmt numFmtId="167" formatCode="0.00000"/>
    </dxf>
    <dxf>
      <numFmt numFmtId="164" formatCode="0.0000"/>
    </dxf>
    <dxf>
      <numFmt numFmtId="168" formatCode="0.000"/>
    </dxf>
    <dxf>
      <numFmt numFmtId="2" formatCode="0.00"/>
    </dxf>
    <dxf>
      <numFmt numFmtId="165" formatCode="0.0"/>
    </dxf>
    <dxf>
      <numFmt numFmtId="1" formatCode="0"/>
    </dxf>
    <dxf>
      <numFmt numFmtId="166" formatCode="0.000000"/>
    </dxf>
    <dxf>
      <numFmt numFmtId="167" formatCode="0.00000"/>
    </dxf>
    <dxf>
      <numFmt numFmtId="164" formatCode="0.0000"/>
    </dxf>
    <dxf>
      <numFmt numFmtId="168" formatCode="0.000"/>
    </dxf>
    <dxf>
      <numFmt numFmtId="2" formatCode="0.00"/>
    </dxf>
    <dxf>
      <numFmt numFmtId="165" formatCode="0.0"/>
    </dxf>
    <dxf>
      <numFmt numFmtId="1" formatCode="0"/>
    </dxf>
    <dxf>
      <numFmt numFmtId="166" formatCode="0.000000"/>
    </dxf>
    <dxf>
      <numFmt numFmtId="167" formatCode="0.00000"/>
    </dxf>
    <dxf>
      <numFmt numFmtId="164" formatCode="0.0000"/>
    </dxf>
    <dxf>
      <numFmt numFmtId="168" formatCode="0.000"/>
    </dxf>
    <dxf>
      <numFmt numFmtId="2" formatCode="0.00"/>
    </dxf>
    <dxf>
      <numFmt numFmtId="165" formatCode="0.0"/>
    </dxf>
    <dxf>
      <numFmt numFmtId="1" formatCode="0"/>
    </dxf>
    <dxf>
      <numFmt numFmtId="1" formatCode="0"/>
    </dxf>
    <dxf>
      <numFmt numFmtId="165" formatCode="0.0"/>
    </dxf>
    <dxf>
      <numFmt numFmtId="2" formatCode="0.00"/>
    </dxf>
    <dxf>
      <numFmt numFmtId="168" formatCode="0.000"/>
    </dxf>
    <dxf>
      <numFmt numFmtId="164" formatCode="0.0000"/>
    </dxf>
    <dxf>
      <numFmt numFmtId="167" formatCode="0.00000"/>
    </dxf>
    <dxf>
      <numFmt numFmtId="166" formatCode="0.0000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st" refreshedDate="44849.473945949074" createdVersion="6" refreshedVersion="6" minRefreshableVersion="3" recordCount="26">
  <cacheSource type="worksheet">
    <worksheetSource ref="A64:G90" sheet="Автоматизированный расчет"/>
  </cacheSource>
  <cacheFields count="7">
    <cacheField name="Операция/Скрипт" numFmtId="0">
      <sharedItems/>
    </cacheField>
    <cacheField name="Запросы" numFmtId="0">
      <sharedItems count="9">
        <s v="Главная страница"/>
        <s v="Логин"/>
        <s v="Переход на стр. Поиска"/>
        <s v="Заполнение полей и поиск"/>
        <s v="Выбор рейса"/>
        <s v="Покупка"/>
        <s v="Логаут"/>
        <s v="Просмотр путевых листов"/>
        <s v="Удаление"/>
      </sharedItems>
    </cacheField>
    <cacheField name="Vus" numFmtId="1">
      <sharedItems containsSemiMixedTypes="0" containsString="0" containsNumber="1" minValue="0.95833333333333337" maxValue="1.9633333333333336"/>
    </cacheField>
    <cacheField name="Pacing" numFmtId="0">
      <sharedItems containsSemiMixedTypes="0" containsString="0" containsNumber="1" containsInteger="1" minValue="25" maxValue="180"/>
    </cacheField>
    <cacheField name="Кол-во одним Vu" numFmtId="1">
      <sharedItems containsSemiMixedTypes="0" containsString="0" containsNumber="1" minValue="0.33333333333333331" maxValue="2.4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6.6666666666666679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n Safronova" refreshedDate="45088.62092627315" createdVersion="6" refreshedVersion="5" minRefreshableVersion="3" recordCount="33">
  <cacheSource type="worksheet">
    <worksheetSource ref="A1:H34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4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  <m u="1"/>
        <s v="Переход на страницу поиска билета" u="1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36" maxValue="300"/>
    </cacheField>
    <cacheField name="одним пользователем в минуту" numFmtId="2">
      <sharedItems containsSemiMixedTypes="0" containsString="0" containsNumber="1" minValue="0.2" maxValue="1.6666666666666667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8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s v="Покупка билета"/>
    <x v="0"/>
    <n v="1.9633333333333336"/>
    <n v="57"/>
    <n v="1.0526315789473684"/>
    <n v="20"/>
    <n v="41.333333333333336"/>
  </r>
  <r>
    <s v="Покупка билета"/>
    <x v="1"/>
    <n v="1.9633333333333336"/>
    <n v="57"/>
    <n v="1.0526315789473684"/>
    <n v="20"/>
    <n v="41.333333333333336"/>
  </r>
  <r>
    <s v="Покупка билета"/>
    <x v="2"/>
    <n v="1.9633333333333336"/>
    <n v="57"/>
    <n v="1.0526315789473684"/>
    <n v="20"/>
    <n v="41.333333333333336"/>
  </r>
  <r>
    <s v="Покупка билета"/>
    <x v="3"/>
    <n v="1.9633333333333336"/>
    <n v="57"/>
    <n v="1.0526315789473684"/>
    <n v="20"/>
    <n v="41.333333333333336"/>
  </r>
  <r>
    <s v="Покупка билета"/>
    <x v="4"/>
    <n v="1.9633333333333336"/>
    <n v="57"/>
    <n v="1.0526315789473684"/>
    <n v="20"/>
    <n v="41.333333333333336"/>
  </r>
  <r>
    <s v="Покупка билета"/>
    <x v="5"/>
    <n v="1.9633333333333336"/>
    <n v="57"/>
    <n v="1.0526315789473684"/>
    <n v="20"/>
    <n v="41.333333333333336"/>
  </r>
  <r>
    <s v="Покупка билета"/>
    <x v="6"/>
    <n v="1.9633333333333336"/>
    <n v="57"/>
    <n v="1.0526315789473684"/>
    <n v="20"/>
    <n v="41.333333333333336"/>
  </r>
  <r>
    <s v="Логин и логаут"/>
    <x v="0"/>
    <n v="1.0416666666666667"/>
    <n v="25"/>
    <n v="2.4"/>
    <n v="20"/>
    <n v="50"/>
  </r>
  <r>
    <s v="Логин и логаут"/>
    <x v="1"/>
    <n v="1.0416666666666667"/>
    <n v="25"/>
    <n v="2.4"/>
    <n v="20"/>
    <n v="50"/>
  </r>
  <r>
    <s v="Логин и логаут"/>
    <x v="6"/>
    <n v="1.0416666666666667"/>
    <n v="25"/>
    <n v="2.4"/>
    <n v="20"/>
    <n v="50"/>
  </r>
  <r>
    <s v="Удаление брони"/>
    <x v="0"/>
    <n v="0.95833333333333337"/>
    <n v="115"/>
    <n v="0.52173913043478259"/>
    <n v="20"/>
    <n v="10"/>
  </r>
  <r>
    <s v="Удаление брони"/>
    <x v="1"/>
    <n v="0.95833333333333337"/>
    <n v="115"/>
    <n v="0.52173913043478259"/>
    <n v="20"/>
    <n v="10"/>
  </r>
  <r>
    <s v="Удаление брони"/>
    <x v="7"/>
    <n v="0.95833333333333337"/>
    <n v="115"/>
    <n v="0.52173913043478259"/>
    <n v="20"/>
    <n v="10"/>
  </r>
  <r>
    <s v="Удаление брони"/>
    <x v="8"/>
    <n v="0.95833333333333337"/>
    <n v="115"/>
    <n v="0.52173913043478259"/>
    <n v="20"/>
    <n v="10"/>
  </r>
  <r>
    <s v="Удаление брони"/>
    <x v="6"/>
    <n v="0.95833333333333337"/>
    <n v="115"/>
    <n v="0.52173913043478259"/>
    <n v="20"/>
    <n v="10"/>
  </r>
  <r>
    <s v="Поиск билета"/>
    <x v="0"/>
    <n v="1.0000000000000002"/>
    <n v="180"/>
    <n v="0.33333333333333331"/>
    <n v="20"/>
    <n v="6.6666666666666679"/>
  </r>
  <r>
    <s v="Поиск билета"/>
    <x v="0"/>
    <n v="1.0000000000000002"/>
    <n v="180"/>
    <n v="0.33333333333333331"/>
    <n v="20"/>
    <n v="6.6666666666666679"/>
  </r>
  <r>
    <s v="Поиск билета"/>
    <x v="1"/>
    <n v="1.0000000000000002"/>
    <n v="180"/>
    <n v="0.33333333333333331"/>
    <n v="20"/>
    <n v="6.6666666666666679"/>
  </r>
  <r>
    <s v="Поиск билета"/>
    <x v="2"/>
    <n v="1.0000000000000002"/>
    <n v="180"/>
    <n v="0.33333333333333331"/>
    <n v="20"/>
    <n v="6.6666666666666679"/>
  </r>
  <r>
    <s v="Поиск билета"/>
    <x v="3"/>
    <n v="1.0000000000000002"/>
    <n v="180"/>
    <n v="0.33333333333333331"/>
    <n v="20"/>
    <n v="6.6666666666666679"/>
  </r>
  <r>
    <s v="Поиск билета"/>
    <x v="4"/>
    <n v="1.0000000000000002"/>
    <n v="180"/>
    <n v="0.33333333333333331"/>
    <n v="20"/>
    <n v="6.6666666666666679"/>
  </r>
  <r>
    <s v="Поиск билета"/>
    <x v="6"/>
    <n v="1.0000000000000002"/>
    <n v="180"/>
    <n v="0.33333333333333331"/>
    <n v="20"/>
    <n v="6.6666666666666679"/>
  </r>
  <r>
    <s v="Просмотр текущих бронирований"/>
    <x v="0"/>
    <n v="1"/>
    <n v="30"/>
    <n v="2"/>
    <n v="20"/>
    <n v="40"/>
  </r>
  <r>
    <s v="Просмотр текущих бронирований"/>
    <x v="1"/>
    <n v="1"/>
    <n v="30"/>
    <n v="2"/>
    <n v="20"/>
    <n v="40"/>
  </r>
  <r>
    <s v="Просмотр текущих бронирований"/>
    <x v="7"/>
    <n v="1"/>
    <n v="30"/>
    <n v="2"/>
    <n v="20"/>
    <n v="40"/>
  </r>
  <r>
    <s v="Просмотр текущих бронирований"/>
    <x v="6"/>
    <n v="1"/>
    <n v="30"/>
    <n v="2"/>
    <n v="20"/>
    <n v="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">
  <r>
    <s v="Покупка билета"/>
    <x v="0"/>
    <n v="1"/>
    <n v="2"/>
    <n v="40"/>
    <n v="1.5"/>
    <n v="20"/>
    <n v="60"/>
  </r>
  <r>
    <s v="Покупка билета"/>
    <x v="1"/>
    <n v="1"/>
    <n v="2"/>
    <n v="40"/>
    <n v="1.5"/>
    <n v="20"/>
    <n v="60"/>
  </r>
  <r>
    <s v="Покупка билета"/>
    <x v="2"/>
    <n v="1"/>
    <n v="2"/>
    <n v="40"/>
    <n v="1.5"/>
    <n v="20"/>
    <n v="60"/>
  </r>
  <r>
    <s v="Покупка билета"/>
    <x v="3"/>
    <n v="1"/>
    <n v="2"/>
    <n v="40"/>
    <n v="1.5"/>
    <n v="20"/>
    <n v="60"/>
  </r>
  <r>
    <s v="Покупка билета"/>
    <x v="4"/>
    <n v="1"/>
    <n v="2"/>
    <n v="40"/>
    <n v="1.5"/>
    <n v="20"/>
    <n v="60"/>
  </r>
  <r>
    <s v="Покупка билета"/>
    <x v="5"/>
    <n v="1"/>
    <n v="2"/>
    <n v="40"/>
    <n v="1.5"/>
    <n v="20"/>
    <n v="60"/>
  </r>
  <r>
    <s v="Покупка билета"/>
    <x v="6"/>
    <n v="1"/>
    <n v="2"/>
    <n v="40"/>
    <n v="1.5"/>
    <n v="20"/>
    <n v="60"/>
  </r>
  <r>
    <s v="Удаление бронирования "/>
    <x v="0"/>
    <n v="1"/>
    <n v="1"/>
    <n v="47"/>
    <n v="1.2765957446808511"/>
    <n v="20"/>
    <n v="25.531914893617021"/>
  </r>
  <r>
    <s v="Удаление бронирования "/>
    <x v="1"/>
    <n v="1"/>
    <n v="1"/>
    <n v="47"/>
    <n v="1.2765957446808511"/>
    <n v="20"/>
    <n v="25.531914893617021"/>
  </r>
  <r>
    <s v="Удаление бронирования "/>
    <x v="6"/>
    <n v="1"/>
    <n v="1"/>
    <n v="47"/>
    <n v="1.2765957446808511"/>
    <n v="20"/>
    <n v="25.531914893617021"/>
  </r>
  <r>
    <s v="Удаление бронирования "/>
    <x v="7"/>
    <n v="1"/>
    <n v="1"/>
    <n v="47"/>
    <n v="1.2765957446808511"/>
    <n v="20"/>
    <n v="25.531914893617021"/>
  </r>
  <r>
    <s v="Удаление бронирования "/>
    <x v="8"/>
    <n v="1"/>
    <n v="1"/>
    <n v="47"/>
    <n v="1.2765957446808511"/>
    <n v="20"/>
    <n v="25.531914893617021"/>
  </r>
  <r>
    <s v="Регистрация новых пользователей"/>
    <x v="0"/>
    <n v="1"/>
    <n v="1"/>
    <n v="36"/>
    <n v="1.6666666666666667"/>
    <n v="20"/>
    <n v="33.333333333333336"/>
  </r>
  <r>
    <s v="Регистрация новых пользователей"/>
    <x v="9"/>
    <n v="1"/>
    <n v="1"/>
    <n v="36"/>
    <n v="1.6666666666666667"/>
    <n v="20"/>
    <n v="33.333333333333336"/>
  </r>
  <r>
    <s v="Регистрация новых пользователей"/>
    <x v="10"/>
    <n v="1"/>
    <n v="1"/>
    <n v="36"/>
    <n v="1.6666666666666667"/>
    <n v="20"/>
    <n v="33.333333333333336"/>
  </r>
  <r>
    <s v="Регистрация новых пользователей"/>
    <x v="11"/>
    <n v="1"/>
    <n v="1"/>
    <n v="36"/>
    <n v="1.6666666666666667"/>
    <n v="20"/>
    <n v="33.333333333333336"/>
  </r>
  <r>
    <s v="Регистрация новых пользователей"/>
    <x v="8"/>
    <n v="1"/>
    <n v="1"/>
    <n v="36"/>
    <n v="1.6666666666666667"/>
    <n v="20"/>
    <n v="33.333333333333336"/>
  </r>
  <r>
    <s v="Поиск билета без выбора"/>
    <x v="0"/>
    <n v="1"/>
    <n v="2"/>
    <n v="300"/>
    <n v="0.2"/>
    <n v="20"/>
    <n v="8"/>
  </r>
  <r>
    <s v="Поиск билета без выбора"/>
    <x v="1"/>
    <n v="1"/>
    <n v="2"/>
    <n v="300"/>
    <n v="0.2"/>
    <n v="20"/>
    <n v="8"/>
  </r>
  <r>
    <s v="Поиск билета без выбора"/>
    <x v="2"/>
    <n v="1"/>
    <n v="2"/>
    <n v="300"/>
    <n v="0.2"/>
    <n v="20"/>
    <n v="8"/>
  </r>
  <r>
    <s v="Поиск билета без выбора"/>
    <x v="3"/>
    <n v="1"/>
    <n v="2"/>
    <n v="300"/>
    <n v="0.2"/>
    <n v="20"/>
    <n v="8"/>
  </r>
  <r>
    <s v="Поиск билета без выбора"/>
    <x v="8"/>
    <n v="1"/>
    <n v="2"/>
    <n v="300"/>
    <n v="0.2"/>
    <n v="20"/>
    <n v="8"/>
  </r>
  <r>
    <s v="Поиск билета без покупки"/>
    <x v="0"/>
    <n v="1"/>
    <n v="2"/>
    <n v="88"/>
    <n v="0.68181818181818177"/>
    <n v="20"/>
    <n v="27.27272727272727"/>
  </r>
  <r>
    <s v="Поиск билета без покупки"/>
    <x v="1"/>
    <n v="1"/>
    <n v="2"/>
    <n v="88"/>
    <n v="0.68181818181818177"/>
    <n v="20"/>
    <n v="27.27272727272727"/>
  </r>
  <r>
    <s v="Поиск билета без покупки"/>
    <x v="2"/>
    <n v="1"/>
    <n v="2"/>
    <n v="88"/>
    <n v="0.68181818181818177"/>
    <n v="20"/>
    <n v="27.27272727272727"/>
  </r>
  <r>
    <s v="Поиск билета без покупки"/>
    <x v="3"/>
    <n v="1"/>
    <n v="2"/>
    <n v="88"/>
    <n v="0.68181818181818177"/>
    <n v="20"/>
    <n v="27.27272727272727"/>
  </r>
  <r>
    <s v="Поиск билета без покупки"/>
    <x v="4"/>
    <n v="1"/>
    <n v="2"/>
    <n v="88"/>
    <n v="0.68181818181818177"/>
    <n v="20"/>
    <n v="27.27272727272727"/>
  </r>
  <r>
    <s v="Поиск билета без покупки"/>
    <x v="8"/>
    <n v="1"/>
    <n v="2"/>
    <n v="88"/>
    <n v="0.68181818181818177"/>
    <n v="20"/>
    <n v="27.27272727272727"/>
  </r>
  <r>
    <s v="Ознакомление с путевым листом"/>
    <x v="0"/>
    <n v="1"/>
    <n v="2"/>
    <n v="198"/>
    <n v="0.30303030303030304"/>
    <n v="20"/>
    <n v="12.121212121212121"/>
  </r>
  <r>
    <s v="Ознакомление с путевым листом"/>
    <x v="1"/>
    <n v="1"/>
    <n v="2"/>
    <n v="198"/>
    <n v="0.30303030303030304"/>
    <n v="20"/>
    <n v="12.121212121212121"/>
  </r>
  <r>
    <s v="Ознакомление с путевым листом"/>
    <x v="2"/>
    <n v="1"/>
    <n v="2"/>
    <n v="198"/>
    <n v="0.30303030303030304"/>
    <n v="20"/>
    <n v="12.121212121212121"/>
  </r>
  <r>
    <s v="Ознакомление с путевым листом"/>
    <x v="6"/>
    <n v="1"/>
    <n v="2"/>
    <n v="198"/>
    <n v="0.30303030303030304"/>
    <n v="20"/>
    <n v="12.121212121212121"/>
  </r>
  <r>
    <s v="Ознакомление с путевым листом"/>
    <x v="8"/>
    <n v="1"/>
    <n v="2"/>
    <n v="198"/>
    <n v="0.30303030303030304"/>
    <n v="20"/>
    <n v="12.1212121212121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15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5">
        <item x="1"/>
        <item x="4"/>
        <item x="8"/>
        <item x="3"/>
        <item x="5"/>
        <item x="7"/>
        <item x="6"/>
        <item x="0"/>
        <item x="9"/>
        <item x="10"/>
        <item x="11"/>
        <item x="2"/>
        <item m="1" x="12"/>
        <item m="1" x="1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34">
      <pivotArea outline="0" collapsedLevelsAreSubtotals="1" fieldPosition="0"/>
    </format>
    <format dxfId="33">
      <pivotArea outline="0" collapsedLevelsAreSubtotals="1" fieldPosition="0"/>
    </format>
    <format dxfId="32">
      <pivotArea outline="0" collapsedLevelsAreSubtotals="1" fieldPosition="0"/>
    </format>
    <format dxfId="31">
      <pivotArea outline="0" collapsedLevelsAreSubtotals="1" fieldPosition="0"/>
    </format>
    <format dxfId="30">
      <pivotArea outline="0" collapsedLevelsAreSubtotals="1" fieldPosition="0"/>
    </format>
    <format dxfId="29">
      <pivotArea outline="0" collapsedLevelsAreSubtotals="1" fieldPosition="0"/>
    </format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60:J70" firstHeaderRow="1" firstDataRow="1" firstDataCol="1"/>
  <pivotFields count="7">
    <pivotField showAll="0"/>
    <pivotField axis="axisRow" showAll="0">
      <items count="10">
        <item x="4"/>
        <item x="0"/>
        <item x="3"/>
        <item x="6"/>
        <item x="1"/>
        <item x="2"/>
        <item x="5"/>
        <item x="7"/>
        <item x="8"/>
        <item t="default"/>
      </items>
    </pivotField>
    <pivotField numFmtId="1" showAll="0"/>
    <pivotField showAll="0"/>
    <pivotField numFmtId="1" showAll="0"/>
    <pivotField showAll="0"/>
    <pivotField dataField="1" numFmtId="1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Итого" fld="6" baseField="1" baseItem="0"/>
  </dataFields>
  <formats count="6">
    <format dxfId="40">
      <pivotArea collapsedLevelsAreSubtotals="1" fieldPosition="0">
        <references count="1">
          <reference field="1" count="0"/>
        </references>
      </pivotArea>
    </format>
    <format dxfId="39">
      <pivotArea collapsedLevelsAreSubtotals="1" fieldPosition="0">
        <references count="1">
          <reference field="1" count="0"/>
        </references>
      </pivotArea>
    </format>
    <format dxfId="38">
      <pivotArea dataOnly="0" labelOnly="1" fieldPosition="0">
        <references count="1">
          <reference field="1" count="1">
            <x v="4"/>
          </reference>
        </references>
      </pivotArea>
    </format>
    <format dxfId="37">
      <pivotArea dataOnly="0" labelOnly="1" fieldPosition="0">
        <references count="1">
          <reference field="1" count="1">
            <x v="3"/>
          </reference>
        </references>
      </pivotArea>
    </format>
    <format dxfId="36">
      <pivotArea dataOnly="0" labelOnly="1" fieldPosition="0">
        <references count="1">
          <reference field="1" count="1">
            <x v="6"/>
          </reference>
        </references>
      </pivotArea>
    </format>
    <format dxfId="35">
      <pivotArea dataOnly="0" labelOnly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6" workbookViewId="0">
      <selection activeCell="A41" sqref="A41:A44"/>
    </sheetView>
  </sheetViews>
  <sheetFormatPr defaultRowHeight="14.5" x14ac:dyDescent="0.35"/>
  <cols>
    <col min="1" max="1" width="47.453125" bestFit="1" customWidth="1"/>
    <col min="2" max="2" width="14.1796875" bestFit="1" customWidth="1"/>
  </cols>
  <sheetData>
    <row r="1" spans="1:2" x14ac:dyDescent="0.35">
      <c r="A1" s="39" t="s">
        <v>72</v>
      </c>
      <c r="B1" s="39" t="s">
        <v>73</v>
      </c>
    </row>
    <row r="2" spans="1:2" x14ac:dyDescent="0.35">
      <c r="A2" s="76" t="str">
        <f>'Автоматизированный расчет'!A40</f>
        <v>Главная Welcome страница</v>
      </c>
      <c r="B2" s="85" t="s">
        <v>107</v>
      </c>
    </row>
    <row r="3" spans="1:2" x14ac:dyDescent="0.35">
      <c r="A3" s="76" t="str">
        <f>'Автоматизированный расчет'!A41</f>
        <v>Вход в систему</v>
      </c>
      <c r="B3" s="76" t="s">
        <v>21</v>
      </c>
    </row>
    <row r="4" spans="1:2" x14ac:dyDescent="0.35">
      <c r="A4" s="76" t="str">
        <f>'Автоматизированный расчет'!A42</f>
        <v>Переход на страницу поиска билетов</v>
      </c>
      <c r="B4" s="85" t="s">
        <v>106</v>
      </c>
    </row>
    <row r="5" spans="1:2" x14ac:dyDescent="0.35">
      <c r="A5" s="76" t="str">
        <f>'Автоматизированный расчет'!A43</f>
        <v xml:space="preserve">Заполнение полей для поиска билета </v>
      </c>
      <c r="B5" s="85" t="s">
        <v>109</v>
      </c>
    </row>
    <row r="6" spans="1:2" x14ac:dyDescent="0.35">
      <c r="A6" s="76" t="str">
        <f>'Автоматизированный расчет'!A44</f>
        <v xml:space="preserve">Выбор рейса из найденных </v>
      </c>
      <c r="B6" s="79" t="s">
        <v>23</v>
      </c>
    </row>
    <row r="7" spans="1:2" x14ac:dyDescent="0.35">
      <c r="A7" s="76" t="str">
        <f>'Автоматизированный расчет'!A45</f>
        <v>Оплата билета</v>
      </c>
      <c r="B7" s="85" t="s">
        <v>108</v>
      </c>
    </row>
    <row r="8" spans="1:2" x14ac:dyDescent="0.35">
      <c r="A8" s="76" t="str">
        <f>'Автоматизированный расчет'!A46</f>
        <v>Просмотр квитанций</v>
      </c>
      <c r="B8" s="85" t="s">
        <v>110</v>
      </c>
    </row>
    <row r="9" spans="1:2" x14ac:dyDescent="0.35">
      <c r="A9" s="76" t="str">
        <f>'Автоматизированный расчет'!A47</f>
        <v xml:space="preserve">Отмена бронирования </v>
      </c>
      <c r="B9" s="79" t="s">
        <v>20</v>
      </c>
    </row>
    <row r="10" spans="1:2" x14ac:dyDescent="0.35">
      <c r="A10" s="76" t="str">
        <f>'Автоматизированный расчет'!A48</f>
        <v>Выход из системы</v>
      </c>
      <c r="B10" s="85" t="s">
        <v>22</v>
      </c>
    </row>
    <row r="11" spans="1:2" x14ac:dyDescent="0.35">
      <c r="A11" s="76" t="str">
        <f>'Автоматизированный расчет'!A49</f>
        <v>Перход на страницу регистрации</v>
      </c>
      <c r="B11" s="79" t="s">
        <v>103</v>
      </c>
    </row>
    <row r="12" spans="1:2" x14ac:dyDescent="0.35">
      <c r="A12" s="76" t="str">
        <f>'Автоматизированный расчет'!A50</f>
        <v>Заполнение полей регистарции</v>
      </c>
      <c r="B12" s="79" t="s">
        <v>102</v>
      </c>
    </row>
    <row r="13" spans="1:2" x14ac:dyDescent="0.35">
      <c r="A13" s="76" t="str">
        <f>'Автоматизированный расчет'!A51</f>
        <v>Переход на следуюущий эран после регистарции</v>
      </c>
      <c r="B13" s="7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5" zoomScale="76" workbookViewId="0">
      <selection activeCell="H31" sqref="H31"/>
    </sheetView>
  </sheetViews>
  <sheetFormatPr defaultRowHeight="14.5" x14ac:dyDescent="0.35"/>
  <cols>
    <col min="1" max="1" width="36.453125" bestFit="1" customWidth="1"/>
  </cols>
  <sheetData>
    <row r="1" spans="1:13" x14ac:dyDescent="0.35">
      <c r="A1" s="79"/>
      <c r="B1" s="79"/>
      <c r="C1" s="79"/>
      <c r="D1" s="79"/>
      <c r="E1" s="79"/>
      <c r="F1" s="79"/>
      <c r="G1" s="79"/>
      <c r="H1" s="79"/>
      <c r="I1" s="79"/>
      <c r="J1" s="79"/>
    </row>
    <row r="2" spans="1:13" x14ac:dyDescent="0.35">
      <c r="A2" s="79"/>
      <c r="B2" s="79"/>
      <c r="C2" s="79"/>
      <c r="D2" s="79"/>
      <c r="E2" s="79"/>
      <c r="F2" s="79"/>
      <c r="G2" s="79"/>
      <c r="H2" s="79"/>
      <c r="I2" s="79"/>
      <c r="J2" s="79"/>
      <c r="L2" s="78"/>
      <c r="M2" s="80"/>
    </row>
    <row r="3" spans="1:13" x14ac:dyDescent="0.35">
      <c r="A3" s="79"/>
      <c r="B3" s="79"/>
      <c r="C3" s="79"/>
      <c r="D3" s="79"/>
      <c r="E3" s="79"/>
      <c r="F3" s="79"/>
      <c r="G3" s="79"/>
      <c r="H3" s="79"/>
      <c r="I3" s="79"/>
      <c r="J3" s="79"/>
      <c r="L3" s="78"/>
      <c r="M3" s="80"/>
    </row>
    <row r="4" spans="1:13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L4" s="78"/>
      <c r="M4" s="80"/>
    </row>
    <row r="5" spans="1:13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L5" s="78"/>
      <c r="M5" s="80"/>
    </row>
    <row r="6" spans="1:13" x14ac:dyDescent="0.35">
      <c r="A6" s="79"/>
      <c r="B6" s="79"/>
      <c r="C6" s="79"/>
      <c r="D6" s="79"/>
      <c r="E6" s="79"/>
      <c r="F6" s="79"/>
      <c r="G6" s="79"/>
      <c r="H6" s="79"/>
      <c r="I6" s="79"/>
      <c r="J6" s="79"/>
      <c r="L6" s="78"/>
      <c r="M6" s="80"/>
    </row>
    <row r="7" spans="1:13" x14ac:dyDescent="0.35">
      <c r="A7" s="79"/>
      <c r="B7" s="79"/>
      <c r="C7" s="79"/>
      <c r="D7" s="79"/>
      <c r="E7" s="79"/>
      <c r="F7" s="79"/>
      <c r="G7" s="79"/>
      <c r="H7" s="79"/>
      <c r="I7" s="79"/>
      <c r="J7" s="79"/>
      <c r="L7" s="78"/>
      <c r="M7" s="80"/>
    </row>
    <row r="8" spans="1:13" x14ac:dyDescent="0.35">
      <c r="A8" s="79"/>
      <c r="B8" s="79"/>
      <c r="C8" s="79"/>
      <c r="D8" s="79"/>
      <c r="E8" s="79"/>
      <c r="F8" s="79"/>
      <c r="G8" s="79"/>
      <c r="H8" s="79"/>
      <c r="I8" s="79"/>
      <c r="J8" s="79"/>
      <c r="L8" s="78"/>
      <c r="M8" s="80"/>
    </row>
    <row r="9" spans="1:13" x14ac:dyDescent="0.35">
      <c r="A9" s="79"/>
      <c r="B9" s="79"/>
      <c r="C9" s="79"/>
      <c r="D9" s="79"/>
      <c r="E9" s="79"/>
      <c r="F9" s="79"/>
      <c r="G9" s="79"/>
      <c r="H9" s="79"/>
      <c r="I9" s="79"/>
      <c r="J9" s="79"/>
      <c r="L9" s="78"/>
      <c r="M9" s="80"/>
    </row>
    <row r="10" spans="1:13" x14ac:dyDescent="0.35">
      <c r="A10" s="79"/>
      <c r="B10" s="79"/>
      <c r="C10" s="79"/>
      <c r="D10" s="79"/>
      <c r="E10" s="79"/>
      <c r="F10" s="79"/>
      <c r="G10" s="79"/>
      <c r="H10" s="79"/>
      <c r="I10" s="79"/>
      <c r="J10" s="79"/>
      <c r="L10" s="78"/>
      <c r="M10" s="80"/>
    </row>
    <row r="11" spans="1:13" x14ac:dyDescent="0.35">
      <c r="A11" s="79"/>
      <c r="B11" s="79"/>
      <c r="C11" s="79"/>
      <c r="D11" s="79"/>
      <c r="E11" s="79"/>
      <c r="F11" s="79"/>
      <c r="G11" s="79"/>
      <c r="H11" s="79"/>
      <c r="I11" s="79"/>
      <c r="J11" s="79"/>
      <c r="L11" s="78"/>
      <c r="M11" s="80"/>
    </row>
    <row r="12" spans="1:13" x14ac:dyDescent="0.35">
      <c r="A12" s="79"/>
      <c r="B12" s="79"/>
      <c r="C12" s="79"/>
      <c r="D12" s="79"/>
      <c r="E12" s="79"/>
      <c r="F12" s="79"/>
      <c r="G12" s="79"/>
      <c r="H12" s="79"/>
      <c r="I12" s="79"/>
      <c r="J12" s="79"/>
      <c r="L12" s="78"/>
      <c r="M12" s="80"/>
    </row>
    <row r="13" spans="1:13" x14ac:dyDescent="0.35">
      <c r="A13" s="79"/>
      <c r="B13" s="79"/>
      <c r="C13" s="79"/>
      <c r="D13" s="79"/>
      <c r="E13" s="79"/>
      <c r="F13" s="79"/>
      <c r="G13" s="79"/>
      <c r="H13" s="79"/>
      <c r="I13" s="79"/>
      <c r="J13" s="79"/>
      <c r="L13" s="78"/>
      <c r="M13" s="80"/>
    </row>
    <row r="16" spans="1:13" x14ac:dyDescent="0.35">
      <c r="A16" s="85" t="s">
        <v>24</v>
      </c>
      <c r="B16" s="85" t="s">
        <v>74</v>
      </c>
      <c r="C16" s="85" t="s">
        <v>75</v>
      </c>
      <c r="D16" s="85" t="s">
        <v>76</v>
      </c>
      <c r="E16" s="85" t="s">
        <v>77</v>
      </c>
      <c r="F16" s="85" t="s">
        <v>78</v>
      </c>
      <c r="G16" s="85" t="s">
        <v>79</v>
      </c>
      <c r="H16" s="85" t="s">
        <v>25</v>
      </c>
      <c r="I16" s="85" t="s">
        <v>26</v>
      </c>
      <c r="J16" s="85" t="s">
        <v>27</v>
      </c>
    </row>
    <row r="17" spans="1:10" x14ac:dyDescent="0.35">
      <c r="A17" s="85" t="s">
        <v>20</v>
      </c>
      <c r="B17" s="85" t="s">
        <v>80</v>
      </c>
      <c r="C17" s="85">
        <v>4.5999999999999999E-2</v>
      </c>
      <c r="D17" s="85">
        <v>5.2999999999999999E-2</v>
      </c>
      <c r="E17" s="85">
        <v>7.2999999999999995E-2</v>
      </c>
      <c r="F17" s="85">
        <v>7.0000000000000001E-3</v>
      </c>
      <c r="G17" s="85">
        <v>6.3E-2</v>
      </c>
      <c r="H17" s="85">
        <v>25</v>
      </c>
      <c r="I17" s="85">
        <v>0</v>
      </c>
      <c r="J17" s="85">
        <v>0</v>
      </c>
    </row>
    <row r="18" spans="1:10" x14ac:dyDescent="0.35">
      <c r="A18" s="85" t="s">
        <v>100</v>
      </c>
      <c r="B18" s="85" t="s">
        <v>80</v>
      </c>
      <c r="C18" s="85">
        <v>4.5999999999999999E-2</v>
      </c>
      <c r="D18" s="85">
        <v>5.2999999999999999E-2</v>
      </c>
      <c r="E18" s="85">
        <v>7.2999999999999995E-2</v>
      </c>
      <c r="F18" s="85">
        <v>0</v>
      </c>
      <c r="G18" s="85">
        <v>6.3E-2</v>
      </c>
      <c r="H18" s="85">
        <v>25</v>
      </c>
      <c r="I18" s="85">
        <v>0</v>
      </c>
      <c r="J18" s="85">
        <v>0</v>
      </c>
    </row>
    <row r="19" spans="1:10" x14ac:dyDescent="0.35">
      <c r="A19" s="85" t="s">
        <v>106</v>
      </c>
      <c r="B19" s="85" t="s">
        <v>80</v>
      </c>
      <c r="C19" s="85">
        <v>8.2000000000000003E-2</v>
      </c>
      <c r="D19" s="85">
        <v>0.11</v>
      </c>
      <c r="E19" s="85">
        <v>0.129</v>
      </c>
      <c r="F19" s="85">
        <v>1.2E-2</v>
      </c>
      <c r="G19" s="85">
        <v>0.121</v>
      </c>
      <c r="H19" s="85">
        <v>104</v>
      </c>
      <c r="I19" s="85">
        <v>1</v>
      </c>
      <c r="J19" s="85">
        <v>0</v>
      </c>
    </row>
    <row r="20" spans="1:10" x14ac:dyDescent="0.35">
      <c r="A20" s="85" t="s">
        <v>100</v>
      </c>
      <c r="B20" s="85" t="s">
        <v>80</v>
      </c>
      <c r="C20" s="85">
        <v>8.2000000000000003E-2</v>
      </c>
      <c r="D20" s="85">
        <v>0.11</v>
      </c>
      <c r="E20" s="85">
        <v>0.129</v>
      </c>
      <c r="F20" s="85">
        <v>0</v>
      </c>
      <c r="G20" s="85">
        <v>0.121</v>
      </c>
      <c r="H20" s="85">
        <v>104</v>
      </c>
      <c r="I20" s="85">
        <v>1</v>
      </c>
      <c r="J20" s="85">
        <v>0</v>
      </c>
    </row>
    <row r="21" spans="1:10" x14ac:dyDescent="0.35">
      <c r="A21" s="85" t="s">
        <v>101</v>
      </c>
      <c r="B21" s="85" t="s">
        <v>80</v>
      </c>
      <c r="C21" s="85">
        <v>7.5999999999999998E-2</v>
      </c>
      <c r="D21" s="85">
        <v>0.09</v>
      </c>
      <c r="E21" s="85">
        <v>0.14199999999999999</v>
      </c>
      <c r="F21" s="85">
        <v>1.7999999999999999E-2</v>
      </c>
      <c r="G21" s="85">
        <v>0.11799999999999999</v>
      </c>
      <c r="H21" s="85">
        <v>33</v>
      </c>
      <c r="I21" s="85">
        <v>0</v>
      </c>
      <c r="J21" s="85">
        <v>0</v>
      </c>
    </row>
    <row r="22" spans="1:10" x14ac:dyDescent="0.35">
      <c r="A22" s="85" t="s">
        <v>100</v>
      </c>
      <c r="B22" s="85" t="s">
        <v>80</v>
      </c>
      <c r="C22" s="85">
        <v>7.5999999999999998E-2</v>
      </c>
      <c r="D22" s="85">
        <v>0.09</v>
      </c>
      <c r="E22" s="85">
        <v>0.14199999999999999</v>
      </c>
      <c r="F22" s="85">
        <v>0</v>
      </c>
      <c r="G22" s="85">
        <v>0.11799999999999999</v>
      </c>
      <c r="H22" s="85">
        <v>33</v>
      </c>
      <c r="I22" s="85">
        <v>0</v>
      </c>
      <c r="J22" s="85">
        <v>0</v>
      </c>
    </row>
    <row r="23" spans="1:10" x14ac:dyDescent="0.35">
      <c r="A23" s="85" t="s">
        <v>102</v>
      </c>
      <c r="B23" s="85" t="s">
        <v>80</v>
      </c>
      <c r="C23" s="85">
        <v>3.3000000000000002E-2</v>
      </c>
      <c r="D23" s="85">
        <v>3.6999999999999998E-2</v>
      </c>
      <c r="E23" s="85">
        <v>4.5999999999999999E-2</v>
      </c>
      <c r="F23" s="85">
        <v>3.0000000000000001E-3</v>
      </c>
      <c r="G23" s="85">
        <v>4.1000000000000002E-2</v>
      </c>
      <c r="H23" s="85">
        <v>34</v>
      </c>
      <c r="I23" s="85">
        <v>0</v>
      </c>
      <c r="J23" s="85">
        <v>0</v>
      </c>
    </row>
    <row r="24" spans="1:10" x14ac:dyDescent="0.35">
      <c r="A24" s="85" t="s">
        <v>100</v>
      </c>
      <c r="B24" s="85" t="s">
        <v>80</v>
      </c>
      <c r="C24" s="85">
        <v>3.3000000000000002E-2</v>
      </c>
      <c r="D24" s="85">
        <v>3.6999999999999998E-2</v>
      </c>
      <c r="E24" s="85">
        <v>4.5999999999999999E-2</v>
      </c>
      <c r="F24" s="85">
        <v>0</v>
      </c>
      <c r="G24" s="85">
        <v>4.1000000000000002E-2</v>
      </c>
      <c r="H24" s="85">
        <v>34</v>
      </c>
      <c r="I24" s="85">
        <v>0</v>
      </c>
      <c r="J24" s="85">
        <v>0</v>
      </c>
    </row>
    <row r="25" spans="1:10" x14ac:dyDescent="0.35">
      <c r="A25" s="85" t="s">
        <v>107</v>
      </c>
      <c r="B25" s="85" t="s">
        <v>80</v>
      </c>
      <c r="C25" s="85">
        <v>5.8999999999999997E-2</v>
      </c>
      <c r="D25" s="85">
        <v>7.0000000000000007E-2</v>
      </c>
      <c r="E25" s="85">
        <v>0.11899999999999999</v>
      </c>
      <c r="F25" s="85">
        <v>8.0000000000000002E-3</v>
      </c>
      <c r="G25" s="85">
        <v>7.8E-2</v>
      </c>
      <c r="H25" s="85">
        <v>166</v>
      </c>
      <c r="I25" s="85">
        <v>0</v>
      </c>
      <c r="J25" s="85">
        <v>0</v>
      </c>
    </row>
    <row r="26" spans="1:10" x14ac:dyDescent="0.35">
      <c r="A26" s="85" t="s">
        <v>100</v>
      </c>
      <c r="B26" s="85" t="s">
        <v>80</v>
      </c>
      <c r="C26" s="85">
        <v>5.8999999999999997E-2</v>
      </c>
      <c r="D26" s="85">
        <v>7.0000000000000007E-2</v>
      </c>
      <c r="E26" s="85">
        <v>0.11899999999999999</v>
      </c>
      <c r="F26" s="85">
        <v>0</v>
      </c>
      <c r="G26" s="85">
        <v>7.8E-2</v>
      </c>
      <c r="H26" s="85">
        <v>166</v>
      </c>
      <c r="I26" s="85">
        <v>0</v>
      </c>
      <c r="J26" s="85">
        <v>0</v>
      </c>
    </row>
    <row r="27" spans="1:10" x14ac:dyDescent="0.35">
      <c r="A27" s="85" t="s">
        <v>21</v>
      </c>
      <c r="B27" s="85" t="s">
        <v>80</v>
      </c>
      <c r="C27" s="85">
        <v>7.9000000000000001E-2</v>
      </c>
      <c r="D27" s="85">
        <v>9.1999999999999998E-2</v>
      </c>
      <c r="E27" s="85">
        <v>0.29699999999999999</v>
      </c>
      <c r="F27" s="85">
        <v>2.1999999999999999E-2</v>
      </c>
      <c r="G27" s="85">
        <v>0.11799999999999999</v>
      </c>
      <c r="H27" s="85">
        <v>133</v>
      </c>
      <c r="I27" s="85">
        <v>0</v>
      </c>
      <c r="J27" s="85">
        <v>0</v>
      </c>
    </row>
    <row r="28" spans="1:10" x14ac:dyDescent="0.35">
      <c r="A28" s="85" t="s">
        <v>100</v>
      </c>
      <c r="B28" s="85" t="s">
        <v>80</v>
      </c>
      <c r="C28" s="85">
        <v>7.9000000000000001E-2</v>
      </c>
      <c r="D28" s="85">
        <v>9.1999999999999998E-2</v>
      </c>
      <c r="E28" s="85">
        <v>0.29699999999999999</v>
      </c>
      <c r="F28" s="85">
        <v>0</v>
      </c>
      <c r="G28" s="85">
        <v>0.11799999999999999</v>
      </c>
      <c r="H28" s="85">
        <v>133</v>
      </c>
      <c r="I28" s="85">
        <v>0</v>
      </c>
      <c r="J28" s="85">
        <v>0</v>
      </c>
    </row>
    <row r="29" spans="1:10" x14ac:dyDescent="0.35">
      <c r="A29" s="85" t="s">
        <v>22</v>
      </c>
      <c r="B29" s="85" t="s">
        <v>80</v>
      </c>
      <c r="C29" s="85">
        <v>5.8000000000000003E-2</v>
      </c>
      <c r="D29" s="85">
        <v>6.6000000000000003E-2</v>
      </c>
      <c r="E29" s="85">
        <v>8.8999999999999996E-2</v>
      </c>
      <c r="F29" s="85">
        <v>6.0000000000000001E-3</v>
      </c>
      <c r="G29" s="85">
        <v>7.1999999999999995E-2</v>
      </c>
      <c r="H29" s="85">
        <v>78</v>
      </c>
      <c r="I29" s="85">
        <v>0</v>
      </c>
      <c r="J29" s="85">
        <v>0</v>
      </c>
    </row>
    <row r="30" spans="1:10" x14ac:dyDescent="0.35">
      <c r="A30" s="85" t="s">
        <v>100</v>
      </c>
      <c r="B30" s="85" t="s">
        <v>80</v>
      </c>
      <c r="C30" s="85">
        <v>5.8000000000000003E-2</v>
      </c>
      <c r="D30" s="85">
        <v>6.6000000000000003E-2</v>
      </c>
      <c r="E30" s="85">
        <v>8.8999999999999996E-2</v>
      </c>
      <c r="F30" s="85">
        <v>0</v>
      </c>
      <c r="G30" s="85">
        <v>7.1999999999999995E-2</v>
      </c>
      <c r="H30" s="85">
        <v>78</v>
      </c>
      <c r="I30" s="85">
        <v>0</v>
      </c>
      <c r="J30" s="85">
        <v>0</v>
      </c>
    </row>
    <row r="31" spans="1:10" x14ac:dyDescent="0.35">
      <c r="A31" s="85" t="s">
        <v>103</v>
      </c>
      <c r="B31" s="85" t="s">
        <v>80</v>
      </c>
      <c r="C31" s="85">
        <v>3.2000000000000001E-2</v>
      </c>
      <c r="D31" s="85">
        <v>3.7999999999999999E-2</v>
      </c>
      <c r="E31" s="85">
        <v>5.8999999999999997E-2</v>
      </c>
      <c r="F31" s="85">
        <v>5.0000000000000001E-3</v>
      </c>
      <c r="G31" s="85">
        <v>4.2000000000000003E-2</v>
      </c>
      <c r="H31" s="85">
        <v>34</v>
      </c>
      <c r="I31" s="85">
        <v>0</v>
      </c>
      <c r="J31" s="85">
        <v>0</v>
      </c>
    </row>
    <row r="32" spans="1:10" x14ac:dyDescent="0.35">
      <c r="A32" s="85" t="s">
        <v>100</v>
      </c>
      <c r="B32" s="85" t="s">
        <v>80</v>
      </c>
      <c r="C32" s="85">
        <v>3.2000000000000001E-2</v>
      </c>
      <c r="D32" s="85">
        <v>3.7999999999999999E-2</v>
      </c>
      <c r="E32" s="85">
        <v>5.8999999999999997E-2</v>
      </c>
      <c r="F32" s="85">
        <v>0</v>
      </c>
      <c r="G32" s="85">
        <v>4.2000000000000003E-2</v>
      </c>
      <c r="H32" s="85">
        <v>34</v>
      </c>
      <c r="I32" s="85">
        <v>0</v>
      </c>
      <c r="J32" s="85">
        <v>0</v>
      </c>
    </row>
    <row r="33" spans="1:10" x14ac:dyDescent="0.35">
      <c r="A33" s="85" t="s">
        <v>108</v>
      </c>
      <c r="B33" s="85" t="s">
        <v>80</v>
      </c>
      <c r="C33" s="85">
        <v>3.9E-2</v>
      </c>
      <c r="D33" s="85">
        <v>4.8000000000000001E-2</v>
      </c>
      <c r="E33" s="85">
        <v>0.109</v>
      </c>
      <c r="F33" s="85">
        <v>0.01</v>
      </c>
      <c r="G33" s="85">
        <v>5.5E-2</v>
      </c>
      <c r="H33" s="85">
        <v>59</v>
      </c>
      <c r="I33" s="85">
        <v>0</v>
      </c>
      <c r="J33" s="85">
        <v>0</v>
      </c>
    </row>
    <row r="34" spans="1:10" x14ac:dyDescent="0.35">
      <c r="A34" s="85" t="s">
        <v>100</v>
      </c>
      <c r="B34" s="85" t="s">
        <v>80</v>
      </c>
      <c r="C34" s="85">
        <v>3.9E-2</v>
      </c>
      <c r="D34" s="85">
        <v>4.8000000000000001E-2</v>
      </c>
      <c r="E34" s="85">
        <v>0.109</v>
      </c>
      <c r="F34" s="85">
        <v>0</v>
      </c>
      <c r="G34" s="85">
        <v>5.5E-2</v>
      </c>
      <c r="H34" s="85">
        <v>59</v>
      </c>
      <c r="I34" s="85">
        <v>0</v>
      </c>
      <c r="J34" s="85">
        <v>0</v>
      </c>
    </row>
    <row r="35" spans="1:10" x14ac:dyDescent="0.35">
      <c r="A35" s="85" t="s">
        <v>109</v>
      </c>
      <c r="B35" s="85" t="s">
        <v>80</v>
      </c>
      <c r="C35" s="85">
        <v>3.5000000000000003E-2</v>
      </c>
      <c r="D35" s="85">
        <v>4.3999999999999997E-2</v>
      </c>
      <c r="E35" s="85">
        <v>7.1999999999999995E-2</v>
      </c>
      <c r="F35" s="85">
        <v>6.0000000000000001E-3</v>
      </c>
      <c r="G35" s="85">
        <v>5.0999999999999997E-2</v>
      </c>
      <c r="H35" s="85">
        <v>93</v>
      </c>
      <c r="I35" s="85">
        <v>0</v>
      </c>
      <c r="J35" s="85">
        <v>0</v>
      </c>
    </row>
    <row r="36" spans="1:10" x14ac:dyDescent="0.35">
      <c r="A36" s="85" t="s">
        <v>100</v>
      </c>
      <c r="B36" s="85" t="s">
        <v>80</v>
      </c>
      <c r="C36" s="85">
        <v>3.5000000000000003E-2</v>
      </c>
      <c r="D36" s="85">
        <v>4.3999999999999997E-2</v>
      </c>
      <c r="E36" s="85">
        <v>7.1999999999999995E-2</v>
      </c>
      <c r="F36" s="85">
        <v>0</v>
      </c>
      <c r="G36" s="85">
        <v>5.0999999999999997E-2</v>
      </c>
      <c r="H36" s="85">
        <v>93</v>
      </c>
      <c r="I36" s="85">
        <v>0</v>
      </c>
      <c r="J36" s="85">
        <v>0</v>
      </c>
    </row>
    <row r="37" spans="1:10" x14ac:dyDescent="0.35">
      <c r="A37" s="85" t="s">
        <v>23</v>
      </c>
      <c r="B37" s="85" t="s">
        <v>80</v>
      </c>
      <c r="C37" s="85">
        <v>3.5999999999999997E-2</v>
      </c>
      <c r="D37" s="85">
        <v>4.2999999999999997E-2</v>
      </c>
      <c r="E37" s="85">
        <v>6.8000000000000005E-2</v>
      </c>
      <c r="F37" s="85">
        <v>5.0000000000000001E-3</v>
      </c>
      <c r="G37" s="85">
        <v>4.9000000000000002E-2</v>
      </c>
      <c r="H37" s="85">
        <v>85</v>
      </c>
      <c r="I37" s="85">
        <v>0</v>
      </c>
      <c r="J37" s="85">
        <v>0</v>
      </c>
    </row>
    <row r="38" spans="1:10" x14ac:dyDescent="0.35">
      <c r="A38" s="85" t="s">
        <v>100</v>
      </c>
      <c r="B38" s="85" t="s">
        <v>80</v>
      </c>
      <c r="C38" s="85">
        <v>3.5999999999999997E-2</v>
      </c>
      <c r="D38" s="85">
        <v>4.2999999999999997E-2</v>
      </c>
      <c r="E38" s="85">
        <v>6.8000000000000005E-2</v>
      </c>
      <c r="F38" s="85">
        <v>0</v>
      </c>
      <c r="G38" s="85">
        <v>4.9000000000000002E-2</v>
      </c>
      <c r="H38" s="85">
        <v>85</v>
      </c>
      <c r="I38" s="85">
        <v>0</v>
      </c>
      <c r="J38" s="85">
        <v>0</v>
      </c>
    </row>
    <row r="39" spans="1:10" x14ac:dyDescent="0.35">
      <c r="A39" s="85" t="s">
        <v>110</v>
      </c>
      <c r="B39" s="85" t="s">
        <v>80</v>
      </c>
      <c r="C39" s="85">
        <v>7.6999999999999999E-2</v>
      </c>
      <c r="D39" s="85">
        <v>0.113</v>
      </c>
      <c r="E39" s="85">
        <v>0.152</v>
      </c>
      <c r="F39" s="85">
        <v>1.4E-2</v>
      </c>
      <c r="G39" s="85">
        <v>0.127</v>
      </c>
      <c r="H39" s="85">
        <v>97</v>
      </c>
      <c r="I39" s="85">
        <v>0</v>
      </c>
      <c r="J39" s="85">
        <v>0</v>
      </c>
    </row>
    <row r="40" spans="1:10" x14ac:dyDescent="0.35">
      <c r="A40" s="85" t="s">
        <v>100</v>
      </c>
      <c r="B40" s="85" t="s">
        <v>80</v>
      </c>
      <c r="C40" s="85">
        <v>7.6999999999999999E-2</v>
      </c>
      <c r="D40" s="85">
        <v>0.113</v>
      </c>
      <c r="E40" s="85">
        <v>0.152</v>
      </c>
      <c r="F40" s="85">
        <v>0</v>
      </c>
      <c r="G40" s="85">
        <v>0.127</v>
      </c>
      <c r="H40" s="85">
        <v>97</v>
      </c>
      <c r="I40" s="85">
        <v>0</v>
      </c>
      <c r="J40" s="85">
        <v>0</v>
      </c>
    </row>
    <row r="41" spans="1:10" x14ac:dyDescent="0.35">
      <c r="A41" s="85" t="s">
        <v>111</v>
      </c>
      <c r="B41" s="85"/>
      <c r="C41" s="85"/>
      <c r="D41" s="85"/>
      <c r="E41" s="85"/>
      <c r="F41" s="85"/>
      <c r="G41" s="85"/>
      <c r="H41" s="85"/>
      <c r="I41" s="85"/>
      <c r="J41" s="85"/>
    </row>
    <row r="42" spans="1:10" x14ac:dyDescent="0.35">
      <c r="A42" s="84"/>
      <c r="B42" s="84"/>
      <c r="C42" s="84"/>
      <c r="D42" s="84"/>
      <c r="E42" s="84"/>
      <c r="F42" s="84"/>
      <c r="G42" s="84"/>
      <c r="H42" s="84"/>
      <c r="I42" s="84"/>
      <c r="J42" s="84"/>
    </row>
    <row r="43" spans="1:10" x14ac:dyDescent="0.35">
      <c r="A43" s="84"/>
      <c r="B43" s="84"/>
      <c r="C43" s="84"/>
      <c r="D43" s="84"/>
      <c r="E43" s="84"/>
      <c r="F43" s="84"/>
      <c r="G43" s="84"/>
      <c r="H43" s="84"/>
      <c r="I43" s="84"/>
      <c r="J43" s="84"/>
    </row>
    <row r="44" spans="1:10" x14ac:dyDescent="0.35">
      <c r="A44" s="80"/>
      <c r="B44" s="80"/>
      <c r="C44" s="80"/>
      <c r="D44" s="80"/>
      <c r="E44" s="80"/>
      <c r="F44" s="80"/>
      <c r="G44" s="80"/>
      <c r="H44" s="80"/>
      <c r="I44" s="80"/>
      <c r="J44" s="80"/>
    </row>
    <row r="45" spans="1:10" x14ac:dyDescent="0.35">
      <c r="A45" s="80"/>
      <c r="B45" s="80"/>
      <c r="C45" s="80"/>
      <c r="D45" s="80"/>
      <c r="E45" s="80"/>
      <c r="F45" s="80"/>
      <c r="G45" s="80"/>
      <c r="H45" s="80"/>
      <c r="I45" s="80"/>
      <c r="J45" s="80"/>
    </row>
    <row r="46" spans="1:10" x14ac:dyDescent="0.35">
      <c r="A46" s="80"/>
      <c r="B46" s="80"/>
      <c r="C46" s="80"/>
      <c r="D46" s="80"/>
      <c r="E46" s="80"/>
      <c r="F46" s="80"/>
      <c r="G46" s="80"/>
      <c r="H46" s="80"/>
      <c r="I46" s="80"/>
      <c r="J46" s="80"/>
    </row>
    <row r="47" spans="1:10" x14ac:dyDescent="0.35">
      <c r="A47" s="80"/>
      <c r="B47" s="80"/>
      <c r="C47" s="80"/>
      <c r="D47" s="80"/>
      <c r="E47" s="80"/>
      <c r="F47" s="80"/>
      <c r="G47" s="80"/>
      <c r="H47" s="80"/>
      <c r="I47" s="80"/>
      <c r="J47" s="80"/>
    </row>
    <row r="48" spans="1:10" x14ac:dyDescent="0.35">
      <c r="A48" s="80"/>
      <c r="B48" s="80"/>
      <c r="C48" s="80"/>
      <c r="D48" s="80"/>
      <c r="E48" s="80"/>
      <c r="F48" s="80"/>
      <c r="G48" s="80"/>
      <c r="H48" s="80"/>
      <c r="I48" s="80"/>
      <c r="J48" s="80"/>
    </row>
    <row r="49" spans="1:10" x14ac:dyDescent="0.35">
      <c r="A49" s="80"/>
      <c r="B49" s="80"/>
      <c r="C49" s="80"/>
      <c r="D49" s="80"/>
      <c r="E49" s="80"/>
      <c r="F49" s="80"/>
      <c r="G49" s="80"/>
      <c r="H49" s="80"/>
      <c r="I49" s="80"/>
      <c r="J49" s="80"/>
    </row>
    <row r="50" spans="1:10" x14ac:dyDescent="0.35">
      <c r="A50" s="80"/>
      <c r="B50" s="80"/>
      <c r="C50" s="80"/>
      <c r="D50" s="80"/>
      <c r="E50" s="80"/>
      <c r="F50" s="80"/>
      <c r="G50" s="80"/>
      <c r="H50" s="80"/>
      <c r="I50" s="80"/>
      <c r="J50" s="80"/>
    </row>
    <row r="51" spans="1:10" x14ac:dyDescent="0.35">
      <c r="A51" s="80"/>
      <c r="B51" s="80"/>
      <c r="C51" s="80"/>
      <c r="D51" s="80"/>
      <c r="E51" s="80"/>
      <c r="F51" s="80"/>
      <c r="G51" s="80"/>
      <c r="H51" s="80"/>
      <c r="I51" s="80"/>
      <c r="J51" s="80"/>
    </row>
    <row r="52" spans="1:10" x14ac:dyDescent="0.35">
      <c r="A52" s="80"/>
      <c r="B52" s="80"/>
      <c r="C52" s="80"/>
      <c r="D52" s="80"/>
      <c r="E52" s="80"/>
      <c r="F52" s="80"/>
      <c r="G52" s="80"/>
      <c r="H52" s="80"/>
      <c r="I52" s="80"/>
      <c r="J52" s="80"/>
    </row>
    <row r="53" spans="1:10" x14ac:dyDescent="0.35">
      <c r="A53" s="80"/>
      <c r="B53" s="80"/>
      <c r="C53" s="80"/>
      <c r="D53" s="80"/>
      <c r="E53" s="80"/>
      <c r="F53" s="80"/>
      <c r="G53" s="80"/>
      <c r="H53" s="80"/>
      <c r="I53" s="80"/>
      <c r="J53" s="80"/>
    </row>
    <row r="54" spans="1:10" x14ac:dyDescent="0.35">
      <c r="A54" s="80"/>
      <c r="B54" s="80"/>
      <c r="C54" s="80"/>
      <c r="D54" s="80"/>
      <c r="E54" s="80"/>
      <c r="F54" s="80"/>
      <c r="G54" s="80"/>
      <c r="H54" s="80"/>
      <c r="I54" s="80"/>
      <c r="J54" s="80"/>
    </row>
    <row r="55" spans="1:10" x14ac:dyDescent="0.35">
      <c r="A55" s="80"/>
      <c r="B55" s="80"/>
      <c r="C55" s="80"/>
      <c r="D55" s="80"/>
      <c r="E55" s="80"/>
      <c r="F55" s="80"/>
      <c r="G55" s="80"/>
      <c r="H55" s="80"/>
      <c r="I55" s="80"/>
      <c r="J55" s="80"/>
    </row>
    <row r="56" spans="1:10" x14ac:dyDescent="0.35">
      <c r="A56" s="80"/>
      <c r="B56" s="80"/>
      <c r="C56" s="80"/>
      <c r="D56" s="80"/>
      <c r="E56" s="80"/>
      <c r="F56" s="80"/>
      <c r="G56" s="80"/>
      <c r="H56" s="80"/>
      <c r="I56" s="80"/>
      <c r="J56" s="8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0"/>
  <sheetViews>
    <sheetView tabSelected="1" topLeftCell="A6" zoomScale="55" zoomScaleNormal="70" workbookViewId="0">
      <selection activeCell="H48" sqref="H48"/>
    </sheetView>
  </sheetViews>
  <sheetFormatPr defaultColWidth="11.453125" defaultRowHeight="14.5" x14ac:dyDescent="0.35"/>
  <cols>
    <col min="1" max="1" width="31.7265625" customWidth="1"/>
    <col min="2" max="2" width="31.453125" bestFit="1" customWidth="1"/>
    <col min="3" max="3" width="18.1796875" customWidth="1"/>
    <col min="4" max="4" width="17.81640625" customWidth="1"/>
    <col min="5" max="5" width="19.1796875" bestFit="1" customWidth="1"/>
    <col min="6" max="6" width="13.36328125" customWidth="1"/>
    <col min="7" max="7" width="18.7265625" bestFit="1" customWidth="1"/>
    <col min="8" max="8" width="17" customWidth="1"/>
    <col min="9" max="9" width="45.7265625" customWidth="1"/>
    <col min="10" max="10" width="20.26953125" customWidth="1"/>
    <col min="11" max="11" width="18.1796875" customWidth="1"/>
    <col min="12" max="12" width="26.7265625" customWidth="1"/>
    <col min="13" max="13" width="35.1796875" bestFit="1" customWidth="1"/>
    <col min="14" max="14" width="17.81640625" customWidth="1"/>
    <col min="15" max="15" width="23.81640625" customWidth="1"/>
    <col min="16" max="16" width="23.453125" bestFit="1" customWidth="1"/>
    <col min="17" max="17" width="26" customWidth="1"/>
    <col min="18" max="18" width="10.54296875" customWidth="1"/>
    <col min="19" max="19" width="34.1796875" bestFit="1" customWidth="1"/>
    <col min="20" max="20" width="12.26953125" customWidth="1"/>
  </cols>
  <sheetData>
    <row r="1" spans="1:23" ht="15" thickBot="1" x14ac:dyDescent="0.4">
      <c r="A1" t="s">
        <v>29</v>
      </c>
      <c r="B1" t="s">
        <v>30</v>
      </c>
      <c r="C1" t="s">
        <v>31</v>
      </c>
      <c r="D1" t="s">
        <v>35</v>
      </c>
      <c r="E1" t="s">
        <v>45</v>
      </c>
      <c r="F1" t="s">
        <v>46</v>
      </c>
      <c r="G1" t="s">
        <v>47</v>
      </c>
      <c r="H1" t="s">
        <v>7</v>
      </c>
      <c r="I1" s="16" t="s">
        <v>32</v>
      </c>
      <c r="J1" t="s">
        <v>44</v>
      </c>
      <c r="M1" s="50" t="s">
        <v>34</v>
      </c>
      <c r="N1" s="51" t="s">
        <v>36</v>
      </c>
      <c r="O1" s="51" t="s">
        <v>37</v>
      </c>
      <c r="P1" s="51" t="s">
        <v>98</v>
      </c>
      <c r="Q1" s="51" t="s">
        <v>38</v>
      </c>
      <c r="R1" s="51" t="s">
        <v>35</v>
      </c>
      <c r="S1" s="64" t="s">
        <v>42</v>
      </c>
      <c r="T1" s="65" t="s">
        <v>39</v>
      </c>
      <c r="U1" s="65" t="s">
        <v>40</v>
      </c>
      <c r="V1" s="65" t="s">
        <v>41</v>
      </c>
      <c r="W1" s="35" t="s">
        <v>43</v>
      </c>
    </row>
    <row r="2" spans="1:23" x14ac:dyDescent="0.35">
      <c r="A2" s="24" t="s">
        <v>8</v>
      </c>
      <c r="B2" s="24" t="s">
        <v>55</v>
      </c>
      <c r="C2" s="47">
        <v>1</v>
      </c>
      <c r="D2" s="48">
        <f t="shared" ref="D2:D3" si="0">VLOOKUP(A2,$M$1:$X$8,6,FALSE)</f>
        <v>2</v>
      </c>
      <c r="E2">
        <f>VLOOKUP(A2,$M$1:$X$8,5,FALSE)</f>
        <v>40</v>
      </c>
      <c r="F2" s="19">
        <f>60/E2*C2</f>
        <v>1.5</v>
      </c>
      <c r="G2">
        <f>VLOOKUP(A2,$M$1:$X$8,9,FALSE)</f>
        <v>20</v>
      </c>
      <c r="H2" s="18">
        <f>D2*F2*G2</f>
        <v>60</v>
      </c>
      <c r="I2" s="17" t="s">
        <v>0</v>
      </c>
      <c r="J2" s="18">
        <v>132.9258542875564</v>
      </c>
      <c r="K2" s="15"/>
      <c r="M2" s="53" t="s">
        <v>8</v>
      </c>
      <c r="N2" s="20">
        <v>1.5</v>
      </c>
      <c r="O2" s="43">
        <v>30</v>
      </c>
      <c r="P2" s="44">
        <f>N2+O2</f>
        <v>31.5</v>
      </c>
      <c r="Q2" s="26">
        <v>40</v>
      </c>
      <c r="R2" s="62">
        <v>2</v>
      </c>
      <c r="S2" s="63">
        <f t="shared" ref="S2:S7" si="1">R2/W$2</f>
        <v>0.2</v>
      </c>
      <c r="T2" s="66">
        <f t="shared" ref="T2:T7" si="2">60/(Q2)</f>
        <v>1.5</v>
      </c>
      <c r="U2" s="67">
        <v>20</v>
      </c>
      <c r="V2" s="68">
        <f>ROUND(R2*T2*U2,0)</f>
        <v>60</v>
      </c>
      <c r="W2" s="33">
        <f>SUM(R2:R7)</f>
        <v>10</v>
      </c>
    </row>
    <row r="3" spans="1:23" x14ac:dyDescent="0.35">
      <c r="A3" s="24" t="s">
        <v>8</v>
      </c>
      <c r="B3" s="24" t="s">
        <v>0</v>
      </c>
      <c r="C3" s="47">
        <v>1</v>
      </c>
      <c r="D3" s="49">
        <f t="shared" si="0"/>
        <v>2</v>
      </c>
      <c r="E3">
        <f>VLOOKUP(A3,$M$1:$X$8,5,FALSE)</f>
        <v>40</v>
      </c>
      <c r="F3" s="19">
        <f>60/E3*C3</f>
        <v>1.5</v>
      </c>
      <c r="G3">
        <f>VLOOKUP(A3,$M$1:$X$8,9,FALSE)</f>
        <v>20</v>
      </c>
      <c r="H3" s="18">
        <f>D3*F3*G3</f>
        <v>60</v>
      </c>
      <c r="I3" s="17" t="s">
        <v>12</v>
      </c>
      <c r="J3" s="18">
        <v>87.272727272727266</v>
      </c>
      <c r="K3" s="15"/>
      <c r="M3" s="53" t="s">
        <v>9</v>
      </c>
      <c r="N3" s="20">
        <v>1</v>
      </c>
      <c r="O3" s="43">
        <v>20.0014</v>
      </c>
      <c r="P3" s="44">
        <f t="shared" ref="P3:P7" si="3">N3+O3</f>
        <v>21.0014</v>
      </c>
      <c r="Q3" s="26">
        <v>47</v>
      </c>
      <c r="R3" s="62">
        <v>1</v>
      </c>
      <c r="S3" s="63">
        <f t="shared" si="1"/>
        <v>0.1</v>
      </c>
      <c r="T3" s="66">
        <f t="shared" si="2"/>
        <v>1.2765957446808511</v>
      </c>
      <c r="U3" s="67">
        <v>20</v>
      </c>
      <c r="V3" s="68">
        <f>ROUND(R3*T3*U3,0)</f>
        <v>26</v>
      </c>
      <c r="W3" s="33"/>
    </row>
    <row r="4" spans="1:23" x14ac:dyDescent="0.35">
      <c r="A4" s="24" t="s">
        <v>8</v>
      </c>
      <c r="B4" s="24" t="s">
        <v>69</v>
      </c>
      <c r="C4" s="47">
        <v>1</v>
      </c>
      <c r="D4" s="49">
        <f>VLOOKUP(A5,$M$1:$X$8,6,FALSE)</f>
        <v>2</v>
      </c>
      <c r="E4">
        <f>VLOOKUP(A5,$M$1:$X$8,5,FALSE)</f>
        <v>40</v>
      </c>
      <c r="F4" s="19">
        <f t="shared" ref="F4" si="4">60/E4*C4</f>
        <v>1.5</v>
      </c>
      <c r="G4">
        <f t="shared" ref="G4:G6" si="5">VLOOKUP(A4,$M$1:$X$8,9,FALSE)</f>
        <v>20</v>
      </c>
      <c r="H4" s="18">
        <f t="shared" ref="H4" si="6">D4*F4*G4</f>
        <v>60</v>
      </c>
      <c r="I4" s="17" t="s">
        <v>6</v>
      </c>
      <c r="J4" s="18">
        <v>106.25918762088975</v>
      </c>
      <c r="K4" s="15"/>
      <c r="M4" s="53" t="s">
        <v>54</v>
      </c>
      <c r="N4" s="77">
        <v>1</v>
      </c>
      <c r="O4" s="43">
        <v>20</v>
      </c>
      <c r="P4" s="44">
        <f t="shared" si="3"/>
        <v>21</v>
      </c>
      <c r="Q4" s="26">
        <v>36</v>
      </c>
      <c r="R4" s="62">
        <v>1</v>
      </c>
      <c r="S4" s="63">
        <f t="shared" si="1"/>
        <v>0.1</v>
      </c>
      <c r="T4" s="66">
        <f t="shared" si="2"/>
        <v>1.6666666666666667</v>
      </c>
      <c r="U4" s="67">
        <v>20</v>
      </c>
      <c r="V4" s="68">
        <f>ROUND(R4*T4*U4,0)</f>
        <v>33</v>
      </c>
      <c r="W4" s="33"/>
    </row>
    <row r="5" spans="1:23" x14ac:dyDescent="0.35">
      <c r="A5" s="24" t="s">
        <v>8</v>
      </c>
      <c r="B5" s="24" t="s">
        <v>11</v>
      </c>
      <c r="C5" s="47">
        <v>1</v>
      </c>
      <c r="D5" s="49">
        <f>VLOOKUP(A6,$M$1:$X$8,6,FALSE)</f>
        <v>2</v>
      </c>
      <c r="E5">
        <f>VLOOKUP(A6,$M$1:$X$8,5,FALSE)</f>
        <v>40</v>
      </c>
      <c r="F5" s="19">
        <f t="shared" ref="F5" si="7">60/E5*C5</f>
        <v>1.5</v>
      </c>
      <c r="G5">
        <f t="shared" si="5"/>
        <v>20</v>
      </c>
      <c r="H5" s="18">
        <f t="shared" ref="H5" si="8">D5*F5*G5</f>
        <v>60</v>
      </c>
      <c r="I5" s="17" t="s">
        <v>11</v>
      </c>
      <c r="J5" s="18">
        <v>95.272727272727266</v>
      </c>
      <c r="K5" s="15"/>
      <c r="M5" s="53" t="s">
        <v>59</v>
      </c>
      <c r="N5" s="20">
        <v>1.2</v>
      </c>
      <c r="O5" s="43">
        <v>25</v>
      </c>
      <c r="P5" s="44">
        <f t="shared" si="3"/>
        <v>26.2</v>
      </c>
      <c r="Q5" s="26">
        <v>88</v>
      </c>
      <c r="R5" s="62">
        <v>2</v>
      </c>
      <c r="S5" s="63">
        <f t="shared" si="1"/>
        <v>0.2</v>
      </c>
      <c r="T5" s="66">
        <f t="shared" si="2"/>
        <v>0.68181818181818177</v>
      </c>
      <c r="U5" s="67">
        <v>20</v>
      </c>
      <c r="V5" s="68">
        <f>ROUND(R5*T5*U5,0)</f>
        <v>27</v>
      </c>
      <c r="W5" s="33"/>
    </row>
    <row r="6" spans="1:23" x14ac:dyDescent="0.35">
      <c r="A6" s="24" t="s">
        <v>8</v>
      </c>
      <c r="B6" s="24" t="s">
        <v>12</v>
      </c>
      <c r="C6" s="47">
        <v>1</v>
      </c>
      <c r="D6" s="49">
        <f t="shared" ref="D6:D34" si="9">VLOOKUP(A6,$M$1:$X$8,6,FALSE)</f>
        <v>2</v>
      </c>
      <c r="E6">
        <f t="shared" ref="E6" si="10">VLOOKUP(A6,$M$1:$X$8,5,FALSE)</f>
        <v>40</v>
      </c>
      <c r="F6" s="19">
        <f t="shared" ref="F6" si="11">60/E6*C6</f>
        <v>1.5</v>
      </c>
      <c r="G6">
        <f t="shared" si="5"/>
        <v>20</v>
      </c>
      <c r="H6" s="18">
        <f t="shared" ref="H6" si="12">D6*F6*G6</f>
        <v>60</v>
      </c>
      <c r="I6" s="17" t="s">
        <v>3</v>
      </c>
      <c r="J6" s="18">
        <v>60</v>
      </c>
      <c r="K6" s="15"/>
      <c r="M6" s="53" t="s">
        <v>10</v>
      </c>
      <c r="N6" s="20">
        <v>1</v>
      </c>
      <c r="O6" s="43">
        <v>20</v>
      </c>
      <c r="P6" s="44">
        <f t="shared" si="3"/>
        <v>21</v>
      </c>
      <c r="Q6" s="26">
        <v>198</v>
      </c>
      <c r="R6" s="62">
        <v>2</v>
      </c>
      <c r="S6" s="63">
        <f t="shared" si="1"/>
        <v>0.2</v>
      </c>
      <c r="T6" s="66">
        <f t="shared" si="2"/>
        <v>0.30303030303030304</v>
      </c>
      <c r="U6" s="67">
        <v>20</v>
      </c>
      <c r="V6" s="68">
        <f>ROUND(R6*T6*U6,0)</f>
        <v>12</v>
      </c>
      <c r="W6" s="33"/>
    </row>
    <row r="7" spans="1:23" x14ac:dyDescent="0.35">
      <c r="A7" s="24" t="s">
        <v>8</v>
      </c>
      <c r="B7" s="24" t="s">
        <v>3</v>
      </c>
      <c r="C7" s="47">
        <v>1</v>
      </c>
      <c r="D7" s="49">
        <f t="shared" si="9"/>
        <v>2</v>
      </c>
      <c r="E7">
        <f t="shared" ref="E7:E34" si="13">VLOOKUP(A7,$M$1:$X$8,5,FALSE)</f>
        <v>40</v>
      </c>
      <c r="F7" s="19">
        <f t="shared" ref="F7:F34" si="14">60/E7*C7</f>
        <v>1.5</v>
      </c>
      <c r="G7">
        <f t="shared" ref="G7:G34" si="15">VLOOKUP(A7,$M$1:$X$8,9,FALSE)</f>
        <v>20</v>
      </c>
      <c r="H7" s="18">
        <f t="shared" ref="H7:H34" si="16">D7*F7*G7</f>
        <v>60</v>
      </c>
      <c r="I7" s="17" t="s">
        <v>13</v>
      </c>
      <c r="J7" s="18">
        <v>25.531914893617021</v>
      </c>
      <c r="K7" s="15"/>
      <c r="M7" s="53" t="s">
        <v>105</v>
      </c>
      <c r="N7" s="20">
        <v>0.9</v>
      </c>
      <c r="O7" s="45">
        <v>20</v>
      </c>
      <c r="P7" s="44">
        <f t="shared" si="3"/>
        <v>20.9</v>
      </c>
      <c r="Q7" s="26">
        <v>300</v>
      </c>
      <c r="R7" s="62">
        <v>2</v>
      </c>
      <c r="S7" s="63">
        <f t="shared" si="1"/>
        <v>0.2</v>
      </c>
      <c r="T7" s="66">
        <f t="shared" si="2"/>
        <v>0.2</v>
      </c>
      <c r="U7" s="67">
        <v>20</v>
      </c>
      <c r="V7" s="68">
        <f>SUM(V2:V6)</f>
        <v>158</v>
      </c>
      <c r="W7" s="33"/>
    </row>
    <row r="8" spans="1:23" ht="15" thickBot="1" x14ac:dyDescent="0.4">
      <c r="A8" s="24" t="s">
        <v>8</v>
      </c>
      <c r="B8" s="24" t="s">
        <v>4</v>
      </c>
      <c r="C8" s="47">
        <v>1</v>
      </c>
      <c r="D8" s="33">
        <v>2</v>
      </c>
      <c r="E8">
        <f t="shared" si="13"/>
        <v>40</v>
      </c>
      <c r="F8" s="19">
        <f t="shared" si="14"/>
        <v>1.5</v>
      </c>
      <c r="G8">
        <f t="shared" si="15"/>
        <v>20</v>
      </c>
      <c r="H8" s="18">
        <f t="shared" si="16"/>
        <v>60</v>
      </c>
      <c r="I8" s="17" t="s">
        <v>4</v>
      </c>
      <c r="J8" s="18">
        <v>97.653127014829153</v>
      </c>
      <c r="K8" s="15"/>
      <c r="M8" s="59"/>
      <c r="N8" s="60"/>
      <c r="O8" s="60"/>
      <c r="P8" s="60"/>
      <c r="Q8" s="60"/>
      <c r="R8" s="60">
        <f>SUM(R2:R7)</f>
        <v>10</v>
      </c>
      <c r="S8" s="69">
        <f>SUM(S2:S7)</f>
        <v>1</v>
      </c>
      <c r="T8" s="60"/>
      <c r="U8" s="60"/>
      <c r="V8" s="60"/>
      <c r="W8" s="34"/>
    </row>
    <row r="9" spans="1:23" x14ac:dyDescent="0.35">
      <c r="A9" s="24" t="s">
        <v>9</v>
      </c>
      <c r="B9" s="24" t="s">
        <v>55</v>
      </c>
      <c r="C9" s="24">
        <v>1</v>
      </c>
      <c r="D9" s="35">
        <f t="shared" si="9"/>
        <v>1</v>
      </c>
      <c r="E9" s="18">
        <f t="shared" si="13"/>
        <v>47</v>
      </c>
      <c r="F9" s="19">
        <f t="shared" si="14"/>
        <v>1.2765957446808511</v>
      </c>
      <c r="G9">
        <f t="shared" si="15"/>
        <v>20</v>
      </c>
      <c r="H9" s="18">
        <f t="shared" si="16"/>
        <v>25.531914893617021</v>
      </c>
      <c r="I9" s="17" t="s">
        <v>55</v>
      </c>
      <c r="J9" s="18">
        <v>166.25918762088978</v>
      </c>
      <c r="K9" s="15"/>
    </row>
    <row r="10" spans="1:23" x14ac:dyDescent="0.35">
      <c r="A10" s="24" t="s">
        <v>9</v>
      </c>
      <c r="B10" s="24" t="s">
        <v>0</v>
      </c>
      <c r="C10" s="24">
        <v>1</v>
      </c>
      <c r="D10" s="33">
        <f t="shared" si="9"/>
        <v>1</v>
      </c>
      <c r="E10" s="18">
        <f t="shared" si="13"/>
        <v>47</v>
      </c>
      <c r="F10" s="19">
        <f t="shared" si="14"/>
        <v>1.2765957446808511</v>
      </c>
      <c r="G10">
        <f t="shared" si="15"/>
        <v>20</v>
      </c>
      <c r="H10" s="18">
        <f t="shared" si="16"/>
        <v>25.531914893617021</v>
      </c>
      <c r="I10" s="17" t="s">
        <v>57</v>
      </c>
      <c r="J10" s="18">
        <v>33.333333333333336</v>
      </c>
    </row>
    <row r="11" spans="1:23" x14ac:dyDescent="0.35">
      <c r="A11" s="24" t="s">
        <v>9</v>
      </c>
      <c r="B11" s="24" t="s">
        <v>4</v>
      </c>
      <c r="C11" s="24">
        <v>1</v>
      </c>
      <c r="D11" s="33">
        <f t="shared" si="9"/>
        <v>1</v>
      </c>
      <c r="E11" s="18">
        <f t="shared" si="13"/>
        <v>47</v>
      </c>
      <c r="F11" s="19">
        <f t="shared" si="14"/>
        <v>1.2765957446808511</v>
      </c>
      <c r="G11">
        <f t="shared" si="15"/>
        <v>20</v>
      </c>
      <c r="H11" s="18">
        <f t="shared" si="16"/>
        <v>25.531914893617021</v>
      </c>
      <c r="I11" s="17" t="s">
        <v>56</v>
      </c>
      <c r="J11" s="18">
        <v>33.333333333333336</v>
      </c>
    </row>
    <row r="12" spans="1:23" x14ac:dyDescent="0.35">
      <c r="A12" s="24" t="s">
        <v>9</v>
      </c>
      <c r="B12" s="24" t="s">
        <v>13</v>
      </c>
      <c r="C12" s="24">
        <v>1</v>
      </c>
      <c r="D12" s="33">
        <f t="shared" si="9"/>
        <v>1</v>
      </c>
      <c r="E12" s="18">
        <f t="shared" si="13"/>
        <v>47</v>
      </c>
      <c r="F12" s="19">
        <f t="shared" si="14"/>
        <v>1.2765957446808511</v>
      </c>
      <c r="G12">
        <f t="shared" si="15"/>
        <v>20</v>
      </c>
      <c r="H12" s="18">
        <f t="shared" si="16"/>
        <v>25.531914893617021</v>
      </c>
      <c r="I12" s="17" t="s">
        <v>58</v>
      </c>
      <c r="J12" s="18">
        <v>33.333333333333336</v>
      </c>
    </row>
    <row r="13" spans="1:23" ht="15" thickBot="1" x14ac:dyDescent="0.4">
      <c r="A13" s="24" t="s">
        <v>9</v>
      </c>
      <c r="B13" s="24" t="s">
        <v>6</v>
      </c>
      <c r="C13" s="24">
        <v>1</v>
      </c>
      <c r="D13" s="34">
        <f t="shared" si="9"/>
        <v>1</v>
      </c>
      <c r="E13" s="18">
        <f t="shared" si="13"/>
        <v>47</v>
      </c>
      <c r="F13" s="19">
        <f t="shared" si="14"/>
        <v>1.2765957446808511</v>
      </c>
      <c r="G13">
        <f t="shared" si="15"/>
        <v>20</v>
      </c>
      <c r="H13" s="18">
        <f t="shared" si="16"/>
        <v>25.531914893617021</v>
      </c>
      <c r="I13" s="17" t="s">
        <v>69</v>
      </c>
      <c r="J13" s="18">
        <v>107.39393939393939</v>
      </c>
    </row>
    <row r="14" spans="1:23" x14ac:dyDescent="0.35">
      <c r="A14" s="24" t="s">
        <v>54</v>
      </c>
      <c r="B14" s="24" t="s">
        <v>55</v>
      </c>
      <c r="C14" s="24">
        <v>1</v>
      </c>
      <c r="D14" s="35">
        <f t="shared" si="9"/>
        <v>1</v>
      </c>
      <c r="E14" s="18">
        <f t="shared" si="13"/>
        <v>36</v>
      </c>
      <c r="F14" s="19">
        <f t="shared" si="14"/>
        <v>1.6666666666666667</v>
      </c>
      <c r="G14">
        <f t="shared" si="15"/>
        <v>20</v>
      </c>
      <c r="H14" s="18">
        <f t="shared" si="16"/>
        <v>33.333333333333336</v>
      </c>
      <c r="I14" s="17" t="s">
        <v>33</v>
      </c>
      <c r="J14" s="18">
        <v>978.5686653771761</v>
      </c>
    </row>
    <row r="15" spans="1:23" x14ac:dyDescent="0.35">
      <c r="A15" s="24" t="s">
        <v>54</v>
      </c>
      <c r="B15" s="24" t="s">
        <v>57</v>
      </c>
      <c r="C15" s="24">
        <v>1</v>
      </c>
      <c r="D15" s="33">
        <f t="shared" si="9"/>
        <v>1</v>
      </c>
      <c r="E15" s="18">
        <f t="shared" si="13"/>
        <v>36</v>
      </c>
      <c r="F15" s="19">
        <f t="shared" si="14"/>
        <v>1.6666666666666667</v>
      </c>
      <c r="G15">
        <f t="shared" si="15"/>
        <v>20</v>
      </c>
      <c r="H15" s="18">
        <f t="shared" si="16"/>
        <v>33.333333333333336</v>
      </c>
    </row>
    <row r="16" spans="1:23" x14ac:dyDescent="0.35">
      <c r="A16" s="24" t="s">
        <v>54</v>
      </c>
      <c r="B16" s="24" t="s">
        <v>56</v>
      </c>
      <c r="C16" s="24">
        <v>1</v>
      </c>
      <c r="D16" s="33">
        <f t="shared" si="9"/>
        <v>1</v>
      </c>
      <c r="E16" s="18">
        <f t="shared" si="13"/>
        <v>36</v>
      </c>
      <c r="F16" s="19">
        <f t="shared" si="14"/>
        <v>1.6666666666666667</v>
      </c>
      <c r="G16">
        <f t="shared" si="15"/>
        <v>20</v>
      </c>
      <c r="H16" s="18">
        <f t="shared" si="16"/>
        <v>33.333333333333336</v>
      </c>
    </row>
    <row r="17" spans="1:8" x14ac:dyDescent="0.35">
      <c r="A17" s="24" t="s">
        <v>54</v>
      </c>
      <c r="B17" s="24" t="s">
        <v>58</v>
      </c>
      <c r="C17" s="24">
        <v>1</v>
      </c>
      <c r="D17" s="33">
        <f t="shared" si="9"/>
        <v>1</v>
      </c>
      <c r="E17" s="18">
        <f t="shared" si="13"/>
        <v>36</v>
      </c>
      <c r="F17" s="19">
        <f t="shared" si="14"/>
        <v>1.6666666666666667</v>
      </c>
      <c r="G17">
        <f t="shared" si="15"/>
        <v>20</v>
      </c>
      <c r="H17" s="18">
        <f t="shared" si="16"/>
        <v>33.333333333333336</v>
      </c>
    </row>
    <row r="18" spans="1:8" x14ac:dyDescent="0.35">
      <c r="A18" s="24" t="s">
        <v>54</v>
      </c>
      <c r="B18" s="24" t="s">
        <v>6</v>
      </c>
      <c r="C18" s="24">
        <v>1</v>
      </c>
      <c r="D18" s="33">
        <f t="shared" si="9"/>
        <v>1</v>
      </c>
      <c r="E18" s="18">
        <f t="shared" si="13"/>
        <v>36</v>
      </c>
      <c r="F18" s="19">
        <f t="shared" si="14"/>
        <v>1.6666666666666667</v>
      </c>
      <c r="G18">
        <f t="shared" si="15"/>
        <v>20</v>
      </c>
      <c r="H18" s="18">
        <f t="shared" si="16"/>
        <v>33.333333333333336</v>
      </c>
    </row>
    <row r="19" spans="1:8" x14ac:dyDescent="0.35">
      <c r="A19" s="24" t="s">
        <v>105</v>
      </c>
      <c r="B19" s="24" t="s">
        <v>55</v>
      </c>
      <c r="C19" s="47">
        <v>1</v>
      </c>
      <c r="D19" s="33">
        <f t="shared" si="9"/>
        <v>2</v>
      </c>
      <c r="E19" s="18">
        <f t="shared" si="13"/>
        <v>300</v>
      </c>
      <c r="F19" s="19">
        <f t="shared" si="14"/>
        <v>0.2</v>
      </c>
      <c r="G19">
        <f t="shared" si="15"/>
        <v>20</v>
      </c>
      <c r="H19" s="18">
        <f t="shared" si="16"/>
        <v>8</v>
      </c>
    </row>
    <row r="20" spans="1:8" x14ac:dyDescent="0.35">
      <c r="A20" s="24" t="s">
        <v>105</v>
      </c>
      <c r="B20" s="24" t="s">
        <v>0</v>
      </c>
      <c r="C20" s="47">
        <v>1</v>
      </c>
      <c r="D20" s="33">
        <f t="shared" si="9"/>
        <v>2</v>
      </c>
      <c r="E20" s="18">
        <f t="shared" si="13"/>
        <v>300</v>
      </c>
      <c r="F20" s="19">
        <f t="shared" si="14"/>
        <v>0.2</v>
      </c>
      <c r="G20">
        <f t="shared" si="15"/>
        <v>20</v>
      </c>
      <c r="H20" s="18">
        <f t="shared" si="16"/>
        <v>8</v>
      </c>
    </row>
    <row r="21" spans="1:8" x14ac:dyDescent="0.35">
      <c r="A21" s="24" t="s">
        <v>105</v>
      </c>
      <c r="B21" s="24" t="s">
        <v>69</v>
      </c>
      <c r="C21" s="47">
        <v>1</v>
      </c>
      <c r="D21" s="33">
        <f t="shared" si="9"/>
        <v>2</v>
      </c>
      <c r="E21" s="18">
        <f t="shared" si="13"/>
        <v>300</v>
      </c>
      <c r="F21" s="19">
        <f t="shared" si="14"/>
        <v>0.2</v>
      </c>
      <c r="G21">
        <f t="shared" si="15"/>
        <v>20</v>
      </c>
      <c r="H21" s="18">
        <f t="shared" si="16"/>
        <v>8</v>
      </c>
    </row>
    <row r="22" spans="1:8" x14ac:dyDescent="0.35">
      <c r="A22" s="24" t="s">
        <v>105</v>
      </c>
      <c r="B22" s="24" t="s">
        <v>11</v>
      </c>
      <c r="C22" s="47">
        <v>1</v>
      </c>
      <c r="D22" s="33">
        <f t="shared" si="9"/>
        <v>2</v>
      </c>
      <c r="E22" s="18">
        <f t="shared" si="13"/>
        <v>300</v>
      </c>
      <c r="F22" s="19">
        <f t="shared" si="14"/>
        <v>0.2</v>
      </c>
      <c r="G22">
        <f t="shared" si="15"/>
        <v>20</v>
      </c>
      <c r="H22" s="18">
        <f t="shared" si="16"/>
        <v>8</v>
      </c>
    </row>
    <row r="23" spans="1:8" x14ac:dyDescent="0.35">
      <c r="A23" s="24" t="s">
        <v>105</v>
      </c>
      <c r="B23" s="24" t="s">
        <v>6</v>
      </c>
      <c r="C23" s="47">
        <v>1</v>
      </c>
      <c r="D23" s="33">
        <f t="shared" si="9"/>
        <v>2</v>
      </c>
      <c r="E23" s="18">
        <f t="shared" si="13"/>
        <v>300</v>
      </c>
      <c r="F23" s="19">
        <f t="shared" si="14"/>
        <v>0.2</v>
      </c>
      <c r="G23">
        <f t="shared" si="15"/>
        <v>20</v>
      </c>
      <c r="H23" s="18">
        <f t="shared" si="16"/>
        <v>8</v>
      </c>
    </row>
    <row r="24" spans="1:8" x14ac:dyDescent="0.35">
      <c r="A24" s="24" t="s">
        <v>59</v>
      </c>
      <c r="B24" s="24" t="s">
        <v>55</v>
      </c>
      <c r="C24" s="24">
        <v>1</v>
      </c>
      <c r="D24" s="33">
        <f t="shared" si="9"/>
        <v>2</v>
      </c>
      <c r="E24">
        <f t="shared" si="13"/>
        <v>88</v>
      </c>
      <c r="F24" s="19">
        <f t="shared" si="14"/>
        <v>0.68181818181818177</v>
      </c>
      <c r="G24">
        <f t="shared" si="15"/>
        <v>20</v>
      </c>
      <c r="H24" s="18">
        <f t="shared" si="16"/>
        <v>27.27272727272727</v>
      </c>
    </row>
    <row r="25" spans="1:8" x14ac:dyDescent="0.35">
      <c r="A25" s="24" t="s">
        <v>59</v>
      </c>
      <c r="B25" s="24" t="s">
        <v>0</v>
      </c>
      <c r="C25" s="24">
        <v>1</v>
      </c>
      <c r="D25" s="33">
        <f t="shared" si="9"/>
        <v>2</v>
      </c>
      <c r="E25">
        <f t="shared" si="13"/>
        <v>88</v>
      </c>
      <c r="F25" s="19">
        <f t="shared" si="14"/>
        <v>0.68181818181818177</v>
      </c>
      <c r="G25">
        <f t="shared" si="15"/>
        <v>20</v>
      </c>
      <c r="H25" s="18">
        <f t="shared" si="16"/>
        <v>27.27272727272727</v>
      </c>
    </row>
    <row r="26" spans="1:8" x14ac:dyDescent="0.35">
      <c r="A26" s="24" t="s">
        <v>59</v>
      </c>
      <c r="B26" s="24" t="s">
        <v>69</v>
      </c>
      <c r="C26" s="24">
        <v>1</v>
      </c>
      <c r="D26" s="33">
        <f t="shared" si="9"/>
        <v>2</v>
      </c>
      <c r="E26">
        <f t="shared" si="13"/>
        <v>88</v>
      </c>
      <c r="F26" s="19">
        <f t="shared" si="14"/>
        <v>0.68181818181818177</v>
      </c>
      <c r="G26">
        <f t="shared" si="15"/>
        <v>20</v>
      </c>
      <c r="H26" s="18">
        <f t="shared" si="16"/>
        <v>27.27272727272727</v>
      </c>
    </row>
    <row r="27" spans="1:8" x14ac:dyDescent="0.35">
      <c r="A27" s="24" t="s">
        <v>59</v>
      </c>
      <c r="B27" s="24" t="s">
        <v>11</v>
      </c>
      <c r="C27" s="24">
        <v>1</v>
      </c>
      <c r="D27" s="33">
        <f t="shared" si="9"/>
        <v>2</v>
      </c>
      <c r="E27">
        <f t="shared" si="13"/>
        <v>88</v>
      </c>
      <c r="F27" s="19">
        <f t="shared" si="14"/>
        <v>0.68181818181818177</v>
      </c>
      <c r="G27">
        <f t="shared" si="15"/>
        <v>20</v>
      </c>
      <c r="H27" s="18">
        <f t="shared" si="16"/>
        <v>27.27272727272727</v>
      </c>
    </row>
    <row r="28" spans="1:8" x14ac:dyDescent="0.35">
      <c r="A28" s="24" t="s">
        <v>59</v>
      </c>
      <c r="B28" s="24" t="s">
        <v>12</v>
      </c>
      <c r="C28" s="24">
        <v>1</v>
      </c>
      <c r="D28" s="33">
        <f t="shared" si="9"/>
        <v>2</v>
      </c>
      <c r="E28">
        <f t="shared" si="13"/>
        <v>88</v>
      </c>
      <c r="F28" s="19">
        <f t="shared" si="14"/>
        <v>0.68181818181818177</v>
      </c>
      <c r="G28">
        <f t="shared" si="15"/>
        <v>20</v>
      </c>
      <c r="H28" s="18">
        <f t="shared" si="16"/>
        <v>27.27272727272727</v>
      </c>
    </row>
    <row r="29" spans="1:8" ht="15" thickBot="1" x14ac:dyDescent="0.4">
      <c r="A29" s="24" t="s">
        <v>59</v>
      </c>
      <c r="B29" s="24" t="s">
        <v>6</v>
      </c>
      <c r="C29" s="24">
        <v>1</v>
      </c>
      <c r="D29" s="33">
        <f t="shared" si="9"/>
        <v>2</v>
      </c>
      <c r="E29">
        <f t="shared" si="13"/>
        <v>88</v>
      </c>
      <c r="F29" s="19">
        <f t="shared" si="14"/>
        <v>0.68181818181818177</v>
      </c>
      <c r="G29">
        <f t="shared" si="15"/>
        <v>20</v>
      </c>
      <c r="H29" s="18">
        <f t="shared" si="16"/>
        <v>27.27272727272727</v>
      </c>
    </row>
    <row r="30" spans="1:8" x14ac:dyDescent="0.35">
      <c r="A30" s="24" t="s">
        <v>10</v>
      </c>
      <c r="B30" s="24" t="s">
        <v>55</v>
      </c>
      <c r="C30" s="24">
        <v>1</v>
      </c>
      <c r="D30" s="35">
        <f t="shared" si="9"/>
        <v>2</v>
      </c>
      <c r="E30">
        <f t="shared" si="13"/>
        <v>198</v>
      </c>
      <c r="F30" s="19">
        <f t="shared" si="14"/>
        <v>0.30303030303030304</v>
      </c>
      <c r="G30">
        <f t="shared" si="15"/>
        <v>20</v>
      </c>
      <c r="H30" s="18">
        <f t="shared" si="16"/>
        <v>12.121212121212121</v>
      </c>
    </row>
    <row r="31" spans="1:8" x14ac:dyDescent="0.35">
      <c r="A31" s="24" t="s">
        <v>10</v>
      </c>
      <c r="B31" s="24" t="s">
        <v>0</v>
      </c>
      <c r="C31" s="24">
        <v>1</v>
      </c>
      <c r="D31" s="33">
        <f t="shared" si="9"/>
        <v>2</v>
      </c>
      <c r="E31">
        <f t="shared" si="13"/>
        <v>198</v>
      </c>
      <c r="F31" s="19">
        <f t="shared" si="14"/>
        <v>0.30303030303030304</v>
      </c>
      <c r="G31">
        <f t="shared" si="15"/>
        <v>20</v>
      </c>
      <c r="H31" s="18">
        <f t="shared" si="16"/>
        <v>12.121212121212121</v>
      </c>
    </row>
    <row r="32" spans="1:8" x14ac:dyDescent="0.35">
      <c r="A32" s="24" t="s">
        <v>10</v>
      </c>
      <c r="B32" s="24" t="s">
        <v>69</v>
      </c>
      <c r="C32" s="24">
        <v>1</v>
      </c>
      <c r="D32" s="33">
        <f t="shared" si="9"/>
        <v>2</v>
      </c>
      <c r="E32">
        <f t="shared" si="13"/>
        <v>198</v>
      </c>
      <c r="F32" s="19">
        <f t="shared" si="14"/>
        <v>0.30303030303030304</v>
      </c>
      <c r="G32">
        <f t="shared" si="15"/>
        <v>20</v>
      </c>
      <c r="H32" s="18">
        <f t="shared" si="16"/>
        <v>12.121212121212121</v>
      </c>
    </row>
    <row r="33" spans="1:9" x14ac:dyDescent="0.35">
      <c r="A33" s="24" t="s">
        <v>10</v>
      </c>
      <c r="B33" s="24" t="s">
        <v>4</v>
      </c>
      <c r="C33" s="24">
        <v>1</v>
      </c>
      <c r="D33" s="33">
        <f t="shared" si="9"/>
        <v>2</v>
      </c>
      <c r="E33">
        <f t="shared" si="13"/>
        <v>198</v>
      </c>
      <c r="F33" s="19">
        <f t="shared" si="14"/>
        <v>0.30303030303030304</v>
      </c>
      <c r="G33">
        <f t="shared" si="15"/>
        <v>20</v>
      </c>
      <c r="H33" s="18">
        <f t="shared" si="16"/>
        <v>12.121212121212121</v>
      </c>
    </row>
    <row r="34" spans="1:9" ht="15" thickBot="1" x14ac:dyDescent="0.4">
      <c r="A34" s="24" t="s">
        <v>10</v>
      </c>
      <c r="B34" s="24" t="s">
        <v>6</v>
      </c>
      <c r="C34" s="24">
        <v>1</v>
      </c>
      <c r="D34" s="34">
        <f t="shared" si="9"/>
        <v>2</v>
      </c>
      <c r="E34">
        <f t="shared" si="13"/>
        <v>198</v>
      </c>
      <c r="F34" s="19">
        <f t="shared" si="14"/>
        <v>0.30303030303030304</v>
      </c>
      <c r="G34">
        <f t="shared" si="15"/>
        <v>20</v>
      </c>
      <c r="H34" s="18">
        <f t="shared" si="16"/>
        <v>12.121212121212121</v>
      </c>
    </row>
    <row r="37" spans="1:9" ht="15" thickBot="1" x14ac:dyDescent="0.4"/>
    <row r="38" spans="1:9" x14ac:dyDescent="0.35">
      <c r="A38" s="93" t="s">
        <v>71</v>
      </c>
      <c r="B38" s="94"/>
      <c r="C38" s="95" t="s">
        <v>99</v>
      </c>
      <c r="D38" s="96"/>
    </row>
    <row r="39" spans="1:9" ht="74" x14ac:dyDescent="0.45">
      <c r="A39" s="27" t="s">
        <v>70</v>
      </c>
      <c r="B39" s="70" t="s">
        <v>51</v>
      </c>
      <c r="C39" s="23" t="s">
        <v>49</v>
      </c>
      <c r="D39" s="23" t="s">
        <v>50</v>
      </c>
      <c r="E39" s="37"/>
      <c r="F39" s="75" t="s">
        <v>81</v>
      </c>
      <c r="G39" s="23" t="s">
        <v>48</v>
      </c>
      <c r="H39" s="23" t="s">
        <v>52</v>
      </c>
      <c r="I39" s="23" t="s">
        <v>53</v>
      </c>
    </row>
    <row r="40" spans="1:9" ht="18.5" x14ac:dyDescent="0.35">
      <c r="A40" s="27" t="s">
        <v>55</v>
      </c>
      <c r="B40" s="71">
        <v>520</v>
      </c>
      <c r="C40" s="73">
        <f>GETPIVOTDATA("Итого",$I$1,"transaction rq",A40)*3</f>
        <v>498.77756286266936</v>
      </c>
      <c r="D40" s="21">
        <f>1-B40/C40</f>
        <v>-4.2548900988102156E-2</v>
      </c>
      <c r="E40" s="36"/>
      <c r="F40" s="76" t="str">
        <f>VLOOKUP(A40,Соответствие!A:B,2,FALSE)</f>
        <v>goToSite</v>
      </c>
      <c r="G40" s="38">
        <f t="shared" ref="G40:G51" si="17">C40/3</f>
        <v>166.25918762088978</v>
      </c>
      <c r="H40" s="24">
        <f>VLOOKUP(F40,SummaryReport!A:J,8,FALSE)</f>
        <v>166</v>
      </c>
      <c r="I40" s="22">
        <f t="shared" ref="I40:I51" si="18">1-G40/H40</f>
        <v>-1.5613712101794075E-3</v>
      </c>
    </row>
    <row r="41" spans="1:9" ht="18" x14ac:dyDescent="0.35">
      <c r="A41" s="28" t="s">
        <v>0</v>
      </c>
      <c r="B41" s="71">
        <v>420</v>
      </c>
      <c r="C41" s="73">
        <f t="shared" ref="C41:C51" si="19">GETPIVOTDATA("Итого",$I$1,"transaction rq",A41)*3</f>
        <v>398.77756286266924</v>
      </c>
      <c r="D41" s="21">
        <f>1-B41/C41</f>
        <v>-5.3218734236156973E-2</v>
      </c>
      <c r="E41" s="36"/>
      <c r="F41" s="76" t="str">
        <f>VLOOKUP(A41,Соответствие!A:B,2,FALSE)</f>
        <v>login</v>
      </c>
      <c r="G41" s="38">
        <f t="shared" si="17"/>
        <v>132.9258542875564</v>
      </c>
      <c r="H41" s="24">
        <f>VLOOKUP(F41,SummaryReport!A:J,8,FALSE)</f>
        <v>133</v>
      </c>
      <c r="I41" s="22">
        <f t="shared" si="18"/>
        <v>5.5748655972631678E-4</v>
      </c>
    </row>
    <row r="42" spans="1:9" ht="36" x14ac:dyDescent="0.35">
      <c r="A42" s="29" t="s">
        <v>69</v>
      </c>
      <c r="B42" s="71">
        <v>305</v>
      </c>
      <c r="C42" s="73">
        <f t="shared" si="19"/>
        <v>322.18181818181819</v>
      </c>
      <c r="D42" s="21">
        <f>1-B42/C42</f>
        <v>5.332957110609482E-2</v>
      </c>
      <c r="E42" s="36"/>
      <c r="F42" s="76" t="str">
        <f>VLOOKUP(A42,Соответствие!A:B,2,FALSE)</f>
        <v>click_flights</v>
      </c>
      <c r="G42" s="38">
        <f t="shared" si="17"/>
        <v>107.39393939393939</v>
      </c>
      <c r="H42" s="24">
        <f>VLOOKUP(F42,SummaryReport!A:J,8,FALSE)</f>
        <v>104</v>
      </c>
      <c r="I42" s="22">
        <f t="shared" si="18"/>
        <v>-3.2634032634032639E-2</v>
      </c>
    </row>
    <row r="43" spans="1:9" ht="36" x14ac:dyDescent="0.35">
      <c r="A43" s="28" t="s">
        <v>11</v>
      </c>
      <c r="B43" s="71">
        <v>282</v>
      </c>
      <c r="C43" s="73">
        <f t="shared" si="19"/>
        <v>285.81818181818181</v>
      </c>
      <c r="D43" s="21">
        <f t="shared" ref="D43:D52" si="20">1-B43/C43</f>
        <v>1.3358778625954137E-2</v>
      </c>
      <c r="E43" s="36"/>
      <c r="F43" s="76" t="str">
        <f>VLOOKUP(A43,Соответствие!A:B,2,FALSE)</f>
        <v>search_flights</v>
      </c>
      <c r="G43" s="38">
        <f>C43/3</f>
        <v>95.272727272727266</v>
      </c>
      <c r="H43" s="24">
        <f>VLOOKUP(F43,SummaryReport!A:J,8,FALSE)</f>
        <v>93</v>
      </c>
      <c r="I43" s="22">
        <f t="shared" si="18"/>
        <v>-2.4437927663734094E-2</v>
      </c>
    </row>
    <row r="44" spans="1:9" ht="18" x14ac:dyDescent="0.35">
      <c r="A44" s="28" t="s">
        <v>12</v>
      </c>
      <c r="B44" s="71">
        <v>270</v>
      </c>
      <c r="C44" s="73">
        <f t="shared" si="19"/>
        <v>261.81818181818181</v>
      </c>
      <c r="D44" s="21">
        <f t="shared" si="20"/>
        <v>-3.125E-2</v>
      </c>
      <c r="E44" s="36"/>
      <c r="F44" s="76" t="str">
        <f>VLOOKUP(A44,Соответствие!A:B,2,FALSE)</f>
        <v>select_ticket</v>
      </c>
      <c r="G44" s="38">
        <f t="shared" si="17"/>
        <v>87.272727272727266</v>
      </c>
      <c r="H44" s="24">
        <f>VLOOKUP(F44,SummaryReport!A:J,8,FALSE)</f>
        <v>85</v>
      </c>
      <c r="I44" s="22">
        <f t="shared" si="18"/>
        <v>-2.6737967914438387E-2</v>
      </c>
    </row>
    <row r="45" spans="1:9" ht="18" x14ac:dyDescent="0.35">
      <c r="A45" s="28" t="s">
        <v>3</v>
      </c>
      <c r="B45" s="71">
        <v>175</v>
      </c>
      <c r="C45" s="73">
        <f t="shared" si="19"/>
        <v>180</v>
      </c>
      <c r="D45" s="21">
        <f t="shared" si="20"/>
        <v>2.777777777777779E-2</v>
      </c>
      <c r="E45" s="36"/>
      <c r="F45" s="76" t="str">
        <f>VLOOKUP(A45,Соответствие!A:B,2,FALSE)</f>
        <v>pay_ticket</v>
      </c>
      <c r="G45" s="38">
        <f t="shared" si="17"/>
        <v>60</v>
      </c>
      <c r="H45" s="24">
        <f>VLOOKUP(F45,SummaryReport!A:J,8,FALSE)</f>
        <v>59</v>
      </c>
      <c r="I45" s="22">
        <f t="shared" si="18"/>
        <v>-1.6949152542372836E-2</v>
      </c>
    </row>
    <row r="46" spans="1:9" ht="18" x14ac:dyDescent="0.35">
      <c r="A46" s="28" t="s">
        <v>4</v>
      </c>
      <c r="B46" s="71">
        <v>280</v>
      </c>
      <c r="C46" s="73">
        <f t="shared" si="19"/>
        <v>292.95938104448749</v>
      </c>
      <c r="D46" s="21">
        <f t="shared" si="20"/>
        <v>4.423610194110672E-2</v>
      </c>
      <c r="E46" s="46"/>
      <c r="F46" s="76" t="str">
        <f>VLOOKUP(A46,Соответствие!A:B,2,FALSE)</f>
        <v>viewing_receipt</v>
      </c>
      <c r="G46" s="38">
        <f t="shared" si="17"/>
        <v>97.653127014829167</v>
      </c>
      <c r="H46" s="24">
        <f>VLOOKUP(F46,SummaryReport!A:J,8,FALSE)</f>
        <v>97</v>
      </c>
      <c r="I46" s="22">
        <f t="shared" si="18"/>
        <v>-6.7332681941150163E-3</v>
      </c>
    </row>
    <row r="47" spans="1:9" ht="18" x14ac:dyDescent="0.35">
      <c r="A47" s="28" t="s">
        <v>13</v>
      </c>
      <c r="B47" s="71">
        <v>73</v>
      </c>
      <c r="C47" s="73">
        <f t="shared" si="19"/>
        <v>76.595744680851055</v>
      </c>
      <c r="D47" s="21">
        <f t="shared" si="20"/>
        <v>4.6944444444444344E-2</v>
      </c>
      <c r="E47" s="36"/>
      <c r="F47" s="76" t="str">
        <f>VLOOKUP(A47,Соответствие!A:B,2,FALSE)</f>
        <v>Cancel_reservation</v>
      </c>
      <c r="G47" s="38">
        <f t="shared" si="17"/>
        <v>25.531914893617017</v>
      </c>
      <c r="H47" s="24">
        <f>VLOOKUP(F47,SummaryReport!A:J,8,FALSE)</f>
        <v>25</v>
      </c>
      <c r="I47" s="22">
        <f t="shared" si="18"/>
        <v>-2.1276595744680771E-2</v>
      </c>
    </row>
    <row r="48" spans="1:9" ht="18" x14ac:dyDescent="0.35">
      <c r="A48" s="28" t="s">
        <v>6</v>
      </c>
      <c r="B48" s="71">
        <v>326</v>
      </c>
      <c r="C48" s="73">
        <f t="shared" si="19"/>
        <v>318.77756286266924</v>
      </c>
      <c r="D48" s="21">
        <f t="shared" si="20"/>
        <v>-2.2656667152080034E-2</v>
      </c>
      <c r="E48" s="36"/>
      <c r="F48" s="76" t="str">
        <f>VLOOKUP(A48,Соответствие!A:B,2,FALSE)</f>
        <v>logout</v>
      </c>
      <c r="G48" s="38">
        <f t="shared" si="17"/>
        <v>106.25918762088975</v>
      </c>
      <c r="H48" s="24">
        <f>VLOOKUP(F48,SummaryReport!A:J,8,FALSE)</f>
        <v>78</v>
      </c>
      <c r="I48" s="22">
        <f t="shared" si="18"/>
        <v>-0.36229727719089411</v>
      </c>
    </row>
    <row r="49" spans="1:10" ht="36" x14ac:dyDescent="0.35">
      <c r="A49" s="28" t="s">
        <v>57</v>
      </c>
      <c r="B49" s="71">
        <v>97</v>
      </c>
      <c r="C49" s="73">
        <f t="shared" si="19"/>
        <v>100</v>
      </c>
      <c r="D49" s="21">
        <f t="shared" si="20"/>
        <v>3.0000000000000027E-2</v>
      </c>
      <c r="E49" s="36"/>
      <c r="F49" s="76" t="str">
        <f>VLOOKUP(A49,Соответствие!A:B,2,FALSE)</f>
        <v>Open_sign_up_now</v>
      </c>
      <c r="G49" s="38">
        <f t="shared" si="17"/>
        <v>33.333333333333336</v>
      </c>
      <c r="H49" s="24">
        <f>VLOOKUP(F49,SummaryReport!A:J,8,FALSE)</f>
        <v>34</v>
      </c>
      <c r="I49" s="22">
        <f t="shared" si="18"/>
        <v>1.9607843137254832E-2</v>
      </c>
    </row>
    <row r="50" spans="1:10" ht="36" x14ac:dyDescent="0.35">
      <c r="A50" s="28" t="s">
        <v>56</v>
      </c>
      <c r="B50" s="71">
        <v>97</v>
      </c>
      <c r="C50" s="73">
        <f t="shared" si="19"/>
        <v>100</v>
      </c>
      <c r="D50" s="21">
        <f t="shared" si="20"/>
        <v>3.0000000000000027E-2</v>
      </c>
      <c r="E50" s="36"/>
      <c r="F50" s="76" t="str">
        <f>VLOOKUP(A50,Соответствие!A:B,2,FALSE)</f>
        <v>Filling_out_the_form</v>
      </c>
      <c r="G50" s="38">
        <f t="shared" si="17"/>
        <v>33.333333333333336</v>
      </c>
      <c r="H50" s="24">
        <f>VLOOKUP(F50,SummaryReport!A:J,8,FALSE)</f>
        <v>34</v>
      </c>
      <c r="I50" s="22">
        <f t="shared" si="18"/>
        <v>1.9607843137254832E-2</v>
      </c>
    </row>
    <row r="51" spans="1:10" ht="36.5" thickBot="1" x14ac:dyDescent="0.4">
      <c r="A51" s="28" t="s">
        <v>58</v>
      </c>
      <c r="B51" s="71">
        <v>97</v>
      </c>
      <c r="C51" s="73">
        <f t="shared" si="19"/>
        <v>100</v>
      </c>
      <c r="D51" s="21">
        <f t="shared" si="20"/>
        <v>3.0000000000000027E-2</v>
      </c>
      <c r="E51" s="36"/>
      <c r="F51" s="76" t="str">
        <f>VLOOKUP(A51,Соответствие!A:B,2,FALSE)</f>
        <v>Continue</v>
      </c>
      <c r="G51" s="38">
        <f t="shared" si="17"/>
        <v>33.333333333333336</v>
      </c>
      <c r="H51" s="24">
        <f>VLOOKUP(F51,SummaryReport!A:J,8,FALSE)</f>
        <v>33</v>
      </c>
      <c r="I51" s="22">
        <f t="shared" si="18"/>
        <v>-1.0101010101010166E-2</v>
      </c>
    </row>
    <row r="52" spans="1:10" ht="18.5" thickBot="1" x14ac:dyDescent="0.4">
      <c r="A52" s="30" t="s">
        <v>7</v>
      </c>
      <c r="B52" s="72">
        <f>SUM(B40:B51)</f>
        <v>2942</v>
      </c>
      <c r="C52" s="74">
        <f>SUM(C40:C51)</f>
        <v>2935.7059961315281</v>
      </c>
      <c r="D52" s="21">
        <f t="shared" si="20"/>
        <v>-2.143948977440413E-3</v>
      </c>
      <c r="I52" s="35"/>
    </row>
    <row r="53" spans="1:10" ht="15" thickBot="1" x14ac:dyDescent="0.4">
      <c r="I53" s="33"/>
    </row>
    <row r="54" spans="1:10" x14ac:dyDescent="0.35">
      <c r="A54" s="50"/>
      <c r="B54" s="51"/>
      <c r="C54" s="52" t="s">
        <v>68</v>
      </c>
      <c r="D54" s="52"/>
      <c r="E54" s="52"/>
      <c r="F54" s="52"/>
      <c r="G54" s="52"/>
      <c r="H54" s="52"/>
      <c r="I54" s="58">
        <f>1-B56/H56</f>
        <v>1.8333333333333202E-2</v>
      </c>
    </row>
    <row r="55" spans="1:10" x14ac:dyDescent="0.35">
      <c r="A55" s="53"/>
      <c r="B55" s="54" t="s">
        <v>83</v>
      </c>
      <c r="C55" s="54" t="s">
        <v>67</v>
      </c>
      <c r="D55" s="54" t="s">
        <v>63</v>
      </c>
      <c r="E55" s="54" t="s">
        <v>65</v>
      </c>
      <c r="F55" s="54" t="s">
        <v>64</v>
      </c>
      <c r="G55" s="54" t="s">
        <v>66</v>
      </c>
      <c r="H55" s="54" t="s">
        <v>82</v>
      </c>
      <c r="I55" s="58">
        <f>1-B57/H57</f>
        <v>-4.1666666666666741E-2</v>
      </c>
    </row>
    <row r="56" spans="1:10" x14ac:dyDescent="0.35">
      <c r="A56" s="55" t="s">
        <v>8</v>
      </c>
      <c r="B56" s="40">
        <f>124/3</f>
        <v>41.333333333333336</v>
      </c>
      <c r="C56" s="26">
        <v>57</v>
      </c>
      <c r="D56" s="25">
        <f>60/C56</f>
        <v>1.0526315789473684</v>
      </c>
      <c r="E56" s="32">
        <v>20</v>
      </c>
      <c r="F56" s="56">
        <f>B56/(D56*E56)</f>
        <v>1.9633333333333336</v>
      </c>
      <c r="G56" s="57">
        <f>ROUND(F56,0)</f>
        <v>2</v>
      </c>
      <c r="H56" s="57">
        <f>G56*D56*E56</f>
        <v>42.105263157894733</v>
      </c>
      <c r="I56" s="58">
        <f>1-B58/H58</f>
        <v>4.166666666666663E-2</v>
      </c>
    </row>
    <row r="57" spans="1:10" x14ac:dyDescent="0.35">
      <c r="A57" s="55" t="s">
        <v>91</v>
      </c>
      <c r="B57" s="40">
        <f>150/3</f>
        <v>50</v>
      </c>
      <c r="C57" s="26">
        <v>25</v>
      </c>
      <c r="D57" s="25">
        <f>60/C57</f>
        <v>2.4</v>
      </c>
      <c r="E57" s="32">
        <v>20</v>
      </c>
      <c r="F57" s="56">
        <f>B57/(D57*E57)</f>
        <v>1.0416666666666667</v>
      </c>
      <c r="G57" s="57">
        <f>ROUND(F57,0)</f>
        <v>1</v>
      </c>
      <c r="H57" s="57">
        <f>G57*D57*E57</f>
        <v>48</v>
      </c>
      <c r="I57" s="58">
        <f>1-B59/H59</f>
        <v>0</v>
      </c>
    </row>
    <row r="58" spans="1:10" x14ac:dyDescent="0.35">
      <c r="A58" s="55" t="s">
        <v>84</v>
      </c>
      <c r="B58" s="41">
        <f>30/3</f>
        <v>10</v>
      </c>
      <c r="C58" s="31">
        <v>115</v>
      </c>
      <c r="D58" s="25">
        <f>60/C58</f>
        <v>0.52173913043478259</v>
      </c>
      <c r="E58" s="32">
        <v>20</v>
      </c>
      <c r="F58" s="56">
        <f>B58/(D58*E58)</f>
        <v>0.95833333333333337</v>
      </c>
      <c r="G58" s="57">
        <v>1</v>
      </c>
      <c r="H58" s="57">
        <f>G58*D58*E58</f>
        <v>10.434782608695652</v>
      </c>
      <c r="I58" s="58">
        <f>1-B60/H60</f>
        <v>0</v>
      </c>
    </row>
    <row r="59" spans="1:10" x14ac:dyDescent="0.35">
      <c r="A59" s="55" t="s">
        <v>61</v>
      </c>
      <c r="B59" s="40">
        <f>20/3</f>
        <v>6.666666666666667</v>
      </c>
      <c r="C59" s="26">
        <v>180</v>
      </c>
      <c r="D59" s="25">
        <f>60/C59</f>
        <v>0.33333333333333331</v>
      </c>
      <c r="E59" s="32">
        <v>20</v>
      </c>
      <c r="F59" s="56">
        <f>B59/(D59*E59)</f>
        <v>1.0000000000000002</v>
      </c>
      <c r="G59" s="57">
        <v>1</v>
      </c>
      <c r="H59" s="57">
        <f>G59*D59*E59</f>
        <v>6.6666666666666661</v>
      </c>
    </row>
    <row r="60" spans="1:10" x14ac:dyDescent="0.35">
      <c r="A60" s="55" t="s">
        <v>62</v>
      </c>
      <c r="B60" s="40">
        <f>120/3</f>
        <v>40</v>
      </c>
      <c r="C60" s="26">
        <v>30</v>
      </c>
      <c r="D60" s="25">
        <f>60/C60</f>
        <v>2</v>
      </c>
      <c r="E60" s="32">
        <v>20</v>
      </c>
      <c r="F60" s="56">
        <f>B60/(D60*E60)</f>
        <v>1</v>
      </c>
      <c r="G60" s="57">
        <f>ROUND(F60,0)</f>
        <v>1</v>
      </c>
      <c r="H60" s="57">
        <f>G60*D60*E60</f>
        <v>40</v>
      </c>
      <c r="I60" s="16" t="s">
        <v>32</v>
      </c>
      <c r="J60" t="s">
        <v>44</v>
      </c>
    </row>
    <row r="61" spans="1:10" ht="15" thickBot="1" x14ac:dyDescent="0.4">
      <c r="A61" s="59"/>
      <c r="B61" s="60"/>
      <c r="C61" s="60"/>
      <c r="D61" s="60"/>
      <c r="E61" s="60"/>
      <c r="F61" s="60"/>
      <c r="G61" s="61">
        <f>SUM(G56:G60)</f>
        <v>6</v>
      </c>
      <c r="H61" s="60"/>
      <c r="I61" s="17" t="s">
        <v>88</v>
      </c>
      <c r="J61" s="18">
        <v>48</v>
      </c>
    </row>
    <row r="62" spans="1:10" x14ac:dyDescent="0.35">
      <c r="I62" s="17" t="s">
        <v>85</v>
      </c>
      <c r="J62" s="18">
        <v>154.66666666666669</v>
      </c>
    </row>
    <row r="63" spans="1:10" ht="15" thickBot="1" x14ac:dyDescent="0.4">
      <c r="I63" s="17" t="s">
        <v>87</v>
      </c>
      <c r="J63" s="18">
        <v>48</v>
      </c>
    </row>
    <row r="64" spans="1:10" x14ac:dyDescent="0.35">
      <c r="A64" s="50" t="s">
        <v>94</v>
      </c>
      <c r="B64" s="51" t="s">
        <v>95</v>
      </c>
      <c r="C64" s="51" t="s">
        <v>96</v>
      </c>
      <c r="D64" s="51" t="s">
        <v>38</v>
      </c>
      <c r="E64" s="51" t="s">
        <v>97</v>
      </c>
      <c r="F64" s="51" t="s">
        <v>47</v>
      </c>
      <c r="G64" s="51" t="s">
        <v>7</v>
      </c>
      <c r="H64" s="35"/>
      <c r="I64" s="42" t="s">
        <v>90</v>
      </c>
      <c r="J64" s="18">
        <v>148</v>
      </c>
    </row>
    <row r="65" spans="1:10" x14ac:dyDescent="0.35">
      <c r="A65" s="53" t="s">
        <v>8</v>
      </c>
      <c r="B65" s="54" t="s">
        <v>85</v>
      </c>
      <c r="C65" s="57">
        <f t="shared" ref="C65:C90" si="21">VLOOKUP(A65,$A$56:$H$60,6,FALSE)</f>
        <v>1.9633333333333336</v>
      </c>
      <c r="D65" s="54">
        <f t="shared" ref="D65:D90" si="22">VLOOKUP(A65,$A$56:$H$60,3,FALSE)</f>
        <v>57</v>
      </c>
      <c r="E65" s="57">
        <f t="shared" ref="E65:E90" si="23">60/D65</f>
        <v>1.0526315789473684</v>
      </c>
      <c r="F65" s="54">
        <v>20</v>
      </c>
      <c r="G65" s="57">
        <f t="shared" ref="G65:G90" si="24">C65*E65*F65</f>
        <v>41.333333333333336</v>
      </c>
      <c r="H65" s="33"/>
      <c r="I65" s="42" t="s">
        <v>60</v>
      </c>
      <c r="J65" s="18">
        <v>148</v>
      </c>
    </row>
    <row r="66" spans="1:10" x14ac:dyDescent="0.35">
      <c r="A66" s="53" t="s">
        <v>8</v>
      </c>
      <c r="B66" s="54" t="s">
        <v>60</v>
      </c>
      <c r="C66" s="57">
        <f t="shared" si="21"/>
        <v>1.9633333333333336</v>
      </c>
      <c r="D66" s="54">
        <f t="shared" si="22"/>
        <v>57</v>
      </c>
      <c r="E66" s="57">
        <f t="shared" si="23"/>
        <v>1.0526315789473684</v>
      </c>
      <c r="F66" s="54">
        <v>20</v>
      </c>
      <c r="G66" s="57">
        <f t="shared" si="24"/>
        <v>41.333333333333336</v>
      </c>
      <c r="H66" s="33"/>
      <c r="I66" s="17" t="s">
        <v>86</v>
      </c>
      <c r="J66" s="18">
        <v>48</v>
      </c>
    </row>
    <row r="67" spans="1:10" x14ac:dyDescent="0.35">
      <c r="A67" s="53" t="s">
        <v>8</v>
      </c>
      <c r="B67" s="54" t="s">
        <v>86</v>
      </c>
      <c r="C67" s="57">
        <f t="shared" si="21"/>
        <v>1.9633333333333336</v>
      </c>
      <c r="D67" s="54">
        <f t="shared" si="22"/>
        <v>57</v>
      </c>
      <c r="E67" s="57">
        <f t="shared" si="23"/>
        <v>1.0526315789473684</v>
      </c>
      <c r="F67" s="54">
        <v>20</v>
      </c>
      <c r="G67" s="57">
        <f t="shared" si="24"/>
        <v>41.333333333333336</v>
      </c>
      <c r="H67" s="33"/>
      <c r="I67" s="42" t="s">
        <v>89</v>
      </c>
      <c r="J67" s="18">
        <v>41.333333333333336</v>
      </c>
    </row>
    <row r="68" spans="1:10" x14ac:dyDescent="0.35">
      <c r="A68" s="53" t="s">
        <v>8</v>
      </c>
      <c r="B68" s="54" t="s">
        <v>87</v>
      </c>
      <c r="C68" s="57">
        <f t="shared" si="21"/>
        <v>1.9633333333333336</v>
      </c>
      <c r="D68" s="54">
        <f t="shared" si="22"/>
        <v>57</v>
      </c>
      <c r="E68" s="57">
        <f t="shared" si="23"/>
        <v>1.0526315789473684</v>
      </c>
      <c r="F68" s="54">
        <v>20</v>
      </c>
      <c r="G68" s="57">
        <f t="shared" si="24"/>
        <v>41.333333333333336</v>
      </c>
      <c r="H68" s="33"/>
      <c r="I68" s="17" t="s">
        <v>92</v>
      </c>
      <c r="J68" s="18">
        <v>50</v>
      </c>
    </row>
    <row r="69" spans="1:10" x14ac:dyDescent="0.35">
      <c r="A69" s="53" t="s">
        <v>8</v>
      </c>
      <c r="B69" s="54" t="s">
        <v>88</v>
      </c>
      <c r="C69" s="57">
        <f t="shared" si="21"/>
        <v>1.9633333333333336</v>
      </c>
      <c r="D69" s="54">
        <f t="shared" si="22"/>
        <v>57</v>
      </c>
      <c r="E69" s="57">
        <f t="shared" si="23"/>
        <v>1.0526315789473684</v>
      </c>
      <c r="F69" s="54">
        <v>20</v>
      </c>
      <c r="G69" s="57">
        <f t="shared" si="24"/>
        <v>41.333333333333336</v>
      </c>
      <c r="H69" s="33"/>
      <c r="I69" s="42" t="s">
        <v>93</v>
      </c>
      <c r="J69" s="18">
        <v>10</v>
      </c>
    </row>
    <row r="70" spans="1:10" x14ac:dyDescent="0.35">
      <c r="A70" s="53" t="s">
        <v>8</v>
      </c>
      <c r="B70" s="54" t="s">
        <v>89</v>
      </c>
      <c r="C70" s="57">
        <f t="shared" si="21"/>
        <v>1.9633333333333336</v>
      </c>
      <c r="D70" s="54">
        <f t="shared" si="22"/>
        <v>57</v>
      </c>
      <c r="E70" s="57">
        <f t="shared" si="23"/>
        <v>1.0526315789473684</v>
      </c>
      <c r="F70" s="54">
        <v>20</v>
      </c>
      <c r="G70" s="57">
        <f t="shared" si="24"/>
        <v>41.333333333333336</v>
      </c>
      <c r="H70" s="33"/>
      <c r="I70" s="17" t="s">
        <v>33</v>
      </c>
      <c r="J70" s="15">
        <v>696.00000000000011</v>
      </c>
    </row>
    <row r="71" spans="1:10" x14ac:dyDescent="0.35">
      <c r="A71" s="53" t="s">
        <v>8</v>
      </c>
      <c r="B71" s="54" t="s">
        <v>90</v>
      </c>
      <c r="C71" s="57">
        <f t="shared" si="21"/>
        <v>1.9633333333333336</v>
      </c>
      <c r="D71" s="54">
        <f t="shared" si="22"/>
        <v>57</v>
      </c>
      <c r="E71" s="57">
        <f t="shared" si="23"/>
        <v>1.0526315789473684</v>
      </c>
      <c r="F71" s="54">
        <v>20</v>
      </c>
      <c r="G71" s="57">
        <f t="shared" si="24"/>
        <v>41.333333333333336</v>
      </c>
      <c r="H71" s="33"/>
    </row>
    <row r="72" spans="1:10" x14ac:dyDescent="0.35">
      <c r="A72" s="53" t="s">
        <v>91</v>
      </c>
      <c r="B72" s="54" t="s">
        <v>85</v>
      </c>
      <c r="C72" s="57">
        <f t="shared" si="21"/>
        <v>1.0416666666666667</v>
      </c>
      <c r="D72" s="54">
        <f t="shared" si="22"/>
        <v>25</v>
      </c>
      <c r="E72" s="57">
        <f t="shared" si="23"/>
        <v>2.4</v>
      </c>
      <c r="F72" s="54">
        <v>20</v>
      </c>
      <c r="G72" s="57">
        <f t="shared" si="24"/>
        <v>50</v>
      </c>
      <c r="H72" s="33"/>
    </row>
    <row r="73" spans="1:10" x14ac:dyDescent="0.35">
      <c r="A73" s="53" t="s">
        <v>91</v>
      </c>
      <c r="B73" s="54" t="s">
        <v>60</v>
      </c>
      <c r="C73" s="57">
        <f t="shared" si="21"/>
        <v>1.0416666666666667</v>
      </c>
      <c r="D73" s="54">
        <f t="shared" si="22"/>
        <v>25</v>
      </c>
      <c r="E73" s="57">
        <f t="shared" si="23"/>
        <v>2.4</v>
      </c>
      <c r="F73" s="54">
        <v>20</v>
      </c>
      <c r="G73" s="57">
        <f t="shared" si="24"/>
        <v>50</v>
      </c>
      <c r="H73" s="33"/>
    </row>
    <row r="74" spans="1:10" x14ac:dyDescent="0.35">
      <c r="A74" s="53" t="s">
        <v>91</v>
      </c>
      <c r="B74" s="54" t="s">
        <v>90</v>
      </c>
      <c r="C74" s="57">
        <f t="shared" si="21"/>
        <v>1.0416666666666667</v>
      </c>
      <c r="D74" s="54">
        <f t="shared" si="22"/>
        <v>25</v>
      </c>
      <c r="E74" s="57">
        <f t="shared" si="23"/>
        <v>2.4</v>
      </c>
      <c r="F74" s="54">
        <v>20</v>
      </c>
      <c r="G74" s="57">
        <f t="shared" si="24"/>
        <v>50</v>
      </c>
      <c r="H74" s="33"/>
    </row>
    <row r="75" spans="1:10" x14ac:dyDescent="0.35">
      <c r="A75" s="53" t="s">
        <v>84</v>
      </c>
      <c r="B75" s="54" t="s">
        <v>85</v>
      </c>
      <c r="C75" s="57">
        <f t="shared" si="21"/>
        <v>0.95833333333333337</v>
      </c>
      <c r="D75" s="54">
        <f t="shared" si="22"/>
        <v>115</v>
      </c>
      <c r="E75" s="57">
        <f t="shared" si="23"/>
        <v>0.52173913043478259</v>
      </c>
      <c r="F75" s="54">
        <v>20</v>
      </c>
      <c r="G75" s="57">
        <f t="shared" si="24"/>
        <v>10</v>
      </c>
      <c r="H75" s="33"/>
    </row>
    <row r="76" spans="1:10" x14ac:dyDescent="0.35">
      <c r="A76" s="53" t="s">
        <v>84</v>
      </c>
      <c r="B76" s="54" t="s">
        <v>60</v>
      </c>
      <c r="C76" s="57">
        <f t="shared" si="21"/>
        <v>0.95833333333333337</v>
      </c>
      <c r="D76" s="54">
        <f t="shared" si="22"/>
        <v>115</v>
      </c>
      <c r="E76" s="57">
        <f t="shared" si="23"/>
        <v>0.52173913043478259</v>
      </c>
      <c r="F76" s="54">
        <v>20</v>
      </c>
      <c r="G76" s="57">
        <f t="shared" si="24"/>
        <v>10</v>
      </c>
      <c r="H76" s="33"/>
    </row>
    <row r="77" spans="1:10" x14ac:dyDescent="0.35">
      <c r="A77" s="53" t="s">
        <v>84</v>
      </c>
      <c r="B77" s="54" t="s">
        <v>92</v>
      </c>
      <c r="C77" s="57">
        <f t="shared" si="21"/>
        <v>0.95833333333333337</v>
      </c>
      <c r="D77" s="54">
        <f t="shared" si="22"/>
        <v>115</v>
      </c>
      <c r="E77" s="57">
        <f t="shared" si="23"/>
        <v>0.52173913043478259</v>
      </c>
      <c r="F77" s="54">
        <v>20</v>
      </c>
      <c r="G77" s="57">
        <f t="shared" si="24"/>
        <v>10</v>
      </c>
      <c r="H77" s="33"/>
    </row>
    <row r="78" spans="1:10" x14ac:dyDescent="0.35">
      <c r="A78" s="53" t="s">
        <v>84</v>
      </c>
      <c r="B78" s="54" t="s">
        <v>93</v>
      </c>
      <c r="C78" s="57">
        <f t="shared" si="21"/>
        <v>0.95833333333333337</v>
      </c>
      <c r="D78" s="54">
        <f t="shared" si="22"/>
        <v>115</v>
      </c>
      <c r="E78" s="57">
        <f t="shared" si="23"/>
        <v>0.52173913043478259</v>
      </c>
      <c r="F78" s="54">
        <v>20</v>
      </c>
      <c r="G78" s="57">
        <f t="shared" si="24"/>
        <v>10</v>
      </c>
      <c r="H78" s="33"/>
    </row>
    <row r="79" spans="1:10" x14ac:dyDescent="0.35">
      <c r="A79" s="53" t="s">
        <v>84</v>
      </c>
      <c r="B79" s="54" t="s">
        <v>90</v>
      </c>
      <c r="C79" s="57">
        <f t="shared" si="21"/>
        <v>0.95833333333333337</v>
      </c>
      <c r="D79" s="54">
        <f t="shared" si="22"/>
        <v>115</v>
      </c>
      <c r="E79" s="57">
        <f t="shared" si="23"/>
        <v>0.52173913043478259</v>
      </c>
      <c r="F79" s="54">
        <v>20</v>
      </c>
      <c r="G79" s="57">
        <f t="shared" si="24"/>
        <v>10</v>
      </c>
      <c r="H79" s="33"/>
    </row>
    <row r="80" spans="1:10" x14ac:dyDescent="0.35">
      <c r="A80" s="53" t="s">
        <v>61</v>
      </c>
      <c r="B80" s="54" t="s">
        <v>85</v>
      </c>
      <c r="C80" s="57">
        <f t="shared" si="21"/>
        <v>1.0000000000000002</v>
      </c>
      <c r="D80" s="54">
        <f t="shared" si="22"/>
        <v>180</v>
      </c>
      <c r="E80" s="57">
        <f t="shared" si="23"/>
        <v>0.33333333333333331</v>
      </c>
      <c r="F80" s="54">
        <v>20</v>
      </c>
      <c r="G80" s="57">
        <f t="shared" si="24"/>
        <v>6.6666666666666679</v>
      </c>
      <c r="H80" s="33"/>
    </row>
    <row r="81" spans="1:8" x14ac:dyDescent="0.35">
      <c r="A81" s="53" t="s">
        <v>61</v>
      </c>
      <c r="B81" s="54" t="s">
        <v>85</v>
      </c>
      <c r="C81" s="57">
        <f t="shared" si="21"/>
        <v>1.0000000000000002</v>
      </c>
      <c r="D81" s="54">
        <f t="shared" si="22"/>
        <v>180</v>
      </c>
      <c r="E81" s="57">
        <f t="shared" si="23"/>
        <v>0.33333333333333331</v>
      </c>
      <c r="F81" s="54">
        <v>20</v>
      </c>
      <c r="G81" s="57">
        <f t="shared" si="24"/>
        <v>6.6666666666666679</v>
      </c>
      <c r="H81" s="33"/>
    </row>
    <row r="82" spans="1:8" x14ac:dyDescent="0.35">
      <c r="A82" s="53" t="s">
        <v>61</v>
      </c>
      <c r="B82" s="54" t="s">
        <v>60</v>
      </c>
      <c r="C82" s="57">
        <f t="shared" si="21"/>
        <v>1.0000000000000002</v>
      </c>
      <c r="D82" s="54">
        <f t="shared" si="22"/>
        <v>180</v>
      </c>
      <c r="E82" s="57">
        <f t="shared" si="23"/>
        <v>0.33333333333333331</v>
      </c>
      <c r="F82" s="54">
        <v>20</v>
      </c>
      <c r="G82" s="57">
        <f t="shared" si="24"/>
        <v>6.6666666666666679</v>
      </c>
      <c r="H82" s="33"/>
    </row>
    <row r="83" spans="1:8" x14ac:dyDescent="0.35">
      <c r="A83" s="53" t="s">
        <v>61</v>
      </c>
      <c r="B83" s="54" t="s">
        <v>86</v>
      </c>
      <c r="C83" s="57">
        <f t="shared" si="21"/>
        <v>1.0000000000000002</v>
      </c>
      <c r="D83" s="54">
        <f t="shared" si="22"/>
        <v>180</v>
      </c>
      <c r="E83" s="57">
        <f t="shared" si="23"/>
        <v>0.33333333333333331</v>
      </c>
      <c r="F83" s="54">
        <v>20</v>
      </c>
      <c r="G83" s="57">
        <f t="shared" si="24"/>
        <v>6.6666666666666679</v>
      </c>
      <c r="H83" s="33"/>
    </row>
    <row r="84" spans="1:8" x14ac:dyDescent="0.35">
      <c r="A84" s="53" t="s">
        <v>61</v>
      </c>
      <c r="B84" s="54" t="s">
        <v>87</v>
      </c>
      <c r="C84" s="57">
        <f t="shared" si="21"/>
        <v>1.0000000000000002</v>
      </c>
      <c r="D84" s="54">
        <f t="shared" si="22"/>
        <v>180</v>
      </c>
      <c r="E84" s="57">
        <f t="shared" si="23"/>
        <v>0.33333333333333331</v>
      </c>
      <c r="F84" s="54">
        <v>20</v>
      </c>
      <c r="G84" s="57">
        <f t="shared" si="24"/>
        <v>6.6666666666666679</v>
      </c>
      <c r="H84" s="33"/>
    </row>
    <row r="85" spans="1:8" x14ac:dyDescent="0.35">
      <c r="A85" s="53" t="s">
        <v>61</v>
      </c>
      <c r="B85" s="54" t="s">
        <v>88</v>
      </c>
      <c r="C85" s="57">
        <f t="shared" si="21"/>
        <v>1.0000000000000002</v>
      </c>
      <c r="D85" s="54">
        <f t="shared" si="22"/>
        <v>180</v>
      </c>
      <c r="E85" s="57">
        <f t="shared" si="23"/>
        <v>0.33333333333333331</v>
      </c>
      <c r="F85" s="54">
        <v>20</v>
      </c>
      <c r="G85" s="57">
        <f t="shared" si="24"/>
        <v>6.6666666666666679</v>
      </c>
      <c r="H85" s="33"/>
    </row>
    <row r="86" spans="1:8" x14ac:dyDescent="0.35">
      <c r="A86" s="53" t="s">
        <v>61</v>
      </c>
      <c r="B86" s="54" t="s">
        <v>90</v>
      </c>
      <c r="C86" s="57">
        <f t="shared" si="21"/>
        <v>1.0000000000000002</v>
      </c>
      <c r="D86" s="54">
        <f t="shared" si="22"/>
        <v>180</v>
      </c>
      <c r="E86" s="57">
        <f t="shared" si="23"/>
        <v>0.33333333333333331</v>
      </c>
      <c r="F86" s="54">
        <v>20</v>
      </c>
      <c r="G86" s="57">
        <f t="shared" si="24"/>
        <v>6.6666666666666679</v>
      </c>
      <c r="H86" s="33"/>
    </row>
    <row r="87" spans="1:8" x14ac:dyDescent="0.35">
      <c r="A87" s="53" t="s">
        <v>62</v>
      </c>
      <c r="B87" s="54" t="s">
        <v>85</v>
      </c>
      <c r="C87" s="57">
        <f t="shared" si="21"/>
        <v>1</v>
      </c>
      <c r="D87" s="54">
        <f t="shared" si="22"/>
        <v>30</v>
      </c>
      <c r="E87" s="57">
        <f t="shared" si="23"/>
        <v>2</v>
      </c>
      <c r="F87" s="54">
        <v>20</v>
      </c>
      <c r="G87" s="57">
        <f t="shared" si="24"/>
        <v>40</v>
      </c>
      <c r="H87" s="33"/>
    </row>
    <row r="88" spans="1:8" x14ac:dyDescent="0.35">
      <c r="A88" s="53" t="s">
        <v>62</v>
      </c>
      <c r="B88" s="54" t="s">
        <v>60</v>
      </c>
      <c r="C88" s="57">
        <f t="shared" si="21"/>
        <v>1</v>
      </c>
      <c r="D88" s="54">
        <f t="shared" si="22"/>
        <v>30</v>
      </c>
      <c r="E88" s="57">
        <f t="shared" si="23"/>
        <v>2</v>
      </c>
      <c r="F88" s="54">
        <v>20</v>
      </c>
      <c r="G88" s="57">
        <f t="shared" si="24"/>
        <v>40</v>
      </c>
      <c r="H88" s="33"/>
    </row>
    <row r="89" spans="1:8" x14ac:dyDescent="0.35">
      <c r="A89" s="53" t="s">
        <v>62</v>
      </c>
      <c r="B89" s="54" t="s">
        <v>92</v>
      </c>
      <c r="C89" s="57">
        <f t="shared" si="21"/>
        <v>1</v>
      </c>
      <c r="D89" s="54">
        <f t="shared" si="22"/>
        <v>30</v>
      </c>
      <c r="E89" s="57">
        <f t="shared" si="23"/>
        <v>2</v>
      </c>
      <c r="F89" s="54">
        <v>20</v>
      </c>
      <c r="G89" s="57">
        <f t="shared" si="24"/>
        <v>40</v>
      </c>
      <c r="H89" s="33"/>
    </row>
    <row r="90" spans="1:8" ht="15" thickBot="1" x14ac:dyDescent="0.4">
      <c r="A90" s="59" t="s">
        <v>62</v>
      </c>
      <c r="B90" s="60" t="s">
        <v>90</v>
      </c>
      <c r="C90" s="61">
        <f t="shared" si="21"/>
        <v>1</v>
      </c>
      <c r="D90" s="60">
        <f t="shared" si="22"/>
        <v>30</v>
      </c>
      <c r="E90" s="61">
        <f t="shared" si="23"/>
        <v>2</v>
      </c>
      <c r="F90" s="60">
        <v>20</v>
      </c>
      <c r="G90" s="61">
        <f t="shared" si="24"/>
        <v>40</v>
      </c>
      <c r="H90" s="34"/>
    </row>
  </sheetData>
  <mergeCells count="2">
    <mergeCell ref="A38:B38"/>
    <mergeCell ref="C38:D38"/>
  </mergeCells>
  <pageMargins left="0.7" right="0.7" top="0.75" bottom="0.75" header="0.3" footer="0.3"/>
  <pageSetup paperSize="9"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Z62"/>
  <sheetViews>
    <sheetView topLeftCell="A5" zoomScale="67" workbookViewId="0">
      <selection activeCell="H44" sqref="H44"/>
    </sheetView>
  </sheetViews>
  <sheetFormatPr defaultColWidth="8.81640625" defaultRowHeight="14.5" x14ac:dyDescent="0.35"/>
  <cols>
    <col min="2" max="2" width="4.453125" customWidth="1"/>
    <col min="3" max="4" width="9.1796875" hidden="1" customWidth="1"/>
    <col min="5" max="5" width="20.453125" customWidth="1"/>
    <col min="6" max="6" width="18.81640625" customWidth="1"/>
    <col min="7" max="7" width="15.26953125" customWidth="1"/>
    <col min="8" max="8" width="15.1796875" customWidth="1"/>
    <col min="9" max="9" width="14" customWidth="1"/>
    <col min="11" max="11" width="1.453125" customWidth="1"/>
    <col min="12" max="12" width="40.26953125" customWidth="1"/>
    <col min="13" max="13" width="14.453125" customWidth="1"/>
    <col min="14" max="14" width="7.54296875" customWidth="1"/>
    <col min="15" max="15" width="5" bestFit="1" customWidth="1"/>
    <col min="16" max="16" width="14.1796875" bestFit="1" customWidth="1"/>
    <col min="17" max="17" width="19.453125" bestFit="1" customWidth="1"/>
  </cols>
  <sheetData>
    <row r="6" spans="5:22" x14ac:dyDescent="0.35">
      <c r="M6" s="92" t="s">
        <v>24</v>
      </c>
      <c r="N6" s="92" t="s">
        <v>74</v>
      </c>
      <c r="O6" s="92" t="s">
        <v>75</v>
      </c>
      <c r="P6" s="92" t="s">
        <v>76</v>
      </c>
      <c r="Q6" s="92" t="s">
        <v>77</v>
      </c>
      <c r="R6" s="92" t="s">
        <v>78</v>
      </c>
      <c r="S6" s="92" t="s">
        <v>79</v>
      </c>
      <c r="T6" s="92" t="s">
        <v>25</v>
      </c>
      <c r="U6" s="92" t="s">
        <v>26</v>
      </c>
      <c r="V6" s="92" t="s">
        <v>27</v>
      </c>
    </row>
    <row r="7" spans="5:22" x14ac:dyDescent="0.35">
      <c r="M7" s="92" t="s">
        <v>20</v>
      </c>
      <c r="N7" s="92" t="s">
        <v>80</v>
      </c>
      <c r="O7" s="92">
        <v>3.7999999999999999E-2</v>
      </c>
      <c r="P7" s="92">
        <v>8.7999999999999995E-2</v>
      </c>
      <c r="Q7" s="92">
        <v>0.624</v>
      </c>
      <c r="R7" s="92">
        <v>0.04</v>
      </c>
      <c r="S7" s="92">
        <v>0.10299999999999999</v>
      </c>
      <c r="T7" s="92">
        <v>307</v>
      </c>
      <c r="U7" s="92">
        <v>0</v>
      </c>
      <c r="V7" s="92">
        <v>0</v>
      </c>
    </row>
    <row r="8" spans="5:22" x14ac:dyDescent="0.35">
      <c r="M8" s="92" t="s">
        <v>100</v>
      </c>
      <c r="N8" s="92" t="s">
        <v>80</v>
      </c>
      <c r="O8" s="92">
        <v>3.7999999999999999E-2</v>
      </c>
      <c r="P8" s="92">
        <v>8.7999999999999995E-2</v>
      </c>
      <c r="Q8" s="92">
        <v>0.624</v>
      </c>
      <c r="R8" s="92">
        <v>0</v>
      </c>
      <c r="S8" s="92">
        <v>0.10299999999999999</v>
      </c>
      <c r="T8" s="92">
        <v>307</v>
      </c>
      <c r="U8" s="92">
        <v>0</v>
      </c>
      <c r="V8" s="92">
        <v>0</v>
      </c>
    </row>
    <row r="9" spans="5:22" x14ac:dyDescent="0.35">
      <c r="E9" s="97" t="s">
        <v>117</v>
      </c>
      <c r="F9" s="97"/>
      <c r="G9" s="97"/>
      <c r="H9" s="97"/>
      <c r="I9" s="97"/>
      <c r="M9" s="92" t="s">
        <v>106</v>
      </c>
      <c r="N9" s="92" t="s">
        <v>80</v>
      </c>
      <c r="O9" s="92">
        <v>7.8E-2</v>
      </c>
      <c r="P9" s="92">
        <v>0.159</v>
      </c>
      <c r="Q9" s="92">
        <v>2.9460000000000002</v>
      </c>
      <c r="R9" s="92">
        <v>0.23300000000000001</v>
      </c>
      <c r="S9" s="92">
        <v>0.129</v>
      </c>
      <c r="T9" s="92" t="s">
        <v>112</v>
      </c>
      <c r="U9" s="92">
        <v>0</v>
      </c>
      <c r="V9" s="92">
        <v>0</v>
      </c>
    </row>
    <row r="10" spans="5:22" x14ac:dyDescent="0.35">
      <c r="M10" s="92" t="s">
        <v>100</v>
      </c>
      <c r="N10" s="92" t="s">
        <v>80</v>
      </c>
      <c r="O10" s="92">
        <v>7.8E-2</v>
      </c>
      <c r="P10" s="92">
        <v>0.159</v>
      </c>
      <c r="Q10" s="92">
        <v>2.9460000000000002</v>
      </c>
      <c r="R10" s="92">
        <v>0</v>
      </c>
      <c r="S10" s="92">
        <v>0.129</v>
      </c>
      <c r="T10" s="92" t="s">
        <v>112</v>
      </c>
      <c r="U10" s="92">
        <v>0</v>
      </c>
      <c r="V10" s="92">
        <v>0</v>
      </c>
    </row>
    <row r="11" spans="5:22" ht="28" x14ac:dyDescent="0.3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M11" s="92" t="s">
        <v>101</v>
      </c>
      <c r="N11" s="92" t="s">
        <v>80</v>
      </c>
      <c r="O11" s="92">
        <v>6.6000000000000003E-2</v>
      </c>
      <c r="P11" s="92">
        <v>0.158</v>
      </c>
      <c r="Q11" s="92">
        <v>1.8</v>
      </c>
      <c r="R11" s="92">
        <v>0.23499999999999999</v>
      </c>
      <c r="S11" s="92">
        <v>0.309</v>
      </c>
      <c r="T11" s="92">
        <v>401</v>
      </c>
      <c r="U11" s="92">
        <v>0</v>
      </c>
      <c r="V11" s="92">
        <v>0</v>
      </c>
    </row>
    <row r="12" spans="5:22" ht="15" x14ac:dyDescent="0.35">
      <c r="E12" s="2" t="s">
        <v>0</v>
      </c>
      <c r="F12" s="3" t="s">
        <v>21</v>
      </c>
      <c r="G12" s="4">
        <v>399</v>
      </c>
      <c r="H12" s="3">
        <f>133*3</f>
        <v>399</v>
      </c>
      <c r="I12" s="5">
        <f>1-G12/H12</f>
        <v>0</v>
      </c>
      <c r="M12" s="92" t="s">
        <v>100</v>
      </c>
      <c r="N12" s="92" t="s">
        <v>80</v>
      </c>
      <c r="O12" s="92">
        <v>6.6000000000000003E-2</v>
      </c>
      <c r="P12" s="92">
        <v>0.158</v>
      </c>
      <c r="Q12" s="92">
        <v>1.8</v>
      </c>
      <c r="R12" s="92">
        <v>0</v>
      </c>
      <c r="S12" s="92">
        <v>0.309</v>
      </c>
      <c r="T12" s="92">
        <v>401</v>
      </c>
      <c r="U12" s="92">
        <v>0</v>
      </c>
      <c r="V12" s="92">
        <v>0</v>
      </c>
    </row>
    <row r="13" spans="5:22" ht="30" x14ac:dyDescent="0.35">
      <c r="E13" s="2" t="s">
        <v>1</v>
      </c>
      <c r="F13" s="87" t="s">
        <v>109</v>
      </c>
      <c r="G13" s="4">
        <v>286</v>
      </c>
      <c r="H13" s="3">
        <f>93*3</f>
        <v>279</v>
      </c>
      <c r="I13" s="5">
        <f t="shared" ref="I13:I18" si="0">1-G13/H13</f>
        <v>-2.5089605734766929E-2</v>
      </c>
      <c r="M13" s="92" t="s">
        <v>102</v>
      </c>
      <c r="N13" s="92" t="s">
        <v>80</v>
      </c>
      <c r="O13" s="92">
        <v>3.2000000000000001E-2</v>
      </c>
      <c r="P13" s="92">
        <v>0.04</v>
      </c>
      <c r="Q13" s="92">
        <v>0.628</v>
      </c>
      <c r="R13" s="92">
        <v>3.7999999999999999E-2</v>
      </c>
      <c r="S13" s="92">
        <v>4.1000000000000002E-2</v>
      </c>
      <c r="T13" s="92">
        <v>400</v>
      </c>
      <c r="U13" s="92">
        <v>0</v>
      </c>
      <c r="V13" s="92">
        <v>0</v>
      </c>
    </row>
    <row r="14" spans="5:22" ht="30" x14ac:dyDescent="0.35">
      <c r="E14" s="2" t="s">
        <v>2</v>
      </c>
      <c r="F14" s="3" t="s">
        <v>23</v>
      </c>
      <c r="G14" s="4">
        <v>262</v>
      </c>
      <c r="H14" s="3">
        <f>85*3</f>
        <v>255</v>
      </c>
      <c r="I14" s="5">
        <f t="shared" si="0"/>
        <v>-2.7450980392156765E-2</v>
      </c>
      <c r="M14" s="92" t="s">
        <v>100</v>
      </c>
      <c r="N14" s="92" t="s">
        <v>80</v>
      </c>
      <c r="O14" s="92">
        <v>3.2000000000000001E-2</v>
      </c>
      <c r="P14" s="92">
        <v>0.04</v>
      </c>
      <c r="Q14" s="92">
        <v>0.628</v>
      </c>
      <c r="R14" s="92">
        <v>0</v>
      </c>
      <c r="S14" s="92">
        <v>4.1000000000000002E-2</v>
      </c>
      <c r="T14" s="92">
        <v>400</v>
      </c>
      <c r="U14" s="92">
        <v>0</v>
      </c>
      <c r="V14" s="92">
        <v>0</v>
      </c>
    </row>
    <row r="15" spans="5:22" ht="15" x14ac:dyDescent="0.35">
      <c r="E15" s="2" t="s">
        <v>3</v>
      </c>
      <c r="F15" s="92" t="s">
        <v>108</v>
      </c>
      <c r="G15" s="4">
        <v>180</v>
      </c>
      <c r="H15" s="3">
        <f>59*3</f>
        <v>177</v>
      </c>
      <c r="I15" s="6">
        <f t="shared" si="0"/>
        <v>-1.6949152542372836E-2</v>
      </c>
      <c r="M15" s="92" t="s">
        <v>107</v>
      </c>
      <c r="N15" s="92" t="s">
        <v>80</v>
      </c>
      <c r="O15" s="92">
        <v>0.06</v>
      </c>
      <c r="P15" s="92">
        <v>0.13200000000000001</v>
      </c>
      <c r="Q15" s="92">
        <v>3.1230000000000002</v>
      </c>
      <c r="R15" s="92">
        <v>0.245</v>
      </c>
      <c r="S15" s="92">
        <v>0.13600000000000001</v>
      </c>
      <c r="T15" s="92" t="s">
        <v>113</v>
      </c>
      <c r="U15" s="92">
        <v>0</v>
      </c>
      <c r="V15" s="92">
        <v>0</v>
      </c>
    </row>
    <row r="16" spans="5:22" ht="30" x14ac:dyDescent="0.35">
      <c r="E16" s="2" t="s">
        <v>19</v>
      </c>
      <c r="F16" s="86" t="s">
        <v>110</v>
      </c>
      <c r="G16" s="4">
        <v>293</v>
      </c>
      <c r="H16" s="4">
        <f>97*3</f>
        <v>291</v>
      </c>
      <c r="I16" s="5">
        <f t="shared" si="0"/>
        <v>-6.8728522336769515E-3</v>
      </c>
      <c r="M16" s="92" t="s">
        <v>100</v>
      </c>
      <c r="N16" s="92" t="s">
        <v>80</v>
      </c>
      <c r="O16" s="92">
        <v>0.06</v>
      </c>
      <c r="P16" s="92">
        <v>0.13200000000000001</v>
      </c>
      <c r="Q16" s="92">
        <v>3.1230000000000002</v>
      </c>
      <c r="R16" s="92">
        <v>0</v>
      </c>
      <c r="S16" s="92">
        <v>0.13600000000000001</v>
      </c>
      <c r="T16" s="92" t="s">
        <v>113</v>
      </c>
      <c r="U16" s="92">
        <v>0</v>
      </c>
      <c r="V16" s="92">
        <v>0</v>
      </c>
    </row>
    <row r="17" spans="5:26" ht="45" x14ac:dyDescent="0.35">
      <c r="E17" s="2" t="s">
        <v>5</v>
      </c>
      <c r="F17" s="3" t="s">
        <v>20</v>
      </c>
      <c r="G17" s="4">
        <v>77</v>
      </c>
      <c r="H17" s="3">
        <f>25*3</f>
        <v>75</v>
      </c>
      <c r="I17" s="5">
        <f t="shared" si="0"/>
        <v>-2.6666666666666616E-2</v>
      </c>
      <c r="M17" s="92" t="s">
        <v>21</v>
      </c>
      <c r="N17" s="92" t="s">
        <v>80</v>
      </c>
      <c r="O17" s="92">
        <v>7.6999999999999999E-2</v>
      </c>
      <c r="P17" s="92">
        <v>0.158</v>
      </c>
      <c r="Q17" s="92">
        <v>2.81</v>
      </c>
      <c r="R17" s="92">
        <v>0.253</v>
      </c>
      <c r="S17" s="92">
        <v>0.26200000000000001</v>
      </c>
      <c r="T17" s="92" t="s">
        <v>114</v>
      </c>
      <c r="U17" s="92">
        <v>1</v>
      </c>
      <c r="V17" s="92">
        <v>0</v>
      </c>
    </row>
    <row r="18" spans="5:26" ht="15" x14ac:dyDescent="0.35">
      <c r="E18" s="2" t="s">
        <v>6</v>
      </c>
      <c r="F18" s="3" t="s">
        <v>22</v>
      </c>
      <c r="G18" s="4">
        <v>319</v>
      </c>
      <c r="H18" s="3">
        <f>102*3</f>
        <v>306</v>
      </c>
      <c r="I18" s="5">
        <f t="shared" si="0"/>
        <v>-4.2483660130719025E-2</v>
      </c>
      <c r="M18" s="92" t="s">
        <v>100</v>
      </c>
      <c r="N18" s="92" t="s">
        <v>80</v>
      </c>
      <c r="O18" s="92">
        <v>7.6999999999999999E-2</v>
      </c>
      <c r="P18" s="92">
        <v>0.158</v>
      </c>
      <c r="Q18" s="92">
        <v>2.81</v>
      </c>
      <c r="R18" s="92">
        <v>0</v>
      </c>
      <c r="S18" s="92">
        <v>0.26200000000000001</v>
      </c>
      <c r="T18" s="92" t="s">
        <v>114</v>
      </c>
      <c r="U18" s="92">
        <v>1</v>
      </c>
      <c r="V18" s="92">
        <v>0</v>
      </c>
    </row>
    <row r="19" spans="5:26" x14ac:dyDescent="0.35">
      <c r="M19" s="92" t="s">
        <v>22</v>
      </c>
      <c r="N19" s="92" t="s">
        <v>80</v>
      </c>
      <c r="O19" s="92">
        <v>5.8000000000000003E-2</v>
      </c>
      <c r="P19" s="92">
        <v>0.114</v>
      </c>
      <c r="Q19" s="92">
        <v>2.347</v>
      </c>
      <c r="R19" s="92">
        <v>0.217</v>
      </c>
      <c r="S19" s="92">
        <v>0.08</v>
      </c>
      <c r="T19" s="92">
        <v>948</v>
      </c>
      <c r="U19" s="92">
        <v>0</v>
      </c>
      <c r="V19" s="92">
        <v>0</v>
      </c>
    </row>
    <row r="20" spans="5:26" x14ac:dyDescent="0.35">
      <c r="M20" s="92" t="s">
        <v>100</v>
      </c>
      <c r="N20" s="92" t="s">
        <v>80</v>
      </c>
      <c r="O20" s="92">
        <v>5.8000000000000003E-2</v>
      </c>
      <c r="P20" s="92">
        <v>0.114</v>
      </c>
      <c r="Q20" s="92">
        <v>2.347</v>
      </c>
      <c r="R20" s="92">
        <v>0</v>
      </c>
      <c r="S20" s="92">
        <v>0.08</v>
      </c>
      <c r="T20" s="92">
        <v>948</v>
      </c>
      <c r="U20" s="92">
        <v>0</v>
      </c>
      <c r="V20" s="92">
        <v>0</v>
      </c>
    </row>
    <row r="21" spans="5:26" x14ac:dyDescent="0.35">
      <c r="M21" s="92" t="s">
        <v>103</v>
      </c>
      <c r="N21" s="92" t="s">
        <v>80</v>
      </c>
      <c r="O21" s="92">
        <v>3.2000000000000001E-2</v>
      </c>
      <c r="P21" s="92">
        <v>6.0999999999999999E-2</v>
      </c>
      <c r="Q21" s="92">
        <v>2.2810000000000001</v>
      </c>
      <c r="R21" s="92">
        <v>0.155</v>
      </c>
      <c r="S21" s="92">
        <v>4.2999999999999997E-2</v>
      </c>
      <c r="T21" s="92">
        <v>400</v>
      </c>
      <c r="U21" s="92">
        <v>0</v>
      </c>
      <c r="V21" s="92">
        <v>0</v>
      </c>
    </row>
    <row r="22" spans="5:26" x14ac:dyDescent="0.35">
      <c r="M22" s="92" t="s">
        <v>100</v>
      </c>
      <c r="N22" s="92" t="s">
        <v>80</v>
      </c>
      <c r="O22" s="92">
        <v>3.2000000000000001E-2</v>
      </c>
      <c r="P22" s="92">
        <v>6.0999999999999999E-2</v>
      </c>
      <c r="Q22" s="92">
        <v>2.2810000000000001</v>
      </c>
      <c r="R22" s="92">
        <v>0</v>
      </c>
      <c r="S22" s="92">
        <v>4.2999999999999997E-2</v>
      </c>
      <c r="T22" s="92">
        <v>400</v>
      </c>
      <c r="U22" s="92">
        <v>0</v>
      </c>
      <c r="V22" s="92">
        <v>0</v>
      </c>
    </row>
    <row r="23" spans="5:26" x14ac:dyDescent="0.35">
      <c r="E23" s="97" t="s">
        <v>104</v>
      </c>
      <c r="F23" s="97"/>
      <c r="G23" s="97"/>
      <c r="H23" s="97"/>
      <c r="I23" s="97"/>
      <c r="M23" s="92" t="s">
        <v>108</v>
      </c>
      <c r="N23" s="92" t="s">
        <v>80</v>
      </c>
      <c r="O23" s="92">
        <v>3.7999999999999999E-2</v>
      </c>
      <c r="P23" s="92">
        <v>0.09</v>
      </c>
      <c r="Q23" s="92">
        <v>1.994</v>
      </c>
      <c r="R23" s="92">
        <v>0.19400000000000001</v>
      </c>
      <c r="S23" s="92">
        <v>5.8999999999999997E-2</v>
      </c>
      <c r="T23" s="92">
        <v>719</v>
      </c>
      <c r="U23" s="92">
        <v>0</v>
      </c>
      <c r="V23" s="92">
        <v>0</v>
      </c>
    </row>
    <row r="24" spans="5:26" x14ac:dyDescent="0.35">
      <c r="M24" s="92" t="s">
        <v>100</v>
      </c>
      <c r="N24" s="92" t="s">
        <v>80</v>
      </c>
      <c r="O24" s="92">
        <v>3.7999999999999999E-2</v>
      </c>
      <c r="P24" s="92">
        <v>0.09</v>
      </c>
      <c r="Q24" s="92">
        <v>1.994</v>
      </c>
      <c r="R24" s="92">
        <v>0</v>
      </c>
      <c r="S24" s="92">
        <v>5.8999999999999997E-2</v>
      </c>
      <c r="T24" s="92">
        <v>719</v>
      </c>
      <c r="U24" s="92">
        <v>0</v>
      </c>
      <c r="V24" s="92">
        <v>0</v>
      </c>
      <c r="X24" s="83"/>
      <c r="Y24" s="83"/>
      <c r="Z24" s="83"/>
    </row>
    <row r="25" spans="5:26" x14ac:dyDescent="0.3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  <c r="M25" s="92" t="s">
        <v>109</v>
      </c>
      <c r="N25" s="92" t="s">
        <v>80</v>
      </c>
      <c r="O25" s="92">
        <v>3.6999999999999998E-2</v>
      </c>
      <c r="P25" s="92">
        <v>6.4000000000000001E-2</v>
      </c>
      <c r="Q25" s="92">
        <v>2.2829999999999999</v>
      </c>
      <c r="R25" s="92">
        <v>0.127</v>
      </c>
      <c r="S25" s="92">
        <v>5.5E-2</v>
      </c>
      <c r="T25" s="92" t="s">
        <v>112</v>
      </c>
      <c r="U25" s="92">
        <v>0</v>
      </c>
      <c r="V25" s="92">
        <v>0</v>
      </c>
      <c r="X25" s="83"/>
      <c r="Y25" s="83"/>
      <c r="Z25" s="83"/>
    </row>
    <row r="26" spans="5:26" ht="15" x14ac:dyDescent="0.35">
      <c r="E26" s="13" t="s">
        <v>0</v>
      </c>
      <c r="F26" s="12" t="s">
        <v>21</v>
      </c>
      <c r="G26" s="10">
        <f>4*G12</f>
        <v>1596</v>
      </c>
      <c r="H26" s="9">
        <f>530*3</f>
        <v>1590</v>
      </c>
      <c r="I26" s="11">
        <f>1-G26/H26</f>
        <v>-3.7735849056603765E-3</v>
      </c>
      <c r="M26" s="92" t="s">
        <v>100</v>
      </c>
      <c r="N26" s="92" t="s">
        <v>80</v>
      </c>
      <c r="O26" s="92">
        <v>3.6999999999999998E-2</v>
      </c>
      <c r="P26" s="92">
        <v>6.4000000000000001E-2</v>
      </c>
      <c r="Q26" s="92">
        <v>2.2829999999999999</v>
      </c>
      <c r="R26" s="92">
        <v>0</v>
      </c>
      <c r="S26" s="92">
        <v>5.5E-2</v>
      </c>
      <c r="T26" s="92" t="s">
        <v>112</v>
      </c>
      <c r="U26" s="92">
        <v>0</v>
      </c>
      <c r="V26" s="92">
        <v>0</v>
      </c>
      <c r="X26" s="83"/>
      <c r="Y26" s="83"/>
      <c r="Z26" s="83"/>
    </row>
    <row r="27" spans="5:26" ht="15" x14ac:dyDescent="0.35">
      <c r="E27" s="13" t="s">
        <v>1</v>
      </c>
      <c r="F27" s="86" t="s">
        <v>109</v>
      </c>
      <c r="G27" s="10">
        <f t="shared" ref="G27:G32" si="1">4*G13</f>
        <v>1144</v>
      </c>
      <c r="H27" s="9">
        <f>379*3</f>
        <v>1137</v>
      </c>
      <c r="I27" s="11">
        <f t="shared" ref="I27:I32" si="2">1-G27/H27</f>
        <v>-6.1565523306947867E-3</v>
      </c>
      <c r="M27" s="92" t="s">
        <v>23</v>
      </c>
      <c r="N27" s="92" t="s">
        <v>80</v>
      </c>
      <c r="O27" s="92">
        <v>3.6999999999999998E-2</v>
      </c>
      <c r="P27" s="92">
        <v>4.2999999999999997E-2</v>
      </c>
      <c r="Q27" s="92">
        <v>6.2E-2</v>
      </c>
      <c r="R27" s="92">
        <v>3.0000000000000001E-3</v>
      </c>
      <c r="S27" s="92">
        <v>4.8000000000000001E-2</v>
      </c>
      <c r="T27" s="92" t="s">
        <v>115</v>
      </c>
      <c r="U27" s="92">
        <v>0</v>
      </c>
      <c r="V27" s="92">
        <v>0</v>
      </c>
      <c r="W27" s="83"/>
      <c r="X27" s="83"/>
      <c r="Y27" s="83"/>
      <c r="Z27" s="83"/>
    </row>
    <row r="28" spans="5:26" ht="15" x14ac:dyDescent="0.35">
      <c r="E28" s="13" t="s">
        <v>2</v>
      </c>
      <c r="F28" s="12" t="s">
        <v>23</v>
      </c>
      <c r="G28" s="10">
        <f t="shared" si="1"/>
        <v>1048</v>
      </c>
      <c r="H28" s="9">
        <f>347*3</f>
        <v>1041</v>
      </c>
      <c r="I28" s="11">
        <f t="shared" si="2"/>
        <v>-6.7243035542747798E-3</v>
      </c>
      <c r="M28" s="92" t="s">
        <v>100</v>
      </c>
      <c r="N28" s="92" t="s">
        <v>80</v>
      </c>
      <c r="O28" s="92">
        <v>3.6999999999999998E-2</v>
      </c>
      <c r="P28" s="92">
        <v>4.2999999999999997E-2</v>
      </c>
      <c r="Q28" s="92">
        <v>6.2E-2</v>
      </c>
      <c r="R28" s="92">
        <v>0</v>
      </c>
      <c r="S28" s="92">
        <v>4.8000000000000001E-2</v>
      </c>
      <c r="T28" s="92" t="s">
        <v>115</v>
      </c>
      <c r="U28" s="92">
        <v>0</v>
      </c>
      <c r="V28" s="92">
        <v>0</v>
      </c>
      <c r="W28" s="83"/>
      <c r="X28" s="83"/>
      <c r="Y28" s="83"/>
      <c r="Z28" s="83"/>
    </row>
    <row r="29" spans="5:26" ht="15" x14ac:dyDescent="0.35">
      <c r="E29" s="13" t="s">
        <v>3</v>
      </c>
      <c r="F29" s="92" t="s">
        <v>108</v>
      </c>
      <c r="G29" s="10">
        <f t="shared" si="1"/>
        <v>720</v>
      </c>
      <c r="H29" s="9">
        <f>238*3</f>
        <v>714</v>
      </c>
      <c r="I29" s="7">
        <f t="shared" si="2"/>
        <v>-8.4033613445377853E-3</v>
      </c>
      <c r="M29" s="92" t="s">
        <v>110</v>
      </c>
      <c r="N29" s="92" t="s">
        <v>80</v>
      </c>
      <c r="O29" s="92">
        <v>9.7000000000000003E-2</v>
      </c>
      <c r="P29" s="92">
        <v>0.17299999999999999</v>
      </c>
      <c r="Q29" s="92">
        <v>2.1760000000000002</v>
      </c>
      <c r="R29" s="92">
        <v>0.219</v>
      </c>
      <c r="S29" s="92">
        <v>0.159</v>
      </c>
      <c r="T29" s="92" t="s">
        <v>116</v>
      </c>
      <c r="U29" s="92">
        <v>0</v>
      </c>
      <c r="V29" s="92">
        <v>0</v>
      </c>
      <c r="W29" s="83"/>
      <c r="X29" s="83"/>
      <c r="Y29" s="83"/>
      <c r="Z29" s="83"/>
    </row>
    <row r="30" spans="5:26" ht="15" x14ac:dyDescent="0.35">
      <c r="E30" s="13" t="s">
        <v>19</v>
      </c>
      <c r="F30" t="s">
        <v>110</v>
      </c>
      <c r="G30" s="10">
        <f t="shared" si="1"/>
        <v>1172</v>
      </c>
      <c r="H30" s="9">
        <f>3*388</f>
        <v>1164</v>
      </c>
      <c r="I30" s="11">
        <f t="shared" si="2"/>
        <v>-6.8728522336769515E-3</v>
      </c>
      <c r="M30" s="92" t="s">
        <v>100</v>
      </c>
      <c r="N30" s="92" t="s">
        <v>80</v>
      </c>
      <c r="O30" s="92">
        <v>9.7000000000000003E-2</v>
      </c>
      <c r="P30" s="92">
        <v>0.17299999999999999</v>
      </c>
      <c r="Q30" s="92">
        <v>2.1760000000000002</v>
      </c>
      <c r="R30" s="92">
        <v>0</v>
      </c>
      <c r="S30" s="92">
        <v>0.159</v>
      </c>
      <c r="T30" s="92" t="s">
        <v>116</v>
      </c>
      <c r="U30" s="92">
        <v>0</v>
      </c>
      <c r="V30" s="92">
        <v>0</v>
      </c>
      <c r="W30" s="83"/>
      <c r="X30" s="83"/>
      <c r="Y30" s="83"/>
      <c r="Z30" s="83"/>
    </row>
    <row r="31" spans="5:26" ht="15" x14ac:dyDescent="0.35">
      <c r="E31" s="13" t="s">
        <v>5</v>
      </c>
      <c r="F31" s="12" t="s">
        <v>20</v>
      </c>
      <c r="G31" s="10">
        <f t="shared" si="1"/>
        <v>308</v>
      </c>
      <c r="H31" s="9">
        <f>102*3</f>
        <v>306</v>
      </c>
      <c r="I31" s="11">
        <f t="shared" si="2"/>
        <v>-6.5359477124182774E-3</v>
      </c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5:26" ht="15" x14ac:dyDescent="0.35">
      <c r="E32" s="13" t="s">
        <v>6</v>
      </c>
      <c r="F32" s="12" t="s">
        <v>22</v>
      </c>
      <c r="G32" s="10">
        <f t="shared" si="1"/>
        <v>1276</v>
      </c>
      <c r="H32" s="88">
        <f>306*4</f>
        <v>1224</v>
      </c>
      <c r="I32" s="89">
        <f t="shared" si="2"/>
        <v>-4.2483660130719025E-2</v>
      </c>
      <c r="J32" s="90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5:26" x14ac:dyDescent="0.35"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5:26" x14ac:dyDescent="0.35"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5:26" x14ac:dyDescent="0.35">
      <c r="E35" s="97" t="s">
        <v>28</v>
      </c>
      <c r="F35" s="97"/>
      <c r="G35" s="97"/>
      <c r="H35" s="97"/>
      <c r="I35" s="97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5:26" x14ac:dyDescent="0.35"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5:26" x14ac:dyDescent="0.3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/>
      <c r="M37" s="14"/>
      <c r="N37" s="14"/>
      <c r="O37" s="14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5:26" ht="15" x14ac:dyDescent="0.35">
      <c r="E38" s="13" t="s">
        <v>0</v>
      </c>
      <c r="F38" s="12" t="s">
        <v>21</v>
      </c>
      <c r="G38" s="10">
        <f>4*G12</f>
        <v>1596</v>
      </c>
      <c r="H38" s="92">
        <v>1591</v>
      </c>
      <c r="I38" s="11">
        <f>1-G38/H38</f>
        <v>-3.14267756128217E-3</v>
      </c>
      <c r="L38" s="14"/>
      <c r="M38" s="14"/>
      <c r="N38" s="14"/>
      <c r="O38" s="14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5:26" ht="15" x14ac:dyDescent="0.35">
      <c r="E39" s="13" t="s">
        <v>1</v>
      </c>
      <c r="F39" s="86" t="s">
        <v>109</v>
      </c>
      <c r="G39" s="10">
        <f t="shared" ref="G39:G44" si="3">4*G13</f>
        <v>1144</v>
      </c>
      <c r="H39" s="82">
        <v>1143</v>
      </c>
      <c r="I39" s="11">
        <f t="shared" ref="I39:I44" si="4">1-G39/H39</f>
        <v>-8.7489063867018935E-4</v>
      </c>
      <c r="L39" s="14"/>
      <c r="M39" s="14"/>
      <c r="N39" s="14"/>
      <c r="O39" s="14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5:26" ht="15" x14ac:dyDescent="0.35">
      <c r="E40" s="13" t="s">
        <v>2</v>
      </c>
      <c r="F40" s="12" t="s">
        <v>23</v>
      </c>
      <c r="G40" s="10">
        <f t="shared" si="3"/>
        <v>1048</v>
      </c>
      <c r="H40" s="82">
        <v>1045</v>
      </c>
      <c r="I40" s="11">
        <f t="shared" si="4"/>
        <v>-2.870813397129135E-3</v>
      </c>
      <c r="L40" s="14"/>
      <c r="M40" s="14"/>
      <c r="N40" s="14"/>
      <c r="O40" s="14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5:26" ht="15" x14ac:dyDescent="0.35">
      <c r="E41" s="13" t="s">
        <v>3</v>
      </c>
      <c r="F41" s="92" t="s">
        <v>108</v>
      </c>
      <c r="G41" s="10">
        <f t="shared" si="3"/>
        <v>720</v>
      </c>
      <c r="H41" s="82">
        <v>719</v>
      </c>
      <c r="I41" s="7">
        <f t="shared" si="4"/>
        <v>-1.3908205841446364E-3</v>
      </c>
      <c r="L41" s="14"/>
      <c r="M41" s="14"/>
      <c r="N41" s="14"/>
      <c r="O41" s="14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5:26" ht="15" x14ac:dyDescent="0.35">
      <c r="E42" s="13" t="s">
        <v>19</v>
      </c>
      <c r="F42" t="s">
        <v>110</v>
      </c>
      <c r="G42" s="10">
        <f t="shared" si="3"/>
        <v>1172</v>
      </c>
      <c r="H42" s="81">
        <v>1170</v>
      </c>
      <c r="I42" s="11">
        <f t="shared" si="4"/>
        <v>-1.7094017094017033E-3</v>
      </c>
      <c r="L42" s="14"/>
      <c r="M42" s="14"/>
      <c r="N42" s="14"/>
      <c r="O42" s="14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5:26" ht="15" x14ac:dyDescent="0.35">
      <c r="E43" s="13" t="s">
        <v>5</v>
      </c>
      <c r="F43" s="12" t="s">
        <v>20</v>
      </c>
      <c r="G43" s="10">
        <f t="shared" si="3"/>
        <v>308</v>
      </c>
      <c r="H43" s="82">
        <v>307</v>
      </c>
      <c r="I43" s="11">
        <f t="shared" si="4"/>
        <v>-3.2573289902280145E-3</v>
      </c>
      <c r="L43" s="14"/>
      <c r="M43" s="14"/>
      <c r="N43" s="14"/>
      <c r="O43" s="14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5:26" ht="15" x14ac:dyDescent="0.35">
      <c r="E44" s="13" t="s">
        <v>6</v>
      </c>
      <c r="F44" s="12" t="s">
        <v>22</v>
      </c>
      <c r="G44" s="10">
        <f t="shared" si="3"/>
        <v>1276</v>
      </c>
      <c r="H44" s="91">
        <v>948</v>
      </c>
      <c r="I44" s="89">
        <f t="shared" si="4"/>
        <v>-0.34599156118143459</v>
      </c>
      <c r="J44" s="90"/>
      <c r="L44" s="14"/>
      <c r="M44" s="14"/>
      <c r="N44" s="14"/>
      <c r="O44" s="14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5:26" x14ac:dyDescent="0.35"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5:26" x14ac:dyDescent="0.35"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5:26" x14ac:dyDescent="0.35"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5:26" x14ac:dyDescent="0.35"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7:26" x14ac:dyDescent="0.35"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7:26" x14ac:dyDescent="0.35"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7:26" x14ac:dyDescent="0.35"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7:26" x14ac:dyDescent="0.35"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7:26" x14ac:dyDescent="0.35"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7:26" x14ac:dyDescent="0.35"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7:26" x14ac:dyDescent="0.35"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7:26" x14ac:dyDescent="0.35"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7:26" x14ac:dyDescent="0.35"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7:26" x14ac:dyDescent="0.35"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7:26" x14ac:dyDescent="0.35"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7:26" x14ac:dyDescent="0.35"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7:26" x14ac:dyDescent="0.35"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7:26" x14ac:dyDescent="0.35">
      <c r="Q62" s="83"/>
      <c r="R62" s="83"/>
      <c r="S62" s="83"/>
      <c r="T62" s="83"/>
      <c r="U62" s="83"/>
      <c r="V62" s="83"/>
      <c r="W62" s="83"/>
      <c r="X62" s="83"/>
      <c r="Y62" s="83"/>
      <c r="Z62" s="83"/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Соответствие</vt:lpstr>
      <vt:lpstr>SummaryReport</vt:lpstr>
      <vt:lpstr>Автоматизированный расчет</vt:lpstr>
      <vt:lpstr>Результаты всех тестов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Ann Safronova</cp:lastModifiedBy>
  <dcterms:created xsi:type="dcterms:W3CDTF">2015-06-05T18:19:34Z</dcterms:created>
  <dcterms:modified xsi:type="dcterms:W3CDTF">2023-06-11T10:55:47Z</dcterms:modified>
</cp:coreProperties>
</file>