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hidePivotFieldList="1"/>
  <bookViews>
    <workbookView xWindow="0" yWindow="495" windowWidth="19200" windowHeight="6435" activeTab="2"/>
  </bookViews>
  <sheets>
    <sheet name="Лист1" sheetId="6" r:id="rId1"/>
    <sheet name="Лист2" sheetId="7" r:id="rId2"/>
    <sheet name="Автоматизированный расчет" sheetId="3" r:id="rId3"/>
    <sheet name="Соответствие" sheetId="4" r:id="rId4"/>
    <sheet name="SummaryReport" sheetId="5" r:id="rId5"/>
    <sheet name="Результаты всех тестов" sheetId="2" r:id="rId6"/>
  </sheets>
  <calcPr calcId="124519"/>
  <pivotCaches>
    <pivotCache cacheId="3" r:id="rId7"/>
  </pivotCaches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9" i="3"/>
  <c r="G40"/>
  <c r="G41"/>
  <c r="G42"/>
  <c r="G43"/>
  <c r="G44"/>
  <c r="G45"/>
  <c r="G46"/>
  <c r="G47"/>
  <c r="G48"/>
  <c r="G49"/>
  <c r="H50"/>
  <c r="O3"/>
  <c r="O4"/>
  <c r="O5"/>
  <c r="O6"/>
  <c r="O7"/>
  <c r="O2"/>
  <c r="P6"/>
  <c r="D2"/>
  <c r="D14"/>
  <c r="G14"/>
  <c r="D35"/>
  <c r="G35"/>
  <c r="C46"/>
  <c r="C47"/>
  <c r="C39"/>
  <c r="C41"/>
  <c r="C48"/>
  <c r="C40"/>
  <c r="C45"/>
  <c r="C49"/>
  <c r="C43"/>
  <c r="C44"/>
  <c r="C42"/>
  <c r="G38"/>
  <c r="C38"/>
  <c r="C50" l="1"/>
  <c r="I44"/>
  <c r="D47"/>
  <c r="D26"/>
  <c r="R8"/>
  <c r="P3"/>
  <c r="E9" s="1"/>
  <c r="F9" s="1"/>
  <c r="P4"/>
  <c r="E16" s="1"/>
  <c r="F16" s="1"/>
  <c r="P5"/>
  <c r="E28" s="1"/>
  <c r="F28" s="1"/>
  <c r="E35"/>
  <c r="F35" s="1"/>
  <c r="H35" s="1"/>
  <c r="P7"/>
  <c r="E21" s="1"/>
  <c r="F21" s="1"/>
  <c r="P2"/>
  <c r="E2" s="1"/>
  <c r="D29"/>
  <c r="G29"/>
  <c r="G26"/>
  <c r="D22"/>
  <c r="G22"/>
  <c r="D7"/>
  <c r="G7"/>
  <c r="G34"/>
  <c r="D34"/>
  <c r="G33"/>
  <c r="D33"/>
  <c r="G32"/>
  <c r="D32"/>
  <c r="G31"/>
  <c r="D31"/>
  <c r="G30"/>
  <c r="E30"/>
  <c r="F30" s="1"/>
  <c r="D30"/>
  <c r="G28"/>
  <c r="D28"/>
  <c r="G27"/>
  <c r="D27"/>
  <c r="G25"/>
  <c r="D25"/>
  <c r="G24"/>
  <c r="D24"/>
  <c r="G23"/>
  <c r="D23"/>
  <c r="G21"/>
  <c r="D21"/>
  <c r="G20"/>
  <c r="D20"/>
  <c r="G19"/>
  <c r="E19"/>
  <c r="F19" s="1"/>
  <c r="D19"/>
  <c r="G18"/>
  <c r="D18"/>
  <c r="G17"/>
  <c r="D17"/>
  <c r="G16"/>
  <c r="D16"/>
  <c r="G15"/>
  <c r="D15"/>
  <c r="G13"/>
  <c r="E13"/>
  <c r="F13" s="1"/>
  <c r="D13"/>
  <c r="G12"/>
  <c r="D12"/>
  <c r="G11"/>
  <c r="D11"/>
  <c r="G10"/>
  <c r="D10"/>
  <c r="G9"/>
  <c r="D9"/>
  <c r="B50"/>
  <c r="E33" l="1"/>
  <c r="F33" s="1"/>
  <c r="H33" s="1"/>
  <c r="E22"/>
  <c r="F22" s="1"/>
  <c r="H22" s="1"/>
  <c r="E20"/>
  <c r="F20" s="1"/>
  <c r="H20" s="1"/>
  <c r="E24"/>
  <c r="F24" s="1"/>
  <c r="H24" s="1"/>
  <c r="E25"/>
  <c r="F25" s="1"/>
  <c r="H25" s="1"/>
  <c r="E26"/>
  <c r="F26" s="1"/>
  <c r="E23"/>
  <c r="F23" s="1"/>
  <c r="H23" s="1"/>
  <c r="E15"/>
  <c r="F15" s="1"/>
  <c r="H15" s="1"/>
  <c r="E34"/>
  <c r="F34" s="1"/>
  <c r="H34" s="1"/>
  <c r="E31"/>
  <c r="F31" s="1"/>
  <c r="H31" s="1"/>
  <c r="E32"/>
  <c r="F32" s="1"/>
  <c r="H32" s="1"/>
  <c r="E27"/>
  <c r="F27" s="1"/>
  <c r="H27" s="1"/>
  <c r="E29"/>
  <c r="F29" s="1"/>
  <c r="H29" s="1"/>
  <c r="E17"/>
  <c r="F17" s="1"/>
  <c r="H17" s="1"/>
  <c r="E18"/>
  <c r="F18" s="1"/>
  <c r="H18" s="1"/>
  <c r="E11"/>
  <c r="F11" s="1"/>
  <c r="H11" s="1"/>
  <c r="E12"/>
  <c r="F12" s="1"/>
  <c r="H12" s="1"/>
  <c r="E14"/>
  <c r="F14" s="1"/>
  <c r="H14" s="1"/>
  <c r="E10"/>
  <c r="F10" s="1"/>
  <c r="H10" s="1"/>
  <c r="E7"/>
  <c r="F7" s="1"/>
  <c r="H7" s="1"/>
  <c r="E3"/>
  <c r="H26"/>
  <c r="H9"/>
  <c r="H19"/>
  <c r="H13"/>
  <c r="H16"/>
  <c r="H28"/>
  <c r="H30"/>
  <c r="H21"/>
  <c r="G3"/>
  <c r="G4" l="1"/>
  <c r="G5"/>
  <c r="G6"/>
  <c r="G8"/>
  <c r="G2"/>
  <c r="D5"/>
  <c r="E5"/>
  <c r="F5" s="1"/>
  <c r="D40" l="1"/>
  <c r="D3" l="1"/>
  <c r="F3"/>
  <c r="W2"/>
  <c r="S7" s="1"/>
  <c r="I40" l="1"/>
  <c r="A3" i="4" l="1"/>
  <c r="A4"/>
  <c r="A5"/>
  <c r="A6"/>
  <c r="A7"/>
  <c r="A8"/>
  <c r="A9"/>
  <c r="A10"/>
  <c r="A11"/>
  <c r="A12"/>
  <c r="A13"/>
  <c r="A2"/>
  <c r="F2" i="3" l="1"/>
  <c r="T7"/>
  <c r="H2" l="1"/>
  <c r="I46"/>
  <c r="I47"/>
  <c r="I48"/>
  <c r="G50" l="1"/>
  <c r="I50" s="1"/>
  <c r="D38"/>
  <c r="D48"/>
  <c r="D49"/>
  <c r="S6" l="1"/>
  <c r="S5"/>
  <c r="S3"/>
  <c r="S4"/>
  <c r="S2"/>
  <c r="T2"/>
  <c r="T6"/>
  <c r="T3"/>
  <c r="V3" l="1"/>
  <c r="V2"/>
  <c r="H5"/>
  <c r="H3"/>
  <c r="S8"/>
  <c r="T5"/>
  <c r="V5" s="1"/>
  <c r="T4"/>
  <c r="I38"/>
  <c r="D39"/>
  <c r="V6"/>
  <c r="D6"/>
  <c r="I41"/>
  <c r="D4"/>
  <c r="D8"/>
  <c r="E8"/>
  <c r="F8" s="1"/>
  <c r="E6"/>
  <c r="F6" s="1"/>
  <c r="E4"/>
  <c r="F4" s="1"/>
  <c r="D42"/>
  <c r="G44" i="2"/>
  <c r="G43"/>
  <c r="I43" s="1"/>
  <c r="G42"/>
  <c r="I42" s="1"/>
  <c r="G41"/>
  <c r="G40"/>
  <c r="G39"/>
  <c r="I39" s="1"/>
  <c r="G38"/>
  <c r="I38" s="1"/>
  <c r="H32"/>
  <c r="H31"/>
  <c r="H30"/>
  <c r="H29"/>
  <c r="H28"/>
  <c r="G32"/>
  <c r="G31"/>
  <c r="G30"/>
  <c r="G29"/>
  <c r="G28"/>
  <c r="H27"/>
  <c r="G27"/>
  <c r="H26"/>
  <c r="G26"/>
  <c r="H12"/>
  <c r="I12" s="1"/>
  <c r="H13"/>
  <c r="I13" s="1"/>
  <c r="H14"/>
  <c r="I14" s="1"/>
  <c r="H15"/>
  <c r="I15" s="1"/>
  <c r="H16"/>
  <c r="I16" s="1"/>
  <c r="H17"/>
  <c r="I17" s="1"/>
  <c r="H18"/>
  <c r="I18" s="1"/>
  <c r="V4" i="3" l="1"/>
  <c r="V7" s="1"/>
  <c r="I49"/>
  <c r="D45"/>
  <c r="I45"/>
  <c r="D46"/>
  <c r="I39"/>
  <c r="D41"/>
  <c r="I42"/>
  <c r="D43"/>
  <c r="D44"/>
  <c r="I43"/>
  <c r="H4"/>
  <c r="H6"/>
  <c r="H8"/>
  <c r="I40" i="2"/>
  <c r="I44"/>
  <c r="I41"/>
  <c r="I32"/>
  <c r="I31"/>
  <c r="I30"/>
  <c r="I29"/>
  <c r="I28"/>
  <c r="I27"/>
  <c r="I26"/>
  <c r="D50" i="3" l="1"/>
</calcChain>
</file>

<file path=xl/sharedStrings.xml><?xml version="1.0" encoding="utf-8"?>
<sst xmlns="http://schemas.openxmlformats.org/spreadsheetml/2006/main" count="299" uniqueCount="119">
  <si>
    <t>Вход в систему</t>
  </si>
  <si>
    <t>Заполнение полей для поиска билета</t>
  </si>
  <si>
    <t>Выбор рейса из найденных</t>
  </si>
  <si>
    <t>Оплата билета</t>
  </si>
  <si>
    <t>Просмотр квитанций</t>
  </si>
  <si>
    <t>Отмена бронирования билета</t>
  </si>
  <si>
    <t>Выход из системы</t>
  </si>
  <si>
    <t>Итого</t>
  </si>
  <si>
    <t>Покупка билета</t>
  </si>
  <si>
    <t xml:space="preserve">Удаление бронирования </t>
  </si>
  <si>
    <t>Ознакомление с путевым листом</t>
  </si>
  <si>
    <t xml:space="preserve">Заполнение полей для поиска билета </t>
  </si>
  <si>
    <t xml:space="preserve">Выбор рейса из найденных </t>
  </si>
  <si>
    <t xml:space="preserve">Отмена бронирования </t>
  </si>
  <si>
    <t>Наименование операции</t>
  </si>
  <si>
    <t>Наименование транзакции</t>
  </si>
  <si>
    <t>По профилю</t>
  </si>
  <si>
    <t>По факту</t>
  </si>
  <si>
    <t>% отклонения</t>
  </si>
  <si>
    <t>payment_details</t>
  </si>
  <si>
    <t>Просмотр квитанции</t>
  </si>
  <si>
    <t>Cancel_reservation</t>
  </si>
  <si>
    <t>Check_ticket</t>
  </si>
  <si>
    <t>fing_flight</t>
  </si>
  <si>
    <t>login</t>
  </si>
  <si>
    <t>logout</t>
  </si>
  <si>
    <t>select_ticket</t>
  </si>
  <si>
    <t>Transaction Name</t>
  </si>
  <si>
    <t>Pass</t>
  </si>
  <si>
    <t>Fail</t>
  </si>
  <si>
    <t>Stop</t>
  </si>
  <si>
    <t>Поиск максимума 3 ступень</t>
  </si>
  <si>
    <t>Подтверждение максимума</t>
  </si>
  <si>
    <t>Профиль для 5 пользаков</t>
  </si>
  <si>
    <t>1 315,</t>
  </si>
  <si>
    <t>1 970,</t>
  </si>
  <si>
    <t>1 675,</t>
  </si>
  <si>
    <t>Script name</t>
  </si>
  <si>
    <t>transaction rq</t>
  </si>
  <si>
    <t>count</t>
  </si>
  <si>
    <t>Операция (бизнес процесс)</t>
  </si>
  <si>
    <t>VU</t>
  </si>
  <si>
    <t>Duration</t>
  </si>
  <si>
    <t>Think_time</t>
  </si>
  <si>
    <t>Pacing</t>
  </si>
  <si>
    <t>Длительность ступени в минутах</t>
  </si>
  <si>
    <t>Интенсивность операций</t>
  </si>
  <si>
    <t>% Распределения пользователей</t>
  </si>
  <si>
    <t>Всего пользователей на ступени</t>
  </si>
  <si>
    <t>Сумма по полю Итого</t>
  </si>
  <si>
    <t>pacing</t>
  </si>
  <si>
    <t>одним пользователем в минуту</t>
  </si>
  <si>
    <t>Длительность ступени</t>
  </si>
  <si>
    <t>Расчетная интенсивность запросов / 20 мин</t>
  </si>
  <si>
    <t>Расчетная интенсивность запросов / час</t>
  </si>
  <si>
    <t>% Соотвествия расчетанной интенсивности статистики</t>
  </si>
  <si>
    <t>Интенсивность по статистике запросов / час</t>
  </si>
  <si>
    <t>Фактическая интенсивность в тесте</t>
  </si>
  <si>
    <t>% Отклонение от Профиля</t>
  </si>
  <si>
    <t>Регистрация новых пользователей</t>
  </si>
  <si>
    <t>Главная Welcome страница</t>
  </si>
  <si>
    <t>Заполнение полей регистарции</t>
  </si>
  <si>
    <t>Перход на страницу регистрации</t>
  </si>
  <si>
    <t>Переход на следуюущий эран после регистарции</t>
  </si>
  <si>
    <t>Поиск билета без покупки</t>
  </si>
  <si>
    <t>Логин</t>
  </si>
  <si>
    <t>Операций/час = количество операций одним пользователем в час (60 * количество операций один пользователем в минуту (pacing / 60)) * кол-во пользователей</t>
  </si>
  <si>
    <t>Переход на страницу поиска билетов</t>
  </si>
  <si>
    <t>Название запроса</t>
  </si>
  <si>
    <t>Статистика с ПРОДа</t>
  </si>
  <si>
    <t>Имя в статистике</t>
  </si>
  <si>
    <t>Имя в скрипте</t>
  </si>
  <si>
    <t>open_home_page</t>
  </si>
  <si>
    <t>SLA Status</t>
  </si>
  <si>
    <t>Minimum</t>
  </si>
  <si>
    <t>Average</t>
  </si>
  <si>
    <t>Maximum</t>
  </si>
  <si>
    <t>Std. Deviation</t>
  </si>
  <si>
    <t>90 Percent</t>
  </si>
  <si>
    <t>No Data</t>
  </si>
  <si>
    <t>click_flights</t>
  </si>
  <si>
    <t>find_flight</t>
  </si>
  <si>
    <t>ScriptName</t>
  </si>
  <si>
    <t>Duration + Think_time</t>
  </si>
  <si>
    <t>Action_Transaction</t>
  </si>
  <si>
    <t>openHomePage</t>
  </si>
  <si>
    <t>paymentDetails</t>
  </si>
  <si>
    <t>Профиль</t>
  </si>
  <si>
    <t>cancelChecked</t>
  </si>
  <si>
    <t>clickFlights</t>
  </si>
  <si>
    <t>clickItinerary</t>
  </si>
  <si>
    <t>confirmSignUp</t>
  </si>
  <si>
    <t>findFlight</t>
  </si>
  <si>
    <t>profileDataEntry</t>
  </si>
  <si>
    <t>selectTicket</t>
  </si>
  <si>
    <t>signOff</t>
  </si>
  <si>
    <t>signUp</t>
  </si>
  <si>
    <t>UC01_registration</t>
  </si>
  <si>
    <t>UC02_searchTicket_withoutBuy</t>
  </si>
  <si>
    <t>UC03_viewingItinerary</t>
  </si>
  <si>
    <t>UC04_buyTicket</t>
  </si>
  <si>
    <t>UC05_deleteTicket</t>
  </si>
  <si>
    <t>UC06_searchTicket_withoutSelectFlight</t>
  </si>
  <si>
    <t>UC07_login</t>
  </si>
  <si>
    <t>Jmeter, throughput per minute</t>
  </si>
  <si>
    <t>Названия строк</t>
  </si>
  <si>
    <t>Общий итог</t>
  </si>
  <si>
    <t>Столбец1</t>
  </si>
  <si>
    <t>кол-во Think_time в скрипте</t>
  </si>
  <si>
    <t>add_register_data</t>
  </si>
  <si>
    <t>choose_Flight</t>
  </si>
  <si>
    <t>choose_Flight_param</t>
  </si>
  <si>
    <t>delete_random_Intinerary</t>
  </si>
  <si>
    <t>open_Flights_page</t>
  </si>
  <si>
    <t>open_Itinerary_list</t>
  </si>
  <si>
    <t>open_homepage</t>
  </si>
  <si>
    <t>open_intro_page</t>
  </si>
  <si>
    <t>open_signuppage</t>
  </si>
  <si>
    <t>submit_data</t>
  </si>
</sst>
</file>

<file path=xl/styles.xml><?xml version="1.0" encoding="utf-8"?>
<styleSheet xmlns="http://schemas.openxmlformats.org/spreadsheetml/2006/main"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sz val="11"/>
      <name val="Times New Roman"/>
      <family val="1"/>
      <charset val="204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9C6500"/>
      <name val="Calibri"/>
      <family val="2"/>
      <charset val="204"/>
      <scheme val="minor"/>
    </font>
    <font>
      <sz val="11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80">
    <xf numFmtId="0" fontId="0" fillId="0" borderId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4" fillId="0" borderId="0"/>
    <xf numFmtId="0" fontId="15" fillId="0" borderId="0" applyNumberForma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6" borderId="6" applyNumberFormat="0" applyAlignment="0" applyProtection="0"/>
    <xf numFmtId="0" fontId="20" fillId="7" borderId="7" applyNumberFormat="0" applyAlignment="0" applyProtection="0"/>
    <xf numFmtId="0" fontId="21" fillId="7" borderId="6" applyNumberFormat="0" applyAlignment="0" applyProtection="0"/>
    <xf numFmtId="0" fontId="22" fillId="0" borderId="8" applyNumberFormat="0" applyFill="0" applyAlignment="0" applyProtection="0"/>
    <xf numFmtId="0" fontId="23" fillId="8" borderId="9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11" fillId="0" borderId="11" applyNumberFormat="0" applyFill="0" applyAlignment="0" applyProtection="0"/>
    <xf numFmtId="0" fontId="26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26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26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1" borderId="0" applyNumberFormat="0" applyBorder="0" applyAlignment="0" applyProtection="0"/>
    <xf numFmtId="0" fontId="26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5" borderId="0" applyNumberFormat="0" applyBorder="0" applyAlignment="0" applyProtection="0"/>
    <xf numFmtId="0" fontId="26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29" borderId="0" applyNumberFormat="0" applyBorder="0" applyAlignment="0" applyProtection="0"/>
    <xf numFmtId="0" fontId="26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3" borderId="0" applyNumberFormat="0" applyBorder="0" applyAlignment="0" applyProtection="0"/>
    <xf numFmtId="0" fontId="3" fillId="0" borderId="0"/>
    <xf numFmtId="0" fontId="3" fillId="9" borderId="10" applyNumberFormat="0" applyFont="0" applyAlignment="0" applyProtection="0"/>
    <xf numFmtId="9" fontId="27" fillId="0" borderId="0" applyFont="0" applyFill="0" applyBorder="0" applyAlignment="0" applyProtection="0"/>
    <xf numFmtId="0" fontId="2" fillId="0" borderId="0"/>
    <xf numFmtId="0" fontId="29" fillId="4" borderId="0" applyNumberFormat="0" applyBorder="0" applyAlignment="0" applyProtection="0"/>
    <xf numFmtId="0" fontId="2" fillId="9" borderId="10" applyNumberFormat="0" applyFont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6" fillId="13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6" fillId="17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6" fillId="21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6" fillId="25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6" fillId="29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6" fillId="33" borderId="0" applyNumberFormat="0" applyBorder="0" applyAlignment="0" applyProtection="0"/>
    <xf numFmtId="0" fontId="1" fillId="0" borderId="0"/>
    <xf numFmtId="0" fontId="1" fillId="9" borderId="10" applyNumberFormat="0" applyFont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1">
    <xf numFmtId="0" fontId="0" fillId="0" borderId="0" xfId="0"/>
    <xf numFmtId="0" fontId="12" fillId="5" borderId="1" xfId="0" applyFont="1" applyFill="1" applyBorder="1" applyAlignment="1">
      <alignment horizontal="center" vertical="top" wrapText="1"/>
    </xf>
    <xf numFmtId="0" fontId="13" fillId="0" borderId="2" xfId="0" applyFont="1" applyBorder="1" applyAlignment="1">
      <alignment horizontal="left" vertical="top" wrapText="1"/>
    </xf>
    <xf numFmtId="0" fontId="11" fillId="0" borderId="2" xfId="4" applyFont="1" applyBorder="1" applyAlignment="1">
      <alignment horizontal="center" vertical="top"/>
    </xf>
    <xf numFmtId="0" fontId="12" fillId="0" borderId="2" xfId="0" applyFont="1" applyBorder="1" applyAlignment="1">
      <alignment horizontal="center" vertical="top"/>
    </xf>
    <xf numFmtId="10" fontId="12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center" vertical="top"/>
    </xf>
    <xf numFmtId="10" fontId="14" fillId="0" borderId="2" xfId="0" applyNumberFormat="1" applyFont="1" applyBorder="1" applyAlignment="1">
      <alignment horizontal="left" vertical="top"/>
    </xf>
    <xf numFmtId="0" fontId="12" fillId="5" borderId="2" xfId="0" applyFont="1" applyFill="1" applyBorder="1" applyAlignment="1">
      <alignment horizontal="left" vertical="top"/>
    </xf>
    <xf numFmtId="0" fontId="3" fillId="0" borderId="2" xfId="42" applyBorder="1"/>
    <xf numFmtId="0" fontId="12" fillId="0" borderId="2" xfId="0" applyFont="1" applyBorder="1" applyAlignment="1">
      <alignment horizontal="left" vertical="top"/>
    </xf>
    <xf numFmtId="10" fontId="12" fillId="0" borderId="2" xfId="0" applyNumberFormat="1" applyFont="1" applyBorder="1" applyAlignment="1">
      <alignment horizontal="left" vertical="top"/>
    </xf>
    <xf numFmtId="0" fontId="11" fillId="0" borderId="2" xfId="4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  <xf numFmtId="0" fontId="3" fillId="0" borderId="0" xfId="42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37" borderId="2" xfId="0" applyFill="1" applyBorder="1"/>
    <xf numFmtId="9" fontId="0" fillId="0" borderId="2" xfId="44" applyFont="1" applyBorder="1"/>
    <xf numFmtId="9" fontId="0" fillId="38" borderId="2" xfId="44" applyFont="1" applyFill="1" applyBorder="1"/>
    <xf numFmtId="0" fontId="7" fillId="0" borderId="2" xfId="0" applyFont="1" applyBorder="1" applyAlignment="1">
      <alignment vertical="center" wrapText="1"/>
    </xf>
    <xf numFmtId="0" fontId="0" fillId="40" borderId="2" xfId="0" applyFill="1" applyBorder="1"/>
    <xf numFmtId="0" fontId="0" fillId="0" borderId="0" xfId="0" applyAlignment="1">
      <alignment horizontal="center"/>
    </xf>
    <xf numFmtId="1" fontId="0" fillId="35" borderId="2" xfId="0" applyNumberFormat="1" applyFill="1" applyBorder="1"/>
    <xf numFmtId="0" fontId="7" fillId="39" borderId="15" xfId="0" applyFont="1" applyFill="1" applyBorder="1" applyAlignment="1">
      <alignment vertical="center" wrapText="1"/>
    </xf>
    <xf numFmtId="0" fontId="5" fillId="39" borderId="15" xfId="0" applyFont="1" applyFill="1" applyBorder="1" applyAlignment="1">
      <alignment horizontal="left" vertical="center" wrapText="1"/>
    </xf>
    <xf numFmtId="0" fontId="5" fillId="35" borderId="15" xfId="0" applyFont="1" applyFill="1" applyBorder="1" applyAlignment="1">
      <alignment horizontal="left" vertical="center" wrapText="1"/>
    </xf>
    <xf numFmtId="0" fontId="6" fillId="39" borderId="16" xfId="0" applyFont="1" applyFill="1" applyBorder="1" applyAlignment="1">
      <alignment horizontal="left" vertical="center" wrapText="1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9" fontId="0" fillId="0" borderId="0" xfId="44" applyFont="1" applyBorder="1"/>
    <xf numFmtId="0" fontId="7" fillId="0" borderId="0" xfId="0" applyFont="1" applyAlignment="1">
      <alignment vertical="center" wrapText="1"/>
    </xf>
    <xf numFmtId="1" fontId="0" fillId="36" borderId="2" xfId="0" applyNumberFormat="1" applyFill="1" applyBorder="1"/>
    <xf numFmtId="0" fontId="0" fillId="39" borderId="2" xfId="0" applyFill="1" applyBorder="1"/>
    <xf numFmtId="1" fontId="0" fillId="37" borderId="2" xfId="0" applyNumberFormat="1" applyFill="1" applyBorder="1"/>
    <xf numFmtId="1" fontId="0" fillId="0" borderId="2" xfId="0" applyNumberFormat="1" applyBorder="1"/>
    <xf numFmtId="2" fontId="0" fillId="0" borderId="0" xfId="44" applyNumberFormat="1" applyFont="1" applyBorder="1"/>
    <xf numFmtId="0" fontId="0" fillId="40" borderId="20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5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35" borderId="20" xfId="0" applyFill="1" applyBorder="1"/>
    <xf numFmtId="9" fontId="0" fillId="0" borderId="2" xfId="0" applyNumberFormat="1" applyBorder="1"/>
    <xf numFmtId="0" fontId="0" fillId="0" borderId="29" xfId="0" applyBorder="1"/>
    <xf numFmtId="0" fontId="28" fillId="0" borderId="25" xfId="0" applyFont="1" applyBorder="1"/>
    <xf numFmtId="0" fontId="28" fillId="0" borderId="0" xfId="0" applyFont="1"/>
    <xf numFmtId="1" fontId="28" fillId="0" borderId="0" xfId="0" applyNumberFormat="1" applyFont="1"/>
    <xf numFmtId="9" fontId="0" fillId="0" borderId="30" xfId="0" applyNumberFormat="1" applyBorder="1"/>
    <xf numFmtId="0" fontId="7" fillId="39" borderId="20" xfId="0" applyFont="1" applyFill="1" applyBorder="1" applyAlignment="1">
      <alignment vertical="center" wrapText="1"/>
    </xf>
    <xf numFmtId="0" fontId="5" fillId="39" borderId="20" xfId="0" applyFont="1" applyFill="1" applyBorder="1" applyAlignment="1">
      <alignment horizontal="center" vertical="center" wrapText="1"/>
    </xf>
    <xf numFmtId="0" fontId="5" fillId="39" borderId="33" xfId="0" applyFont="1" applyFill="1" applyBorder="1" applyAlignment="1">
      <alignment horizontal="center" vertical="center" wrapText="1"/>
    </xf>
    <xf numFmtId="1" fontId="5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0" fillId="0" borderId="2" xfId="0" applyBorder="1"/>
    <xf numFmtId="0" fontId="1" fillId="0" borderId="0" xfId="66"/>
    <xf numFmtId="0" fontId="30" fillId="0" borderId="28" xfId="0" applyFont="1" applyBorder="1"/>
    <xf numFmtId="0" fontId="0" fillId="40" borderId="12" xfId="0" applyFill="1" applyBorder="1"/>
    <xf numFmtId="0" fontId="0" fillId="40" borderId="34" xfId="0" applyFill="1" applyBorder="1"/>
    <xf numFmtId="0" fontId="30" fillId="42" borderId="25" xfId="0" applyFont="1" applyFill="1" applyBorder="1"/>
    <xf numFmtId="2" fontId="30" fillId="42" borderId="2" xfId="0" applyNumberFormat="1" applyFont="1" applyFill="1" applyBorder="1"/>
    <xf numFmtId="0" fontId="0" fillId="43" borderId="2" xfId="0" applyFill="1" applyBorder="1"/>
    <xf numFmtId="0" fontId="0" fillId="43" borderId="20" xfId="0" applyFill="1" applyBorder="1"/>
    <xf numFmtId="0" fontId="0" fillId="0" borderId="0" xfId="0" applyBorder="1"/>
    <xf numFmtId="0" fontId="0" fillId="43" borderId="34" xfId="0" applyFill="1" applyBorder="1"/>
    <xf numFmtId="0" fontId="0" fillId="5" borderId="12" xfId="0" applyFill="1" applyBorder="1"/>
    <xf numFmtId="0" fontId="0" fillId="43" borderId="0" xfId="0" applyFill="1"/>
    <xf numFmtId="1" fontId="0" fillId="5" borderId="2" xfId="0" applyNumberFormat="1" applyFill="1" applyBorder="1"/>
    <xf numFmtId="0" fontId="0" fillId="41" borderId="13" xfId="0" applyFill="1" applyBorder="1" applyAlignment="1">
      <alignment horizontal="center"/>
    </xf>
    <xf numFmtId="0" fontId="0" fillId="41" borderId="14" xfId="0" applyFill="1" applyBorder="1" applyAlignment="1">
      <alignment horizontal="center"/>
    </xf>
    <xf numFmtId="0" fontId="0" fillId="41" borderId="31" xfId="0" applyFill="1" applyBorder="1" applyAlignment="1">
      <alignment horizontal="center"/>
    </xf>
    <xf numFmtId="0" fontId="0" fillId="41" borderId="32" xfId="0" applyFill="1" applyBorder="1" applyAlignment="1">
      <alignment horizontal="center"/>
    </xf>
    <xf numFmtId="0" fontId="0" fillId="34" borderId="0" xfId="0" applyFill="1" applyAlignment="1">
      <alignment horizontal="center"/>
    </xf>
  </cellXfs>
  <cellStyles count="80">
    <cellStyle name="20% - Акцент1" xfId="19" builtinId="30" customBuiltin="1"/>
    <cellStyle name="20% — акцент1 2" xfId="48"/>
    <cellStyle name="20% — акцент1 3" xfId="68"/>
    <cellStyle name="20% - Акцент2" xfId="23" builtinId="34" customBuiltin="1"/>
    <cellStyle name="20% — акцент2 2" xfId="51"/>
    <cellStyle name="20% — акцент2 3" xfId="70"/>
    <cellStyle name="20% - Акцент3" xfId="27" builtinId="38" customBuiltin="1"/>
    <cellStyle name="20% — акцент3 2" xfId="54"/>
    <cellStyle name="20% — акцент3 3" xfId="72"/>
    <cellStyle name="20% - Акцент4" xfId="31" builtinId="42" customBuiltin="1"/>
    <cellStyle name="20% — акцент4 2" xfId="57"/>
    <cellStyle name="20% — акцент4 3" xfId="74"/>
    <cellStyle name="20% - Акцент5" xfId="35" builtinId="46" customBuiltin="1"/>
    <cellStyle name="20% — акцент5 2" xfId="60"/>
    <cellStyle name="20% — акцент5 3" xfId="76"/>
    <cellStyle name="20% - Акцент6" xfId="39" builtinId="50" customBuiltin="1"/>
    <cellStyle name="20% — акцент6 2" xfId="63"/>
    <cellStyle name="20% — акцент6 3" xfId="78"/>
    <cellStyle name="40% - Акцент1" xfId="20" builtinId="31" customBuiltin="1"/>
    <cellStyle name="40% — акцент1 2" xfId="49"/>
    <cellStyle name="40% — акцент1 3" xfId="69"/>
    <cellStyle name="40% - Акцент2" xfId="24" builtinId="35" customBuiltin="1"/>
    <cellStyle name="40% — акцент2 2" xfId="52"/>
    <cellStyle name="40% — акцент2 3" xfId="71"/>
    <cellStyle name="40% - Акцент3" xfId="28" builtinId="39" customBuiltin="1"/>
    <cellStyle name="40% — акцент3 2" xfId="55"/>
    <cellStyle name="40% — акцент3 3" xfId="73"/>
    <cellStyle name="40% - Акцент4" xfId="32" builtinId="43" customBuiltin="1"/>
    <cellStyle name="40% — акцент4 2" xfId="58"/>
    <cellStyle name="40% — акцент4 3" xfId="75"/>
    <cellStyle name="40% - Акцент5" xfId="36" builtinId="47" customBuiltin="1"/>
    <cellStyle name="40% — акцент5 2" xfId="61"/>
    <cellStyle name="40% — акцент5 3" xfId="77"/>
    <cellStyle name="40% - Акцент6" xfId="40" builtinId="51" customBuiltin="1"/>
    <cellStyle name="40% — акцент6 2" xfId="64"/>
    <cellStyle name="40% — акцент6 3" xfId="79"/>
    <cellStyle name="60% - Акцент1" xfId="21" builtinId="32" customBuiltin="1"/>
    <cellStyle name="60% — акцент1 2" xfId="50"/>
    <cellStyle name="60% - Акцент2" xfId="25" builtinId="36" customBuiltin="1"/>
    <cellStyle name="60% — акцент2 2" xfId="53"/>
    <cellStyle name="60% - Акцент3" xfId="29" builtinId="40" customBuiltin="1"/>
    <cellStyle name="60% — акцент3 2" xfId="56"/>
    <cellStyle name="60% - Акцент4" xfId="33" builtinId="44" customBuiltin="1"/>
    <cellStyle name="60% — акцент4 2" xfId="59"/>
    <cellStyle name="60% - Акцент5" xfId="37" builtinId="48" customBuiltin="1"/>
    <cellStyle name="60% — акцент5 2" xfId="62"/>
    <cellStyle name="60% - Акцент6" xfId="41" builtinId="52" customBuiltin="1"/>
    <cellStyle name="60% — акцент6 2" xfId="65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10" builtinId="20" customBuiltin="1"/>
    <cellStyle name="Вывод" xfId="11" builtinId="21" customBuiltin="1"/>
    <cellStyle name="Вычисление" xfId="12" builtinId="22" customBuiltin="1"/>
    <cellStyle name="Заголовок 1" xfId="6" builtinId="16" customBuiltin="1"/>
    <cellStyle name="Заголовок 2" xfId="7" builtinId="17" customBuiltin="1"/>
    <cellStyle name="Заголовок 3" xfId="8" builtinId="18" customBuiltin="1"/>
    <cellStyle name="Заголовок 4" xfId="9" builtinId="19" customBuiltin="1"/>
    <cellStyle name="Итог" xfId="17" builtinId="25" customBuiltin="1"/>
    <cellStyle name="Контрольная ячейка" xfId="14" builtinId="23" customBuiltin="1"/>
    <cellStyle name="Название" xfId="5" builtinId="15" customBuiltin="1"/>
    <cellStyle name="Нейтральный" xfId="3" builtinId="28" customBuiltin="1"/>
    <cellStyle name="Нейтральный 2" xfId="46"/>
    <cellStyle name="Обычный" xfId="0" builtinId="0"/>
    <cellStyle name="Обычный 2" xfId="4"/>
    <cellStyle name="Обычный 3" xfId="42"/>
    <cellStyle name="Обычный 4" xfId="45"/>
    <cellStyle name="Обычный 5" xfId="66"/>
    <cellStyle name="Плохой" xfId="2" builtinId="27" customBuiltin="1"/>
    <cellStyle name="Пояснение" xfId="16" builtinId="53" customBuiltin="1"/>
    <cellStyle name="Примечание 2" xfId="43"/>
    <cellStyle name="Примечание 3" xfId="47"/>
    <cellStyle name="Примечание 4" xfId="67"/>
    <cellStyle name="Процентный" xfId="44" builtinId="5"/>
    <cellStyle name="Связанная ячейка" xfId="13" builtinId="24" customBuiltin="1"/>
    <cellStyle name="Текст предупреждения" xfId="15" builtinId="11" customBuiltin="1"/>
    <cellStyle name="Хороший" xfId="1" builtinId="26" customBuiltin="1"/>
  </cellStyles>
  <dxfs count="14">
    <dxf>
      <numFmt numFmtId="168" formatCode="0.000000"/>
    </dxf>
    <dxf>
      <numFmt numFmtId="167" formatCode="0.00000"/>
    </dxf>
    <dxf>
      <numFmt numFmtId="166" formatCode="0.0000"/>
    </dxf>
    <dxf>
      <numFmt numFmtId="165" formatCode="0.000"/>
    </dxf>
    <dxf>
      <numFmt numFmtId="2" formatCode="0.00"/>
    </dxf>
    <dxf>
      <numFmt numFmtId="164" formatCode="0.0"/>
    </dxf>
    <dxf>
      <numFmt numFmtId="1" formatCode="0"/>
    </dxf>
    <dxf>
      <numFmt numFmtId="1" formatCode="0"/>
    </dxf>
    <dxf>
      <numFmt numFmtId="164" formatCode="0.0"/>
    </dxf>
    <dxf>
      <numFmt numFmtId="2" formatCode="0.00"/>
    </dxf>
    <dxf>
      <numFmt numFmtId="165" formatCode="0.000"/>
    </dxf>
    <dxf>
      <numFmt numFmtId="166" formatCode="0.0000"/>
    </dxf>
    <dxf>
      <numFmt numFmtId="167" formatCode="0.00000"/>
    </dxf>
    <dxf>
      <numFmt numFmtId="168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Рабочий" refreshedDate="45637.938039236113" createdVersion="3" refreshedVersion="3" minRefreshableVersion="3" recordCount="34">
  <cacheSource type="worksheet">
    <worksheetSource ref="A1:H35" sheet="Автоматизированный расчет"/>
  </cacheSource>
  <cacheFields count="8">
    <cacheField name="Script name" numFmtId="0">
      <sharedItems/>
    </cacheField>
    <cacheField name="transaction rq" numFmtId="0">
      <sharedItems count="12">
        <s v="Главная Welcome страница"/>
        <s v="Вход в систему"/>
        <s v="Переход на страницу поиска билетов"/>
        <s v="Заполнение полей для поиска билета "/>
        <s v="Выбор рейса из найденных "/>
        <s v="Оплата билета"/>
        <s v="Выход из системы"/>
        <s v="Просмотр квитанций"/>
        <s v="Отмена бронирования "/>
        <s v="Перход на страницу регистрации"/>
        <s v="Заполнение полей регистарции"/>
        <s v="Переход на следуюущий эран после регистарции"/>
      </sharedItems>
    </cacheField>
    <cacheField name="count" numFmtId="0">
      <sharedItems containsSemiMixedTypes="0" containsString="0" containsNumber="1" containsInteger="1" minValue="0" maxValue="3"/>
    </cacheField>
    <cacheField name="VU" numFmtId="0">
      <sharedItems containsSemiMixedTypes="0" containsString="0" containsNumber="1" containsInteger="1" minValue="0" maxValue="3"/>
    </cacheField>
    <cacheField name="pacing" numFmtId="0">
      <sharedItems containsSemiMixedTypes="0" containsString="0" containsNumber="1" containsInteger="1" minValue="60" maxValue="96"/>
    </cacheField>
    <cacheField name="одним пользователем в минуту" numFmtId="2">
      <sharedItems containsSemiMixedTypes="0" containsString="0" containsNumber="1" minValue="0" maxValue="2"/>
    </cacheField>
    <cacheField name="Длительность ступени" numFmtId="0">
      <sharedItems containsSemiMixedTypes="0" containsString="0" containsNumber="1" containsInteger="1" minValue="20" maxValue="20"/>
    </cacheField>
    <cacheField name="Итого" numFmtId="1">
      <sharedItems containsSemiMixedTypes="0" containsString="0" containsNumber="1" minValue="0" maxValue="60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s v="Покупка билета"/>
    <x v="0"/>
    <n v="1"/>
    <n v="3"/>
    <n v="60"/>
    <n v="1"/>
    <n v="20"/>
    <n v="60"/>
  </r>
  <r>
    <s v="Покупка билета"/>
    <x v="1"/>
    <n v="1"/>
    <n v="3"/>
    <n v="60"/>
    <n v="1"/>
    <n v="20"/>
    <n v="60"/>
  </r>
  <r>
    <s v="Покупка билета"/>
    <x v="2"/>
    <n v="1"/>
    <n v="3"/>
    <n v="60"/>
    <n v="1"/>
    <n v="20"/>
    <n v="60"/>
  </r>
  <r>
    <s v="Покупка билета"/>
    <x v="3"/>
    <n v="1"/>
    <n v="3"/>
    <n v="60"/>
    <n v="1"/>
    <n v="20"/>
    <n v="60"/>
  </r>
  <r>
    <s v="Покупка билета"/>
    <x v="4"/>
    <n v="1"/>
    <n v="3"/>
    <n v="60"/>
    <n v="1"/>
    <n v="20"/>
    <n v="60"/>
  </r>
  <r>
    <s v="Покупка билета"/>
    <x v="5"/>
    <n v="1"/>
    <n v="3"/>
    <n v="60"/>
    <n v="1"/>
    <n v="20"/>
    <n v="60"/>
  </r>
  <r>
    <s v="Покупка билета"/>
    <x v="6"/>
    <n v="0"/>
    <n v="3"/>
    <n v="60"/>
    <n v="0"/>
    <n v="20"/>
    <n v="0"/>
  </r>
  <r>
    <s v="Удаление бронирования "/>
    <x v="0"/>
    <n v="1"/>
    <n v="2"/>
    <n v="96"/>
    <n v="0.625"/>
    <n v="20"/>
    <n v="25"/>
  </r>
  <r>
    <s v="Удаление бронирования "/>
    <x v="1"/>
    <n v="1"/>
    <n v="2"/>
    <n v="96"/>
    <n v="0.625"/>
    <n v="20"/>
    <n v="25"/>
  </r>
  <r>
    <s v="Удаление бронирования "/>
    <x v="7"/>
    <n v="1"/>
    <n v="2"/>
    <n v="96"/>
    <n v="0.625"/>
    <n v="20"/>
    <n v="25"/>
  </r>
  <r>
    <s v="Удаление бронирования "/>
    <x v="8"/>
    <n v="1"/>
    <n v="2"/>
    <n v="96"/>
    <n v="0.625"/>
    <n v="20"/>
    <n v="25"/>
  </r>
  <r>
    <s v="Удаление бронирования "/>
    <x v="6"/>
    <n v="1"/>
    <n v="2"/>
    <n v="96"/>
    <n v="0.625"/>
    <n v="20"/>
    <n v="25"/>
  </r>
  <r>
    <s v="Удаление бронирования "/>
    <x v="2"/>
    <n v="0"/>
    <n v="2"/>
    <n v="96"/>
    <n v="0"/>
    <n v="20"/>
    <n v="0"/>
  </r>
  <r>
    <s v="Регистрация новых пользователей"/>
    <x v="0"/>
    <n v="1"/>
    <n v="2"/>
    <n v="72"/>
    <n v="0.83333333333333337"/>
    <n v="20"/>
    <n v="33.333333333333336"/>
  </r>
  <r>
    <s v="Регистрация новых пользователей"/>
    <x v="9"/>
    <n v="1"/>
    <n v="2"/>
    <n v="72"/>
    <n v="0.83333333333333337"/>
    <n v="20"/>
    <n v="33.333333333333336"/>
  </r>
  <r>
    <s v="Регистрация новых пользователей"/>
    <x v="10"/>
    <n v="1"/>
    <n v="2"/>
    <n v="72"/>
    <n v="0.83333333333333337"/>
    <n v="20"/>
    <n v="33.333333333333336"/>
  </r>
  <r>
    <s v="Регистрация новых пользователей"/>
    <x v="11"/>
    <n v="1"/>
    <n v="2"/>
    <n v="72"/>
    <n v="0.83333333333333337"/>
    <n v="20"/>
    <n v="33.333333333333336"/>
  </r>
  <r>
    <s v="Регистрация новых пользователей"/>
    <x v="7"/>
    <n v="1"/>
    <n v="2"/>
    <n v="72"/>
    <n v="0.83333333333333337"/>
    <n v="20"/>
    <n v="33.333333333333336"/>
  </r>
  <r>
    <s v="Регистрация новых пользователей"/>
    <x v="6"/>
    <n v="1"/>
    <n v="2"/>
    <n v="72"/>
    <n v="0.83333333333333337"/>
    <n v="20"/>
    <n v="33.333333333333336"/>
  </r>
  <r>
    <s v="Логин"/>
    <x v="1"/>
    <n v="0"/>
    <n v="0"/>
    <n v="72"/>
    <n v="0"/>
    <n v="20"/>
    <n v="0"/>
  </r>
  <r>
    <s v="Логин"/>
    <x v="7"/>
    <n v="0"/>
    <n v="0"/>
    <n v="72"/>
    <n v="0"/>
    <n v="20"/>
    <n v="0"/>
  </r>
  <r>
    <s v="Логин"/>
    <x v="6"/>
    <n v="0"/>
    <n v="0"/>
    <n v="72"/>
    <n v="0"/>
    <n v="20"/>
    <n v="0"/>
  </r>
  <r>
    <s v="Поиск билета без покупки"/>
    <x v="0"/>
    <n v="1"/>
    <n v="2"/>
    <n v="72"/>
    <n v="0.83333333333333337"/>
    <n v="20"/>
    <n v="33.333333333333336"/>
  </r>
  <r>
    <s v="Поиск билета без покупки"/>
    <x v="1"/>
    <n v="1"/>
    <n v="2"/>
    <n v="72"/>
    <n v="0.83333333333333337"/>
    <n v="20"/>
    <n v="33.333333333333336"/>
  </r>
  <r>
    <s v="Поиск билета без покупки"/>
    <x v="2"/>
    <n v="1"/>
    <n v="2"/>
    <n v="72"/>
    <n v="0.83333333333333337"/>
    <n v="20"/>
    <n v="33.333333333333336"/>
  </r>
  <r>
    <s v="Поиск билета без покупки"/>
    <x v="3"/>
    <n v="1"/>
    <n v="2"/>
    <n v="72"/>
    <n v="0.83333333333333337"/>
    <n v="20"/>
    <n v="33.333333333333336"/>
  </r>
  <r>
    <s v="Поиск билета без покупки"/>
    <x v="4"/>
    <n v="1"/>
    <n v="2"/>
    <n v="72"/>
    <n v="0.83333333333333337"/>
    <n v="20"/>
    <n v="33.333333333333336"/>
  </r>
  <r>
    <s v="Поиск билета без покупки"/>
    <x v="7"/>
    <n v="0"/>
    <n v="2"/>
    <n v="72"/>
    <n v="0"/>
    <n v="20"/>
    <n v="0"/>
  </r>
  <r>
    <s v="Поиск билета без покупки"/>
    <x v="6"/>
    <n v="1"/>
    <n v="2"/>
    <n v="72"/>
    <n v="0.83333333333333337"/>
    <n v="20"/>
    <n v="33.333333333333336"/>
  </r>
  <r>
    <s v="Ознакомление с путевым листом"/>
    <x v="0"/>
    <n v="1"/>
    <n v="1"/>
    <n v="90"/>
    <n v="0.66666666666666663"/>
    <n v="20"/>
    <n v="13.333333333333332"/>
  </r>
  <r>
    <s v="Ознакомление с путевым листом"/>
    <x v="1"/>
    <n v="2"/>
    <n v="1"/>
    <n v="90"/>
    <n v="1.3333333333333333"/>
    <n v="20"/>
    <n v="26.666666666666664"/>
  </r>
  <r>
    <s v="Ознакомление с путевым листом"/>
    <x v="7"/>
    <n v="3"/>
    <n v="1"/>
    <n v="90"/>
    <n v="2"/>
    <n v="20"/>
    <n v="40"/>
  </r>
  <r>
    <s v="Ознакомление с путевым листом"/>
    <x v="6"/>
    <n v="1"/>
    <n v="1"/>
    <n v="90"/>
    <n v="0.66666666666666663"/>
    <n v="20"/>
    <n v="13.333333333333332"/>
  </r>
  <r>
    <s v="Ознакомление с путевым листом"/>
    <x v="2"/>
    <n v="1"/>
    <n v="1"/>
    <n v="90"/>
    <n v="0.66666666666666663"/>
    <n v="20"/>
    <n v="13.3333333333333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2" cacheId="3" applyNumberFormats="0" applyBorderFormats="0" applyFontFormats="0" applyPatternFormats="0" applyAlignmentFormats="0" applyWidthHeightFormats="1" dataCaption="Значения" updatedVersion="3" minRefreshableVersion="3" useAutoFormatting="1" itemPrintTitles="1" createdVersion="6" indent="0" outline="1" outlineData="1" multipleFieldFilters="0">
  <location ref="I1:J14" firstHeaderRow="1" firstDataRow="1" firstDataCol="1"/>
  <pivotFields count="8">
    <pivotField showAll="0"/>
    <pivotField axis="axisRow" showAll="0">
      <items count="13">
        <item x="1"/>
        <item x="4"/>
        <item x="6"/>
        <item x="3"/>
        <item x="5"/>
        <item x="8"/>
        <item x="7"/>
        <item x="0"/>
        <item x="9"/>
        <item x="10"/>
        <item x="11"/>
        <item x="2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Сумма по полю Итого" fld="7" baseField="0" baseItem="0" numFmtId="1"/>
  </dataFields>
  <formats count="7"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Таблица1" displayName="Таблица1" ref="A1:H9" totalsRowShown="0">
  <autoFilter ref="A1:H9"/>
  <tableColumns count="8">
    <tableColumn id="1" name="Столбец1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A1:H2" totalsRowShown="0">
  <autoFilter ref="A1:H2"/>
  <tableColumns count="8">
    <tableColumn id="1" name="Script name"/>
    <tableColumn id="2" name="transaction rq"/>
    <tableColumn id="3" name="count"/>
    <tableColumn id="4" name="VU"/>
    <tableColumn id="5" name="pacing"/>
    <tableColumn id="6" name="одним пользователем в минуту"/>
    <tableColumn id="7" name="Длительность ступени"/>
    <tableColumn id="8" name="Итого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9"/>
  <sheetViews>
    <sheetView workbookViewId="0">
      <selection sqref="A1:H3"/>
    </sheetView>
  </sheetViews>
  <sheetFormatPr defaultRowHeight="15"/>
  <cols>
    <col min="1" max="1" width="13.5703125" customWidth="1"/>
    <col min="2" max="2" width="15.28515625" customWidth="1"/>
    <col min="6" max="6" width="32.140625" customWidth="1"/>
    <col min="7" max="7" width="23.7109375" customWidth="1"/>
  </cols>
  <sheetData>
    <row r="1" spans="1:8">
      <c r="A1" t="s">
        <v>107</v>
      </c>
      <c r="B1" t="s">
        <v>38</v>
      </c>
      <c r="C1" t="s">
        <v>39</v>
      </c>
      <c r="D1" t="s">
        <v>41</v>
      </c>
      <c r="E1" t="s">
        <v>50</v>
      </c>
      <c r="F1" t="s">
        <v>51</v>
      </c>
      <c r="G1" t="s">
        <v>52</v>
      </c>
      <c r="H1" t="s">
        <v>7</v>
      </c>
    </row>
    <row r="2" spans="1:8">
      <c r="A2" t="s">
        <v>64</v>
      </c>
      <c r="B2" t="s">
        <v>67</v>
      </c>
      <c r="C2">
        <v>1</v>
      </c>
      <c r="D2">
        <v>2</v>
      </c>
      <c r="E2">
        <v>51.4</v>
      </c>
      <c r="F2">
        <v>1.1673151750972763</v>
      </c>
      <c r="G2">
        <v>20</v>
      </c>
      <c r="H2">
        <v>46.692607003891055</v>
      </c>
    </row>
    <row r="3" spans="1:8">
      <c r="A3" t="s">
        <v>8</v>
      </c>
      <c r="B3" t="s">
        <v>67</v>
      </c>
      <c r="C3">
        <v>1</v>
      </c>
      <c r="D3">
        <v>3</v>
      </c>
      <c r="E3">
        <v>21.6</v>
      </c>
      <c r="F3">
        <v>2.7777777777777777</v>
      </c>
      <c r="G3">
        <v>20</v>
      </c>
      <c r="H3">
        <v>166.66666666666663</v>
      </c>
    </row>
    <row r="9" spans="1:8">
      <c r="A9" s="71"/>
      <c r="B9" s="71"/>
      <c r="C9" s="71"/>
      <c r="D9" s="71"/>
      <c r="E9" s="71"/>
      <c r="F9" s="71"/>
      <c r="G9" s="71"/>
      <c r="H9" s="7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2"/>
  <sheetViews>
    <sheetView workbookViewId="0">
      <selection sqref="A1:H2"/>
    </sheetView>
  </sheetViews>
  <sheetFormatPr defaultRowHeight="15"/>
  <cols>
    <col min="1" max="1" width="13.5703125" customWidth="1"/>
    <col min="2" max="2" width="15.28515625" customWidth="1"/>
    <col min="6" max="6" width="32.140625" customWidth="1"/>
    <col min="7" max="7" width="23.7109375" customWidth="1"/>
  </cols>
  <sheetData>
    <row r="1" spans="1:8">
      <c r="A1" t="s">
        <v>37</v>
      </c>
      <c r="B1" t="s">
        <v>38</v>
      </c>
      <c r="C1" t="s">
        <v>39</v>
      </c>
      <c r="D1" t="s">
        <v>41</v>
      </c>
      <c r="E1" t="s">
        <v>50</v>
      </c>
      <c r="F1" t="s">
        <v>51</v>
      </c>
      <c r="G1" t="s">
        <v>52</v>
      </c>
      <c r="H1" t="s">
        <v>7</v>
      </c>
    </row>
    <row r="2" spans="1:8">
      <c r="A2" t="s">
        <v>59</v>
      </c>
      <c r="B2" t="s">
        <v>63</v>
      </c>
      <c r="C2">
        <v>1</v>
      </c>
      <c r="D2">
        <v>1</v>
      </c>
      <c r="E2">
        <v>13</v>
      </c>
      <c r="F2">
        <v>4.615384615384615</v>
      </c>
      <c r="G2">
        <v>20</v>
      </c>
      <c r="H2">
        <v>92.307692307692292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W53"/>
  <sheetViews>
    <sheetView tabSelected="1" zoomScale="70" zoomScaleNormal="70" workbookViewId="0">
      <selection activeCell="J14" sqref="J14"/>
    </sheetView>
  </sheetViews>
  <sheetFormatPr defaultColWidth="11.42578125" defaultRowHeight="15"/>
  <cols>
    <col min="1" max="1" width="31.7109375" customWidth="1"/>
    <col min="2" max="2" width="31.42578125" bestFit="1" customWidth="1"/>
    <col min="3" max="3" width="18.140625" customWidth="1"/>
    <col min="4" max="4" width="17.85546875" customWidth="1"/>
    <col min="5" max="5" width="19.140625" bestFit="1" customWidth="1"/>
    <col min="6" max="6" width="28.28515625" customWidth="1"/>
    <col min="7" max="7" width="30.85546875" customWidth="1"/>
    <col min="8" max="8" width="17" customWidth="1"/>
    <col min="9" max="9" width="47.42578125" bestFit="1" customWidth="1"/>
    <col min="10" max="10" width="21.85546875" bestFit="1" customWidth="1"/>
    <col min="11" max="11" width="18.140625" customWidth="1"/>
    <col min="12" max="12" width="36.85546875" customWidth="1"/>
    <col min="13" max="13" width="44.140625" customWidth="1"/>
    <col min="14" max="14" width="9.5703125" customWidth="1"/>
    <col min="15" max="15" width="14.42578125" customWidth="1"/>
    <col min="16" max="16" width="11.5703125" customWidth="1"/>
    <col min="17" max="17" width="9.85546875" customWidth="1"/>
    <col min="18" max="18" width="10.42578125" customWidth="1"/>
    <col min="19" max="19" width="34.140625" bestFit="1" customWidth="1"/>
    <col min="20" max="20" width="53.7109375" bestFit="1" customWidth="1"/>
  </cols>
  <sheetData>
    <row r="1" spans="1:23" ht="15.75" thickBot="1">
      <c r="A1" t="s">
        <v>37</v>
      </c>
      <c r="B1" t="s">
        <v>38</v>
      </c>
      <c r="C1" t="s">
        <v>39</v>
      </c>
      <c r="D1" t="s">
        <v>41</v>
      </c>
      <c r="E1" t="s">
        <v>50</v>
      </c>
      <c r="F1" t="s">
        <v>51</v>
      </c>
      <c r="G1" t="s">
        <v>52</v>
      </c>
      <c r="H1" t="s">
        <v>7</v>
      </c>
      <c r="I1" s="15" t="s">
        <v>105</v>
      </c>
      <c r="J1" t="s">
        <v>49</v>
      </c>
      <c r="L1" s="45" t="s">
        <v>108</v>
      </c>
      <c r="M1" s="44" t="s">
        <v>40</v>
      </c>
      <c r="N1" s="45" t="s">
        <v>42</v>
      </c>
      <c r="O1" s="45" t="s">
        <v>43</v>
      </c>
      <c r="P1" s="45" t="s">
        <v>83</v>
      </c>
      <c r="Q1" s="45" t="s">
        <v>44</v>
      </c>
      <c r="R1" s="45" t="s">
        <v>41</v>
      </c>
      <c r="S1" s="52" t="s">
        <v>47</v>
      </c>
      <c r="T1" s="67" t="s">
        <v>104</v>
      </c>
      <c r="U1" s="53" t="s">
        <v>45</v>
      </c>
      <c r="V1" s="53" t="s">
        <v>46</v>
      </c>
      <c r="W1" s="32" t="s">
        <v>48</v>
      </c>
    </row>
    <row r="2" spans="1:23">
      <c r="A2" s="23" t="s">
        <v>8</v>
      </c>
      <c r="B2" s="23" t="s">
        <v>60</v>
      </c>
      <c r="C2" s="40">
        <v>1</v>
      </c>
      <c r="D2" s="42">
        <f>VLOOKUP(A2,$M$1:$X$8,6,FALSE)</f>
        <v>3</v>
      </c>
      <c r="E2">
        <f>VLOOKUP(A2,$M$1:$X$8,5,FALSE)</f>
        <v>60</v>
      </c>
      <c r="F2" s="18">
        <f>60/E2*C2</f>
        <v>1</v>
      </c>
      <c r="G2">
        <f t="shared" ref="G2:G6" si="0">VLOOKUP(A2,$M$1:$X$8,9,FALSE)</f>
        <v>20</v>
      </c>
      <c r="H2" s="17">
        <f>D2*F2*G2</f>
        <v>60</v>
      </c>
      <c r="I2" s="16" t="s">
        <v>0</v>
      </c>
      <c r="J2" s="17">
        <v>145</v>
      </c>
      <c r="L2">
        <v>4</v>
      </c>
      <c r="M2" s="47" t="s">
        <v>8</v>
      </c>
      <c r="N2" s="19">
        <v>2</v>
      </c>
      <c r="O2" s="37">
        <f>L2*5</f>
        <v>20</v>
      </c>
      <c r="P2" s="38">
        <f>N2+O2</f>
        <v>22</v>
      </c>
      <c r="Q2" s="25">
        <v>60</v>
      </c>
      <c r="R2" s="50">
        <v>3</v>
      </c>
      <c r="S2" s="51">
        <f t="shared" ref="S2:S6" si="1">R2/W$2</f>
        <v>0.3</v>
      </c>
      <c r="T2" s="68">
        <f t="shared" ref="T2:T7" si="2">60/(Q2)</f>
        <v>1</v>
      </c>
      <c r="U2" s="54">
        <v>20</v>
      </c>
      <c r="V2" s="55">
        <f>ROUND(R2*T2*U2,0)</f>
        <v>60</v>
      </c>
      <c r="W2" s="30">
        <f>SUM(R2:R7)</f>
        <v>10</v>
      </c>
    </row>
    <row r="3" spans="1:23">
      <c r="A3" s="23" t="s">
        <v>8</v>
      </c>
      <c r="B3" s="23" t="s">
        <v>0</v>
      </c>
      <c r="C3" s="40">
        <v>1</v>
      </c>
      <c r="D3" s="43">
        <f>VLOOKUP(A3,$M$1:$X$8,6,FALSE)</f>
        <v>3</v>
      </c>
      <c r="E3">
        <f>VLOOKUP(A3,$M$1:$X$8,5,FALSE)</f>
        <v>60</v>
      </c>
      <c r="F3" s="18">
        <f>60/E3*C3</f>
        <v>1</v>
      </c>
      <c r="G3">
        <f t="shared" si="0"/>
        <v>20</v>
      </c>
      <c r="H3" s="17">
        <f>D3*F3*G3</f>
        <v>60</v>
      </c>
      <c r="I3" s="16" t="s">
        <v>12</v>
      </c>
      <c r="J3" s="17">
        <v>93.333333333333343</v>
      </c>
      <c r="L3">
        <v>4</v>
      </c>
      <c r="M3" s="47" t="s">
        <v>9</v>
      </c>
      <c r="N3" s="19">
        <v>1</v>
      </c>
      <c r="O3" s="37">
        <f t="shared" ref="O3:O7" si="3">L3*5</f>
        <v>20</v>
      </c>
      <c r="P3" s="38">
        <f t="shared" ref="P3:P7" si="4">N3+O3</f>
        <v>21</v>
      </c>
      <c r="Q3" s="25">
        <v>96</v>
      </c>
      <c r="R3" s="50">
        <v>2</v>
      </c>
      <c r="S3" s="51">
        <f t="shared" si="1"/>
        <v>0.2</v>
      </c>
      <c r="T3" s="68">
        <f t="shared" si="2"/>
        <v>0.625</v>
      </c>
      <c r="U3" s="54">
        <v>20</v>
      </c>
      <c r="V3" s="55">
        <f>ROUND(R3*T3*U3,0)</f>
        <v>25</v>
      </c>
      <c r="W3" s="30"/>
    </row>
    <row r="4" spans="1:23">
      <c r="A4" s="23" t="s">
        <v>8</v>
      </c>
      <c r="B4" s="23" t="s">
        <v>67</v>
      </c>
      <c r="C4" s="40">
        <v>1</v>
      </c>
      <c r="D4" s="43">
        <f>VLOOKUP(A5,$M$1:$X$8,6,FALSE)</f>
        <v>3</v>
      </c>
      <c r="E4">
        <f>VLOOKUP(A5,$M$1:$X$8,5,FALSE)</f>
        <v>60</v>
      </c>
      <c r="F4" s="18">
        <f t="shared" ref="F4" si="5">60/E4*C4</f>
        <v>1</v>
      </c>
      <c r="G4">
        <f t="shared" si="0"/>
        <v>20</v>
      </c>
      <c r="H4" s="17">
        <f t="shared" ref="H4" si="6">D4*F4*G4</f>
        <v>60</v>
      </c>
      <c r="I4" s="16" t="s">
        <v>6</v>
      </c>
      <c r="J4" s="17">
        <v>105</v>
      </c>
      <c r="L4">
        <v>5</v>
      </c>
      <c r="M4" s="47" t="s">
        <v>59</v>
      </c>
      <c r="N4" s="19">
        <v>2</v>
      </c>
      <c r="O4" s="37">
        <f t="shared" si="3"/>
        <v>25</v>
      </c>
      <c r="P4" s="75">
        <f t="shared" si="4"/>
        <v>27</v>
      </c>
      <c r="Q4" s="25">
        <v>72</v>
      </c>
      <c r="R4" s="50">
        <v>2</v>
      </c>
      <c r="S4" s="51">
        <f t="shared" si="1"/>
        <v>0.2</v>
      </c>
      <c r="T4" s="68">
        <f t="shared" si="2"/>
        <v>0.83333333333333337</v>
      </c>
      <c r="U4" s="54">
        <v>20</v>
      </c>
      <c r="V4" s="55">
        <f>ROUND(R4*T4*U4,0)</f>
        <v>33</v>
      </c>
      <c r="W4" s="30"/>
    </row>
    <row r="5" spans="1:23">
      <c r="A5" s="23" t="s">
        <v>8</v>
      </c>
      <c r="B5" s="23" t="s">
        <v>11</v>
      </c>
      <c r="C5" s="40">
        <v>1</v>
      </c>
      <c r="D5" s="43">
        <f>VLOOKUP(A6,$M$1:$X$8,6,FALSE)</f>
        <v>3</v>
      </c>
      <c r="E5">
        <f>VLOOKUP(A6,$M$1:$X$8,5,FALSE)</f>
        <v>60</v>
      </c>
      <c r="F5" s="18">
        <f t="shared" ref="F5" si="7">60/E5*C5</f>
        <v>1</v>
      </c>
      <c r="G5">
        <f t="shared" si="0"/>
        <v>20</v>
      </c>
      <c r="H5" s="17">
        <f t="shared" ref="H5" si="8">D5*F5*G5</f>
        <v>60</v>
      </c>
      <c r="I5" s="16" t="s">
        <v>11</v>
      </c>
      <c r="J5" s="17">
        <v>93.333333333333343</v>
      </c>
      <c r="L5">
        <v>5</v>
      </c>
      <c r="M5" s="47" t="s">
        <v>64</v>
      </c>
      <c r="N5" s="19">
        <v>2</v>
      </c>
      <c r="O5" s="37">
        <f t="shared" si="3"/>
        <v>25</v>
      </c>
      <c r="P5" s="38">
        <f t="shared" si="4"/>
        <v>27</v>
      </c>
      <c r="Q5" s="25">
        <v>72</v>
      </c>
      <c r="R5" s="50">
        <v>2</v>
      </c>
      <c r="S5" s="51">
        <f t="shared" si="1"/>
        <v>0.2</v>
      </c>
      <c r="T5" s="68">
        <f t="shared" si="2"/>
        <v>0.83333333333333337</v>
      </c>
      <c r="U5" s="54">
        <v>20</v>
      </c>
      <c r="V5" s="55">
        <f>ROUND(R5*T5*U5,0)</f>
        <v>33</v>
      </c>
      <c r="W5" s="30"/>
    </row>
    <row r="6" spans="1:23">
      <c r="A6" s="23" t="s">
        <v>8</v>
      </c>
      <c r="B6" s="23" t="s">
        <v>12</v>
      </c>
      <c r="C6" s="40">
        <v>1</v>
      </c>
      <c r="D6" s="43">
        <f t="shared" ref="D6" si="9">VLOOKUP(A6,$M$1:$X$8,6,FALSE)</f>
        <v>3</v>
      </c>
      <c r="E6">
        <f t="shared" ref="E6" si="10">VLOOKUP(A6,$M$1:$X$8,5,FALSE)</f>
        <v>60</v>
      </c>
      <c r="F6" s="18">
        <f t="shared" ref="F6" si="11">60/E6*C6</f>
        <v>1</v>
      </c>
      <c r="G6">
        <f t="shared" si="0"/>
        <v>20</v>
      </c>
      <c r="H6" s="17">
        <f t="shared" ref="H6" si="12">D6*F6*G6</f>
        <v>60</v>
      </c>
      <c r="I6" s="16" t="s">
        <v>3</v>
      </c>
      <c r="J6" s="17">
        <v>60</v>
      </c>
      <c r="L6">
        <v>7</v>
      </c>
      <c r="M6" s="47" t="s">
        <v>10</v>
      </c>
      <c r="N6" s="19">
        <v>1</v>
      </c>
      <c r="O6" s="37">
        <f t="shared" si="3"/>
        <v>35</v>
      </c>
      <c r="P6" s="38">
        <f>N6+O6</f>
        <v>36</v>
      </c>
      <c r="Q6" s="25">
        <v>90</v>
      </c>
      <c r="R6" s="50">
        <v>1</v>
      </c>
      <c r="S6" s="51">
        <f t="shared" si="1"/>
        <v>0.1</v>
      </c>
      <c r="T6" s="68">
        <f t="shared" si="2"/>
        <v>0.66666666666666663</v>
      </c>
      <c r="U6" s="54">
        <v>20</v>
      </c>
      <c r="V6" s="55">
        <f>ROUND(R6*T6*U6,0)</f>
        <v>13</v>
      </c>
      <c r="W6" s="30"/>
    </row>
    <row r="7" spans="1:23">
      <c r="A7" s="65" t="s">
        <v>8</v>
      </c>
      <c r="B7" s="23" t="s">
        <v>3</v>
      </c>
      <c r="C7" s="66">
        <v>1</v>
      </c>
      <c r="D7" s="43">
        <f t="shared" ref="D7" si="13">VLOOKUP(A7,$M$1:$X$8,6,FALSE)</f>
        <v>3</v>
      </c>
      <c r="E7">
        <f t="shared" ref="E7" si="14">VLOOKUP(A7,$M$1:$X$8,5,FALSE)</f>
        <v>60</v>
      </c>
      <c r="F7" s="18">
        <f t="shared" ref="F7" si="15">60/E7*C7</f>
        <v>1</v>
      </c>
      <c r="G7">
        <f t="shared" ref="G7" si="16">VLOOKUP(A7,$M$1:$X$8,9,FALSE)</f>
        <v>20</v>
      </c>
      <c r="H7" s="17">
        <f t="shared" ref="H7" si="17">D7*F7*G7</f>
        <v>60</v>
      </c>
      <c r="I7" s="16" t="s">
        <v>13</v>
      </c>
      <c r="J7" s="17">
        <v>25</v>
      </c>
      <c r="L7">
        <v>0</v>
      </c>
      <c r="M7" s="47" t="s">
        <v>65</v>
      </c>
      <c r="N7" s="19">
        <v>2</v>
      </c>
      <c r="O7" s="37">
        <f t="shared" si="3"/>
        <v>0</v>
      </c>
      <c r="P7" s="38">
        <f t="shared" si="4"/>
        <v>2</v>
      </c>
      <c r="Q7" s="25">
        <v>72</v>
      </c>
      <c r="R7" s="50">
        <v>0</v>
      </c>
      <c r="S7" s="51">
        <f>R7/W$2</f>
        <v>0</v>
      </c>
      <c r="T7" s="68">
        <f t="shared" si="2"/>
        <v>0.83333333333333337</v>
      </c>
      <c r="U7" s="54">
        <v>20</v>
      </c>
      <c r="V7" s="55">
        <f>SUM(V2:V6)</f>
        <v>164</v>
      </c>
      <c r="W7" s="30"/>
    </row>
    <row r="8" spans="1:23" ht="15.75" thickBot="1">
      <c r="A8" s="23" t="s">
        <v>8</v>
      </c>
      <c r="B8" s="69" t="s">
        <v>6</v>
      </c>
      <c r="C8" s="70">
        <v>0</v>
      </c>
      <c r="D8" s="43">
        <f t="shared" ref="D8:D13" si="18">VLOOKUP(A8,$M$1:$X$8,6,FALSE)</f>
        <v>3</v>
      </c>
      <c r="E8">
        <f t="shared" ref="E8:E13" si="19">VLOOKUP(A8,$M$1:$X$8,5,FALSE)</f>
        <v>60</v>
      </c>
      <c r="F8" s="18">
        <f t="shared" ref="F8:F13" si="20">60/E8*C8</f>
        <v>0</v>
      </c>
      <c r="G8">
        <f t="shared" ref="G8:G13" si="21">VLOOKUP(A8,$M$1:$X$8,9,FALSE)</f>
        <v>20</v>
      </c>
      <c r="H8" s="17">
        <f t="shared" ref="H8:H13" si="22">D8*F8*G8</f>
        <v>0</v>
      </c>
      <c r="I8" s="16" t="s">
        <v>4</v>
      </c>
      <c r="J8" s="17">
        <v>98.333333333333343</v>
      </c>
      <c r="M8" s="48"/>
      <c r="N8" s="49"/>
      <c r="O8" s="49"/>
      <c r="P8" s="49"/>
      <c r="Q8" s="49"/>
      <c r="R8" s="49">
        <f>SUM(R2:R7)</f>
        <v>10</v>
      </c>
      <c r="S8" s="56">
        <f>SUM(S2:S7)</f>
        <v>0.99999999999999989</v>
      </c>
      <c r="T8" s="64"/>
      <c r="U8" s="49"/>
      <c r="V8" s="49"/>
      <c r="W8" s="31"/>
    </row>
    <row r="9" spans="1:23">
      <c r="A9" s="23" t="s">
        <v>9</v>
      </c>
      <c r="B9" s="23" t="s">
        <v>60</v>
      </c>
      <c r="C9" s="23">
        <v>1</v>
      </c>
      <c r="D9" s="32">
        <f t="shared" si="18"/>
        <v>2</v>
      </c>
      <c r="E9" s="17">
        <f t="shared" si="19"/>
        <v>96</v>
      </c>
      <c r="F9" s="18">
        <f t="shared" si="20"/>
        <v>0.625</v>
      </c>
      <c r="G9">
        <f t="shared" si="21"/>
        <v>20</v>
      </c>
      <c r="H9" s="17">
        <f t="shared" si="22"/>
        <v>25</v>
      </c>
      <c r="I9" s="16" t="s">
        <v>60</v>
      </c>
      <c r="J9" s="17">
        <v>165.00000000000003</v>
      </c>
    </row>
    <row r="10" spans="1:23">
      <c r="A10" s="23" t="s">
        <v>9</v>
      </c>
      <c r="B10" s="23" t="s">
        <v>0</v>
      </c>
      <c r="C10" s="23">
        <v>1</v>
      </c>
      <c r="D10" s="30">
        <f t="shared" si="18"/>
        <v>2</v>
      </c>
      <c r="E10" s="17">
        <f t="shared" si="19"/>
        <v>96</v>
      </c>
      <c r="F10" s="18">
        <f t="shared" si="20"/>
        <v>0.625</v>
      </c>
      <c r="G10">
        <f t="shared" si="21"/>
        <v>20</v>
      </c>
      <c r="H10" s="17">
        <f t="shared" si="22"/>
        <v>25</v>
      </c>
      <c r="I10" s="16" t="s">
        <v>62</v>
      </c>
      <c r="J10" s="17">
        <v>33.333333333333336</v>
      </c>
    </row>
    <row r="11" spans="1:23">
      <c r="A11" s="23" t="s">
        <v>9</v>
      </c>
      <c r="B11" s="23" t="s">
        <v>4</v>
      </c>
      <c r="C11" s="23">
        <v>1</v>
      </c>
      <c r="D11" s="30">
        <f t="shared" si="18"/>
        <v>2</v>
      </c>
      <c r="E11" s="17">
        <f t="shared" si="19"/>
        <v>96</v>
      </c>
      <c r="F11" s="18">
        <f t="shared" si="20"/>
        <v>0.625</v>
      </c>
      <c r="G11">
        <f t="shared" si="21"/>
        <v>20</v>
      </c>
      <c r="H11" s="17">
        <f t="shared" si="22"/>
        <v>25</v>
      </c>
      <c r="I11" s="16" t="s">
        <v>61</v>
      </c>
      <c r="J11" s="17">
        <v>33.333333333333336</v>
      </c>
    </row>
    <row r="12" spans="1:23">
      <c r="A12" s="23" t="s">
        <v>9</v>
      </c>
      <c r="B12" s="23" t="s">
        <v>13</v>
      </c>
      <c r="C12" s="23">
        <v>1</v>
      </c>
      <c r="D12" s="30">
        <f t="shared" si="18"/>
        <v>2</v>
      </c>
      <c r="E12" s="17">
        <f t="shared" si="19"/>
        <v>96</v>
      </c>
      <c r="F12" s="18">
        <f t="shared" si="20"/>
        <v>0.625</v>
      </c>
      <c r="G12">
        <f t="shared" si="21"/>
        <v>20</v>
      </c>
      <c r="H12" s="17">
        <f t="shared" si="22"/>
        <v>25</v>
      </c>
      <c r="I12" s="16" t="s">
        <v>63</v>
      </c>
      <c r="J12" s="17">
        <v>33.333333333333336</v>
      </c>
    </row>
    <row r="13" spans="1:23" ht="15.75" thickBot="1">
      <c r="A13" s="23" t="s">
        <v>9</v>
      </c>
      <c r="B13" s="23" t="s">
        <v>6</v>
      </c>
      <c r="C13" s="23">
        <v>1</v>
      </c>
      <c r="D13" s="31">
        <f t="shared" si="18"/>
        <v>2</v>
      </c>
      <c r="E13" s="17">
        <f t="shared" si="19"/>
        <v>96</v>
      </c>
      <c r="F13" s="18">
        <f t="shared" si="20"/>
        <v>0.625</v>
      </c>
      <c r="G13">
        <f t="shared" si="21"/>
        <v>20</v>
      </c>
      <c r="H13" s="17">
        <f t="shared" si="22"/>
        <v>25</v>
      </c>
      <c r="I13" s="16" t="s">
        <v>67</v>
      </c>
      <c r="J13" s="17">
        <v>106.66666666666667</v>
      </c>
    </row>
    <row r="14" spans="1:23" ht="15.75" thickBot="1">
      <c r="A14" s="23" t="s">
        <v>9</v>
      </c>
      <c r="B14" s="74" t="s">
        <v>67</v>
      </c>
      <c r="C14" s="69">
        <v>0</v>
      </c>
      <c r="D14" s="31">
        <f t="shared" ref="D14" si="23">VLOOKUP(A14,$M$1:$X$8,6,FALSE)</f>
        <v>2</v>
      </c>
      <c r="E14" s="17">
        <f t="shared" ref="E14" si="24">VLOOKUP(A14,$M$1:$X$8,5,FALSE)</f>
        <v>96</v>
      </c>
      <c r="F14" s="18">
        <f t="shared" ref="F14" si="25">60/E14*C14</f>
        <v>0</v>
      </c>
      <c r="G14">
        <f t="shared" ref="G14" si="26">VLOOKUP(A14,$M$1:$X$8,9,FALSE)</f>
        <v>20</v>
      </c>
      <c r="H14" s="17">
        <f>D14*F14*G14</f>
        <v>0</v>
      </c>
      <c r="I14" s="16" t="s">
        <v>106</v>
      </c>
      <c r="J14" s="17">
        <v>991.66666666666686</v>
      </c>
    </row>
    <row r="15" spans="1:23">
      <c r="A15" s="23" t="s">
        <v>59</v>
      </c>
      <c r="B15" s="23" t="s">
        <v>60</v>
      </c>
      <c r="C15" s="23">
        <v>1</v>
      </c>
      <c r="D15" s="32">
        <f t="shared" ref="D15:D34" si="27">VLOOKUP(A15,$M$1:$X$8,6,FALSE)</f>
        <v>2</v>
      </c>
      <c r="E15" s="17">
        <f t="shared" ref="E15:E34" si="28">VLOOKUP(A15,$M$1:$X$8,5,FALSE)</f>
        <v>72</v>
      </c>
      <c r="F15" s="18">
        <f t="shared" ref="F15:F34" si="29">60/E15*C15</f>
        <v>0.83333333333333337</v>
      </c>
      <c r="G15">
        <f t="shared" ref="G15:G34" si="30">VLOOKUP(A15,$M$1:$X$8,9,FALSE)</f>
        <v>20</v>
      </c>
      <c r="H15" s="17">
        <f>D15*F15*G15</f>
        <v>33.333333333333336</v>
      </c>
    </row>
    <row r="16" spans="1:23">
      <c r="A16" s="23" t="s">
        <v>59</v>
      </c>
      <c r="B16" s="23" t="s">
        <v>62</v>
      </c>
      <c r="C16" s="23">
        <v>1</v>
      </c>
      <c r="D16" s="30">
        <f t="shared" si="27"/>
        <v>2</v>
      </c>
      <c r="E16" s="17">
        <f t="shared" si="28"/>
        <v>72</v>
      </c>
      <c r="F16" s="18">
        <f t="shared" si="29"/>
        <v>0.83333333333333337</v>
      </c>
      <c r="G16">
        <f t="shared" si="30"/>
        <v>20</v>
      </c>
      <c r="H16" s="17">
        <f>D16*F16*G16</f>
        <v>33.333333333333336</v>
      </c>
    </row>
    <row r="17" spans="1:8">
      <c r="A17" s="23" t="s">
        <v>59</v>
      </c>
      <c r="B17" s="23" t="s">
        <v>61</v>
      </c>
      <c r="C17" s="23">
        <v>1</v>
      </c>
      <c r="D17" s="30">
        <f t="shared" si="27"/>
        <v>2</v>
      </c>
      <c r="E17" s="17">
        <f t="shared" si="28"/>
        <v>72</v>
      </c>
      <c r="F17" s="18">
        <f t="shared" si="29"/>
        <v>0.83333333333333337</v>
      </c>
      <c r="G17">
        <f t="shared" si="30"/>
        <v>20</v>
      </c>
      <c r="H17" s="17">
        <f>D17*F17*G17</f>
        <v>33.333333333333336</v>
      </c>
    </row>
    <row r="18" spans="1:8">
      <c r="A18" s="23" t="s">
        <v>59</v>
      </c>
      <c r="B18" s="23" t="s">
        <v>63</v>
      </c>
      <c r="C18" s="23">
        <v>1</v>
      </c>
      <c r="D18" s="30">
        <f t="shared" si="27"/>
        <v>2</v>
      </c>
      <c r="E18" s="17">
        <f t="shared" si="28"/>
        <v>72</v>
      </c>
      <c r="F18" s="18">
        <f t="shared" si="29"/>
        <v>0.83333333333333337</v>
      </c>
      <c r="G18">
        <f t="shared" si="30"/>
        <v>20</v>
      </c>
      <c r="H18" s="17">
        <f>D18*F18*G18</f>
        <v>33.333333333333336</v>
      </c>
    </row>
    <row r="19" spans="1:8" ht="15.75" thickBot="1">
      <c r="A19" s="23" t="s">
        <v>59</v>
      </c>
      <c r="B19" s="23" t="s">
        <v>4</v>
      </c>
      <c r="C19" s="23">
        <v>1</v>
      </c>
      <c r="D19" s="30">
        <f t="shared" si="27"/>
        <v>2</v>
      </c>
      <c r="E19" s="17">
        <f t="shared" si="28"/>
        <v>72</v>
      </c>
      <c r="F19" s="18">
        <f t="shared" si="29"/>
        <v>0.83333333333333337</v>
      </c>
      <c r="G19">
        <f t="shared" si="30"/>
        <v>20</v>
      </c>
      <c r="H19" s="17">
        <f t="shared" ref="H19" si="31">D19*F19*G19</f>
        <v>33.333333333333336</v>
      </c>
    </row>
    <row r="20" spans="1:8">
      <c r="A20" s="23" t="s">
        <v>59</v>
      </c>
      <c r="B20" s="23" t="s">
        <v>6</v>
      </c>
      <c r="C20" s="23">
        <v>1</v>
      </c>
      <c r="D20" s="42">
        <f t="shared" si="27"/>
        <v>2</v>
      </c>
      <c r="E20">
        <f t="shared" si="28"/>
        <v>72</v>
      </c>
      <c r="F20" s="18">
        <f t="shared" si="29"/>
        <v>0.83333333333333337</v>
      </c>
      <c r="G20">
        <f t="shared" si="30"/>
        <v>20</v>
      </c>
      <c r="H20" s="17">
        <f t="shared" ref="H20:H21" si="32">D20*F20*G20</f>
        <v>33.333333333333336</v>
      </c>
    </row>
    <row r="21" spans="1:8">
      <c r="A21" s="23" t="s">
        <v>65</v>
      </c>
      <c r="B21" s="69" t="s">
        <v>0</v>
      </c>
      <c r="C21" s="70">
        <v>0</v>
      </c>
      <c r="D21" s="43">
        <f t="shared" si="27"/>
        <v>0</v>
      </c>
      <c r="E21">
        <f t="shared" si="28"/>
        <v>72</v>
      </c>
      <c r="F21" s="18">
        <f t="shared" si="29"/>
        <v>0</v>
      </c>
      <c r="G21">
        <f t="shared" si="30"/>
        <v>20</v>
      </c>
      <c r="H21" s="17">
        <f t="shared" si="32"/>
        <v>0</v>
      </c>
    </row>
    <row r="22" spans="1:8">
      <c r="A22" s="23" t="s">
        <v>65</v>
      </c>
      <c r="B22" s="69" t="s">
        <v>4</v>
      </c>
      <c r="C22" s="72">
        <v>0</v>
      </c>
      <c r="D22" s="43">
        <f t="shared" si="27"/>
        <v>0</v>
      </c>
      <c r="E22">
        <f t="shared" si="28"/>
        <v>72</v>
      </c>
      <c r="F22" s="18">
        <f t="shared" si="29"/>
        <v>0</v>
      </c>
      <c r="G22">
        <f t="shared" si="30"/>
        <v>20</v>
      </c>
      <c r="H22" s="17">
        <f t="shared" ref="H22" si="33">D22*F22*G22</f>
        <v>0</v>
      </c>
    </row>
    <row r="23" spans="1:8" ht="15.75" thickBot="1">
      <c r="A23" s="23" t="s">
        <v>65</v>
      </c>
      <c r="B23" s="69" t="s">
        <v>6</v>
      </c>
      <c r="C23" s="70">
        <v>0</v>
      </c>
      <c r="D23" s="41">
        <f t="shared" si="27"/>
        <v>0</v>
      </c>
      <c r="E23">
        <f t="shared" si="28"/>
        <v>72</v>
      </c>
      <c r="F23" s="18">
        <f t="shared" si="29"/>
        <v>0</v>
      </c>
      <c r="G23">
        <f t="shared" si="30"/>
        <v>20</v>
      </c>
      <c r="H23" s="17">
        <f t="shared" ref="H23:H34" si="34">D23*F23*G23</f>
        <v>0</v>
      </c>
    </row>
    <row r="24" spans="1:8">
      <c r="A24" s="23" t="s">
        <v>64</v>
      </c>
      <c r="B24" s="23" t="s">
        <v>60</v>
      </c>
      <c r="C24" s="23">
        <v>1</v>
      </c>
      <c r="D24" s="30">
        <f t="shared" si="27"/>
        <v>2</v>
      </c>
      <c r="E24">
        <f t="shared" si="28"/>
        <v>72</v>
      </c>
      <c r="F24" s="18">
        <f t="shared" si="29"/>
        <v>0.83333333333333337</v>
      </c>
      <c r="G24">
        <f t="shared" si="30"/>
        <v>20</v>
      </c>
      <c r="H24" s="17">
        <f t="shared" si="34"/>
        <v>33.333333333333336</v>
      </c>
    </row>
    <row r="25" spans="1:8">
      <c r="A25" s="23" t="s">
        <v>64</v>
      </c>
      <c r="B25" s="23" t="s">
        <v>0</v>
      </c>
      <c r="C25" s="23">
        <v>1</v>
      </c>
      <c r="D25" s="30">
        <f t="shared" si="27"/>
        <v>2</v>
      </c>
      <c r="E25">
        <f t="shared" si="28"/>
        <v>72</v>
      </c>
      <c r="F25" s="18">
        <f t="shared" si="29"/>
        <v>0.83333333333333337</v>
      </c>
      <c r="G25">
        <f t="shared" si="30"/>
        <v>20</v>
      </c>
      <c r="H25" s="17">
        <f t="shared" si="34"/>
        <v>33.333333333333336</v>
      </c>
    </row>
    <row r="26" spans="1:8">
      <c r="A26" s="23" t="s">
        <v>64</v>
      </c>
      <c r="B26" s="23" t="s">
        <v>67</v>
      </c>
      <c r="C26" s="66">
        <v>1</v>
      </c>
      <c r="D26" s="30">
        <f t="shared" si="27"/>
        <v>2</v>
      </c>
      <c r="E26">
        <f t="shared" si="28"/>
        <v>72</v>
      </c>
      <c r="F26" s="18">
        <f t="shared" si="29"/>
        <v>0.83333333333333337</v>
      </c>
      <c r="G26">
        <f t="shared" si="30"/>
        <v>20</v>
      </c>
      <c r="H26" s="17">
        <f t="shared" si="34"/>
        <v>33.333333333333336</v>
      </c>
    </row>
    <row r="27" spans="1:8">
      <c r="A27" s="23" t="s">
        <v>64</v>
      </c>
      <c r="B27" s="23" t="s">
        <v>11</v>
      </c>
      <c r="C27" s="23">
        <v>1</v>
      </c>
      <c r="D27" s="30">
        <f t="shared" si="27"/>
        <v>2</v>
      </c>
      <c r="E27">
        <f t="shared" si="28"/>
        <v>72</v>
      </c>
      <c r="F27" s="18">
        <f t="shared" si="29"/>
        <v>0.83333333333333337</v>
      </c>
      <c r="G27">
        <f t="shared" si="30"/>
        <v>20</v>
      </c>
      <c r="H27" s="17">
        <f t="shared" si="34"/>
        <v>33.333333333333336</v>
      </c>
    </row>
    <row r="28" spans="1:8">
      <c r="A28" s="23" t="s">
        <v>64</v>
      </c>
      <c r="B28" s="23" t="s">
        <v>12</v>
      </c>
      <c r="C28" s="23">
        <v>1</v>
      </c>
      <c r="D28" s="30">
        <f t="shared" si="27"/>
        <v>2</v>
      </c>
      <c r="E28">
        <f t="shared" si="28"/>
        <v>72</v>
      </c>
      <c r="F28" s="18">
        <f t="shared" si="29"/>
        <v>0.83333333333333337</v>
      </c>
      <c r="G28">
        <f t="shared" si="30"/>
        <v>20</v>
      </c>
      <c r="H28" s="17">
        <f t="shared" si="34"/>
        <v>33.333333333333336</v>
      </c>
    </row>
    <row r="29" spans="1:8">
      <c r="A29" s="23" t="s">
        <v>64</v>
      </c>
      <c r="B29" s="69" t="s">
        <v>4</v>
      </c>
      <c r="C29" s="72">
        <v>0</v>
      </c>
      <c r="D29" s="30">
        <f t="shared" si="27"/>
        <v>2</v>
      </c>
      <c r="E29">
        <f t="shared" si="28"/>
        <v>72</v>
      </c>
      <c r="F29" s="18">
        <f t="shared" si="29"/>
        <v>0</v>
      </c>
      <c r="G29">
        <f t="shared" si="30"/>
        <v>20</v>
      </c>
      <c r="H29" s="17">
        <f t="shared" si="34"/>
        <v>0</v>
      </c>
    </row>
    <row r="30" spans="1:8" ht="15.75" thickBot="1">
      <c r="A30" s="23" t="s">
        <v>64</v>
      </c>
      <c r="B30" s="23" t="s">
        <v>6</v>
      </c>
      <c r="C30" s="23">
        <v>1</v>
      </c>
      <c r="D30" s="30">
        <f t="shared" si="27"/>
        <v>2</v>
      </c>
      <c r="E30">
        <f t="shared" si="28"/>
        <v>72</v>
      </c>
      <c r="F30" s="18">
        <f t="shared" si="29"/>
        <v>0.83333333333333337</v>
      </c>
      <c r="G30">
        <f t="shared" si="30"/>
        <v>20</v>
      </c>
      <c r="H30" s="17">
        <f t="shared" si="34"/>
        <v>33.333333333333336</v>
      </c>
    </row>
    <row r="31" spans="1:8">
      <c r="A31" s="23" t="s">
        <v>10</v>
      </c>
      <c r="B31" s="23" t="s">
        <v>60</v>
      </c>
      <c r="C31" s="23">
        <v>1</v>
      </c>
      <c r="D31" s="32">
        <f t="shared" si="27"/>
        <v>1</v>
      </c>
      <c r="E31">
        <f t="shared" si="28"/>
        <v>90</v>
      </c>
      <c r="F31" s="18">
        <f t="shared" si="29"/>
        <v>0.66666666666666663</v>
      </c>
      <c r="G31">
        <f t="shared" si="30"/>
        <v>20</v>
      </c>
      <c r="H31" s="17">
        <f t="shared" si="34"/>
        <v>13.333333333333332</v>
      </c>
    </row>
    <row r="32" spans="1:8">
      <c r="A32" s="23" t="s">
        <v>10</v>
      </c>
      <c r="B32" s="23" t="s">
        <v>0</v>
      </c>
      <c r="C32" s="23">
        <v>2</v>
      </c>
      <c r="D32" s="30">
        <f t="shared" si="27"/>
        <v>1</v>
      </c>
      <c r="E32">
        <f t="shared" si="28"/>
        <v>90</v>
      </c>
      <c r="F32" s="18">
        <f t="shared" si="29"/>
        <v>1.3333333333333333</v>
      </c>
      <c r="G32">
        <f t="shared" si="30"/>
        <v>20</v>
      </c>
      <c r="H32" s="17">
        <f t="shared" si="34"/>
        <v>26.666666666666664</v>
      </c>
    </row>
    <row r="33" spans="1:9">
      <c r="A33" s="23" t="s">
        <v>10</v>
      </c>
      <c r="B33" s="23" t="s">
        <v>4</v>
      </c>
      <c r="C33" s="23">
        <v>3</v>
      </c>
      <c r="D33" s="30">
        <f t="shared" si="27"/>
        <v>1</v>
      </c>
      <c r="E33">
        <f t="shared" si="28"/>
        <v>90</v>
      </c>
      <c r="F33" s="18">
        <f t="shared" si="29"/>
        <v>2</v>
      </c>
      <c r="G33">
        <f t="shared" si="30"/>
        <v>20</v>
      </c>
      <c r="H33" s="17">
        <f t="shared" si="34"/>
        <v>40</v>
      </c>
    </row>
    <row r="34" spans="1:9" ht="15.75" thickBot="1">
      <c r="A34" s="23" t="s">
        <v>10</v>
      </c>
      <c r="B34" s="23" t="s">
        <v>6</v>
      </c>
      <c r="C34" s="23">
        <v>1</v>
      </c>
      <c r="D34" s="31">
        <f t="shared" si="27"/>
        <v>1</v>
      </c>
      <c r="E34">
        <f t="shared" si="28"/>
        <v>90</v>
      </c>
      <c r="F34" s="18">
        <f t="shared" si="29"/>
        <v>0.66666666666666663</v>
      </c>
      <c r="G34">
        <f t="shared" si="30"/>
        <v>20</v>
      </c>
      <c r="H34" s="17">
        <f t="shared" si="34"/>
        <v>13.333333333333332</v>
      </c>
    </row>
    <row r="35" spans="1:9" ht="15.75" thickBot="1">
      <c r="A35" s="23" t="s">
        <v>10</v>
      </c>
      <c r="B35" t="s">
        <v>67</v>
      </c>
      <c r="C35" s="73">
        <v>1</v>
      </c>
      <c r="D35" s="31">
        <f t="shared" ref="D35" si="35">VLOOKUP(A35,$M$1:$X$8,6,FALSE)</f>
        <v>1</v>
      </c>
      <c r="E35">
        <f t="shared" ref="E35" si="36">VLOOKUP(A35,$M$1:$X$8,5,FALSE)</f>
        <v>90</v>
      </c>
      <c r="F35" s="18">
        <f t="shared" ref="F35" si="37">60/E35*C35</f>
        <v>0.66666666666666663</v>
      </c>
      <c r="G35">
        <f t="shared" ref="G35" si="38">VLOOKUP(A35,$M$1:$X$8,9,FALSE)</f>
        <v>20</v>
      </c>
      <c r="H35" s="17">
        <f t="shared" ref="H35" si="39">D35*F35*G35</f>
        <v>13.333333333333332</v>
      </c>
    </row>
    <row r="36" spans="1:9">
      <c r="A36" s="76" t="s">
        <v>69</v>
      </c>
      <c r="B36" s="77"/>
      <c r="C36" s="78" t="s">
        <v>87</v>
      </c>
      <c r="D36" s="79"/>
    </row>
    <row r="37" spans="1:9" ht="93.75">
      <c r="A37" s="26" t="s">
        <v>68</v>
      </c>
      <c r="B37" s="57" t="s">
        <v>56</v>
      </c>
      <c r="C37" s="22" t="s">
        <v>54</v>
      </c>
      <c r="D37" s="22" t="s">
        <v>55</v>
      </c>
      <c r="E37" s="34"/>
      <c r="F37" s="61" t="s">
        <v>82</v>
      </c>
      <c r="G37" s="22" t="s">
        <v>53</v>
      </c>
      <c r="H37" s="22" t="s">
        <v>57</v>
      </c>
      <c r="I37" s="22" t="s">
        <v>58</v>
      </c>
    </row>
    <row r="38" spans="1:9" ht="37.5">
      <c r="A38" s="26" t="s">
        <v>60</v>
      </c>
      <c r="B38" s="58">
        <v>520</v>
      </c>
      <c r="C38" s="38">
        <f>GETPIVOTDATA("Итого",$I$1,"transaction rq",A38)*3</f>
        <v>495.00000000000011</v>
      </c>
      <c r="D38" s="20">
        <f>1-B38/C38</f>
        <v>-5.0505050505050164E-2</v>
      </c>
      <c r="E38" s="33"/>
      <c r="F38" t="s">
        <v>115</v>
      </c>
      <c r="G38" s="35">
        <f>GETPIVOTDATA("Итого",$I$1,"transaction rq",A38)</f>
        <v>165.00000000000003</v>
      </c>
      <c r="H38" s="23">
        <v>162</v>
      </c>
      <c r="I38" s="21">
        <f t="shared" ref="I38:I50" si="40">1-G38/H38</f>
        <v>-1.8518518518518601E-2</v>
      </c>
    </row>
    <row r="39" spans="1:9" ht="18.75">
      <c r="A39" s="27" t="s">
        <v>0</v>
      </c>
      <c r="B39" s="58">
        <v>422</v>
      </c>
      <c r="C39" s="38">
        <f t="shared" ref="C39:C49" si="41">GETPIVOTDATA("Итого",$I$1,"transaction rq",A39)*3</f>
        <v>435</v>
      </c>
      <c r="D39" s="20">
        <f>1-B39/C39</f>
        <v>2.9885057471264354E-2</v>
      </c>
      <c r="E39" s="33"/>
      <c r="F39" t="s">
        <v>24</v>
      </c>
      <c r="G39" s="35">
        <f t="shared" ref="G39:G49" si="42">GETPIVOTDATA("Итого",$I$1,"transaction rq",A39)</f>
        <v>145</v>
      </c>
      <c r="H39" s="23">
        <v>142</v>
      </c>
      <c r="I39" s="21">
        <f t="shared" si="40"/>
        <v>-2.1126760563380254E-2</v>
      </c>
    </row>
    <row r="40" spans="1:9" ht="37.5">
      <c r="A40" s="28" t="s">
        <v>67</v>
      </c>
      <c r="B40" s="58">
        <v>305</v>
      </c>
      <c r="C40" s="38">
        <f t="shared" si="41"/>
        <v>320</v>
      </c>
      <c r="D40" s="20">
        <f>1-B40/C40</f>
        <v>4.6875E-2</v>
      </c>
      <c r="E40" s="33"/>
      <c r="F40" t="s">
        <v>113</v>
      </c>
      <c r="G40" s="35">
        <f t="shared" si="42"/>
        <v>106.66666666666667</v>
      </c>
      <c r="H40" s="23">
        <v>104</v>
      </c>
      <c r="I40" s="21">
        <f t="shared" si="40"/>
        <v>-2.5641025641025772E-2</v>
      </c>
    </row>
    <row r="41" spans="1:9" ht="37.5">
      <c r="A41" s="27" t="s">
        <v>11</v>
      </c>
      <c r="B41" s="58">
        <v>282</v>
      </c>
      <c r="C41" s="38">
        <f t="shared" si="41"/>
        <v>280</v>
      </c>
      <c r="D41" s="20">
        <f t="shared" ref="D41:D50" si="43">1-B41/C41</f>
        <v>-7.1428571428571175E-3</v>
      </c>
      <c r="E41" s="33"/>
      <c r="F41" t="s">
        <v>111</v>
      </c>
      <c r="G41" s="35">
        <f t="shared" si="42"/>
        <v>93.333333333333343</v>
      </c>
      <c r="H41" s="23">
        <v>93</v>
      </c>
      <c r="I41" s="21">
        <f t="shared" si="40"/>
        <v>-3.5842293906811484E-3</v>
      </c>
    </row>
    <row r="42" spans="1:9" ht="37.5">
      <c r="A42" s="27" t="s">
        <v>12</v>
      </c>
      <c r="B42" s="58">
        <v>270</v>
      </c>
      <c r="C42" s="38">
        <f t="shared" si="41"/>
        <v>280</v>
      </c>
      <c r="D42" s="20">
        <f t="shared" si="43"/>
        <v>3.5714285714285698E-2</v>
      </c>
      <c r="E42" s="33"/>
      <c r="F42" t="s">
        <v>110</v>
      </c>
      <c r="G42" s="35">
        <f t="shared" si="42"/>
        <v>93.333333333333343</v>
      </c>
      <c r="H42" s="23">
        <v>93</v>
      </c>
      <c r="I42" s="21">
        <f t="shared" si="40"/>
        <v>-3.5842293906811484E-3</v>
      </c>
    </row>
    <row r="43" spans="1:9" ht="18.75">
      <c r="A43" s="27" t="s">
        <v>3</v>
      </c>
      <c r="B43" s="58">
        <v>175</v>
      </c>
      <c r="C43" s="38">
        <f t="shared" si="41"/>
        <v>180</v>
      </c>
      <c r="D43" s="20">
        <f t="shared" si="43"/>
        <v>2.777777777777779E-2</v>
      </c>
      <c r="E43" s="33"/>
      <c r="F43" t="s">
        <v>118</v>
      </c>
      <c r="G43" s="35">
        <f t="shared" si="42"/>
        <v>60</v>
      </c>
      <c r="H43" s="23">
        <v>60</v>
      </c>
      <c r="I43" s="21">
        <f t="shared" si="40"/>
        <v>0</v>
      </c>
    </row>
    <row r="44" spans="1:9" ht="18.75">
      <c r="A44" s="27" t="s">
        <v>4</v>
      </c>
      <c r="B44" s="58">
        <v>280</v>
      </c>
      <c r="C44" s="38">
        <f t="shared" si="41"/>
        <v>295</v>
      </c>
      <c r="D44" s="20">
        <f t="shared" si="43"/>
        <v>5.084745762711862E-2</v>
      </c>
      <c r="E44" s="39"/>
      <c r="F44" t="s">
        <v>114</v>
      </c>
      <c r="G44" s="35">
        <f t="shared" si="42"/>
        <v>98.333333333333343</v>
      </c>
      <c r="H44" s="23">
        <v>97</v>
      </c>
      <c r="I44" s="21">
        <f>1-G44/H44</f>
        <v>-1.3745704467354125E-2</v>
      </c>
    </row>
    <row r="45" spans="1:9" ht="18.75">
      <c r="A45" s="27" t="s">
        <v>13</v>
      </c>
      <c r="B45" s="58">
        <v>73</v>
      </c>
      <c r="C45" s="38">
        <f t="shared" si="41"/>
        <v>75</v>
      </c>
      <c r="D45" s="20">
        <f t="shared" si="43"/>
        <v>2.6666666666666616E-2</v>
      </c>
      <c r="E45" s="33"/>
      <c r="F45" t="s">
        <v>112</v>
      </c>
      <c r="G45" s="35">
        <f t="shared" si="42"/>
        <v>25</v>
      </c>
      <c r="H45" s="23">
        <v>25</v>
      </c>
      <c r="I45" s="21">
        <f t="shared" si="40"/>
        <v>0</v>
      </c>
    </row>
    <row r="46" spans="1:9" ht="18.75">
      <c r="A46" s="27" t="s">
        <v>6</v>
      </c>
      <c r="B46" s="58">
        <v>326</v>
      </c>
      <c r="C46" s="38">
        <f t="shared" si="41"/>
        <v>315</v>
      </c>
      <c r="D46" s="20">
        <f t="shared" si="43"/>
        <v>-3.4920634920635019E-2</v>
      </c>
      <c r="E46" s="33"/>
      <c r="F46" t="s">
        <v>25</v>
      </c>
      <c r="G46" s="35">
        <f t="shared" si="42"/>
        <v>105</v>
      </c>
      <c r="H46" s="23">
        <v>105</v>
      </c>
      <c r="I46" s="21">
        <f t="shared" si="40"/>
        <v>0</v>
      </c>
    </row>
    <row r="47" spans="1:9" ht="37.5">
      <c r="A47" s="27" t="s">
        <v>62</v>
      </c>
      <c r="B47" s="58">
        <v>97</v>
      </c>
      <c r="C47" s="38">
        <f t="shared" si="41"/>
        <v>100</v>
      </c>
      <c r="D47" s="20">
        <f>1-B47/C47</f>
        <v>3.0000000000000027E-2</v>
      </c>
      <c r="E47" s="33"/>
      <c r="F47" t="s">
        <v>117</v>
      </c>
      <c r="G47" s="35">
        <f t="shared" si="42"/>
        <v>33.333333333333336</v>
      </c>
      <c r="H47" s="23">
        <v>33</v>
      </c>
      <c r="I47" s="21">
        <f t="shared" si="40"/>
        <v>-1.0101010101010166E-2</v>
      </c>
    </row>
    <row r="48" spans="1:9" ht="37.5">
      <c r="A48" s="27" t="s">
        <v>61</v>
      </c>
      <c r="B48" s="58">
        <v>97</v>
      </c>
      <c r="C48" s="38">
        <f t="shared" si="41"/>
        <v>100</v>
      </c>
      <c r="D48" s="20">
        <f t="shared" si="43"/>
        <v>3.0000000000000027E-2</v>
      </c>
      <c r="E48" s="33"/>
      <c r="F48" t="s">
        <v>109</v>
      </c>
      <c r="G48" s="35">
        <f t="shared" si="42"/>
        <v>33.333333333333336</v>
      </c>
      <c r="H48" s="23">
        <v>33</v>
      </c>
      <c r="I48" s="21">
        <f t="shared" si="40"/>
        <v>-1.0101010101010166E-2</v>
      </c>
    </row>
    <row r="49" spans="1:9" ht="37.5">
      <c r="A49" s="27" t="s">
        <v>63</v>
      </c>
      <c r="B49" s="58">
        <v>97</v>
      </c>
      <c r="C49" s="38">
        <f t="shared" si="41"/>
        <v>100</v>
      </c>
      <c r="D49" s="20">
        <f t="shared" si="43"/>
        <v>3.0000000000000027E-2</v>
      </c>
      <c r="E49" s="33"/>
      <c r="F49" t="s">
        <v>116</v>
      </c>
      <c r="G49" s="35">
        <f t="shared" si="42"/>
        <v>33.333333333333336</v>
      </c>
      <c r="H49" s="23">
        <v>33</v>
      </c>
      <c r="I49" s="21">
        <f t="shared" si="40"/>
        <v>-1.0101010101010166E-2</v>
      </c>
    </row>
    <row r="50" spans="1:9" ht="19.5" thickBot="1">
      <c r="A50" s="29" t="s">
        <v>7</v>
      </c>
      <c r="B50" s="59">
        <f>SUM(B38:B49)</f>
        <v>2944</v>
      </c>
      <c r="C50" s="60">
        <f>SUM(C38:C49)</f>
        <v>2975</v>
      </c>
      <c r="D50" s="20">
        <f t="shared" si="43"/>
        <v>1.0420168067226898E-2</v>
      </c>
      <c r="F50" s="29" t="s">
        <v>7</v>
      </c>
      <c r="G50" s="17">
        <f>SUM(G38:G49)</f>
        <v>991.66666666666686</v>
      </c>
      <c r="H50" s="17">
        <f>SUM(H38:H49)</f>
        <v>980</v>
      </c>
      <c r="I50" s="21">
        <f t="shared" si="40"/>
        <v>-1.1904761904762085E-2</v>
      </c>
    </row>
    <row r="51" spans="1:9" ht="15.75" thickBot="1"/>
    <row r="52" spans="1:9" ht="15.75" thickBot="1">
      <c r="A52" s="44"/>
      <c r="B52" s="45"/>
      <c r="C52" s="46" t="s">
        <v>66</v>
      </c>
      <c r="D52" s="46"/>
      <c r="E52" s="46"/>
      <c r="F52" s="46"/>
      <c r="G52" s="46"/>
      <c r="H52" s="46"/>
      <c r="I52" s="24"/>
    </row>
    <row r="53" spans="1:9">
      <c r="I53" s="32"/>
    </row>
  </sheetData>
  <mergeCells count="2">
    <mergeCell ref="A36:B36"/>
    <mergeCell ref="C36:D36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3"/>
  <sheetViews>
    <sheetView workbookViewId="0">
      <selection activeCell="B10" sqref="B10"/>
    </sheetView>
  </sheetViews>
  <sheetFormatPr defaultColWidth="8.85546875" defaultRowHeight="15"/>
  <cols>
    <col min="1" max="1" width="47.42578125" bestFit="1" customWidth="1"/>
    <col min="2" max="2" width="14.140625" bestFit="1" customWidth="1"/>
  </cols>
  <sheetData>
    <row r="1" spans="1:2">
      <c r="A1" s="36" t="s">
        <v>70</v>
      </c>
      <c r="B1" s="36" t="s">
        <v>71</v>
      </c>
    </row>
    <row r="2" spans="1:2">
      <c r="A2" s="62" t="str">
        <f>'Автоматизированный расчет'!A38</f>
        <v>Главная Welcome страница</v>
      </c>
      <c r="B2" s="62" t="s">
        <v>72</v>
      </c>
    </row>
    <row r="3" spans="1:2">
      <c r="A3" s="62" t="str">
        <f>'Автоматизированный расчет'!A39</f>
        <v>Вход в систему</v>
      </c>
      <c r="B3" s="62" t="s">
        <v>24</v>
      </c>
    </row>
    <row r="4" spans="1:2">
      <c r="A4" s="62" t="str">
        <f>'Автоматизированный расчет'!A40</f>
        <v>Переход на страницу поиска билетов</v>
      </c>
      <c r="B4" s="62" t="s">
        <v>80</v>
      </c>
    </row>
    <row r="5" spans="1:2">
      <c r="A5" s="62" t="str">
        <f>'Автоматизированный расчет'!A41</f>
        <v xml:space="preserve">Заполнение полей для поиска билета </v>
      </c>
      <c r="B5" s="62" t="s">
        <v>81</v>
      </c>
    </row>
    <row r="6" spans="1:2">
      <c r="A6" s="62" t="str">
        <f>'Автоматизированный расчет'!A42</f>
        <v xml:space="preserve">Выбор рейса из найденных </v>
      </c>
      <c r="B6" s="62"/>
    </row>
    <row r="7" spans="1:2">
      <c r="A7" s="62" t="str">
        <f>'Автоматизированный расчет'!A43</f>
        <v>Оплата билета</v>
      </c>
      <c r="B7" s="62"/>
    </row>
    <row r="8" spans="1:2">
      <c r="A8" s="62" t="str">
        <f>'Автоматизированный расчет'!A44</f>
        <v>Просмотр квитанций</v>
      </c>
      <c r="B8" s="62"/>
    </row>
    <row r="9" spans="1:2">
      <c r="A9" s="62" t="str">
        <f>'Автоматизированный расчет'!A45</f>
        <v xml:space="preserve">Отмена бронирования </v>
      </c>
      <c r="B9" s="62"/>
    </row>
    <row r="10" spans="1:2">
      <c r="A10" s="62" t="str">
        <f>'Автоматизированный расчет'!A46</f>
        <v>Выход из системы</v>
      </c>
      <c r="B10" s="62"/>
    </row>
    <row r="11" spans="1:2">
      <c r="A11" s="62" t="str">
        <f>'Автоматизированный расчет'!A47</f>
        <v>Перход на страницу регистрации</v>
      </c>
      <c r="B11" s="62"/>
    </row>
    <row r="12" spans="1:2">
      <c r="A12" s="62" t="str">
        <f>'Автоматизированный расчет'!A48</f>
        <v>Заполнение полей регистарции</v>
      </c>
      <c r="B12" s="62"/>
    </row>
    <row r="13" spans="1:2">
      <c r="A13" s="62" t="str">
        <f>'Автоматизированный расчет'!A49</f>
        <v>Переход на следуюущий эран после регистарции</v>
      </c>
      <c r="B13" s="6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21"/>
  <sheetViews>
    <sheetView workbookViewId="0">
      <selection activeCell="A21" activeCellId="1" sqref="A2 A15:A21"/>
    </sheetView>
  </sheetViews>
  <sheetFormatPr defaultColWidth="8.85546875" defaultRowHeight="15"/>
  <cols>
    <col min="1" max="1" width="36.42578125" bestFit="1" customWidth="1"/>
  </cols>
  <sheetData>
    <row r="1" spans="1:10">
      <c r="A1" s="63" t="s">
        <v>27</v>
      </c>
      <c r="B1" s="63" t="s">
        <v>73</v>
      </c>
      <c r="C1" s="63" t="s">
        <v>74</v>
      </c>
      <c r="D1" s="63" t="s">
        <v>75</v>
      </c>
      <c r="E1" s="63" t="s">
        <v>76</v>
      </c>
      <c r="F1" s="63" t="s">
        <v>77</v>
      </c>
      <c r="G1" s="63" t="s">
        <v>78</v>
      </c>
      <c r="H1" s="63" t="s">
        <v>28</v>
      </c>
      <c r="I1" s="63" t="s">
        <v>29</v>
      </c>
      <c r="J1" s="63" t="s">
        <v>30</v>
      </c>
    </row>
    <row r="2" spans="1:10">
      <c r="A2" s="63" t="s">
        <v>84</v>
      </c>
      <c r="B2" s="63" t="s">
        <v>79</v>
      </c>
      <c r="C2" s="63">
        <v>0.45400000000000001</v>
      </c>
      <c r="D2" s="63">
        <v>0.86299999999999999</v>
      </c>
      <c r="E2" s="63">
        <v>1.232</v>
      </c>
      <c r="F2" s="63">
        <v>0.184</v>
      </c>
      <c r="G2" s="63">
        <v>1.097</v>
      </c>
      <c r="H2" s="63">
        <v>178</v>
      </c>
      <c r="I2" s="63">
        <v>0</v>
      </c>
      <c r="J2" s="63">
        <v>0</v>
      </c>
    </row>
    <row r="3" spans="1:10">
      <c r="A3" s="63" t="s">
        <v>88</v>
      </c>
      <c r="B3" s="63" t="s">
        <v>79</v>
      </c>
      <c r="C3" s="63">
        <v>0</v>
      </c>
      <c r="D3" s="63">
        <v>0.129</v>
      </c>
      <c r="E3" s="63">
        <v>0.214</v>
      </c>
      <c r="F3" s="63">
        <v>7.5999999999999998E-2</v>
      </c>
      <c r="G3" s="63">
        <v>0.192</v>
      </c>
      <c r="H3" s="63">
        <v>24</v>
      </c>
      <c r="I3" s="63">
        <v>0</v>
      </c>
      <c r="J3" s="63">
        <v>0</v>
      </c>
    </row>
    <row r="4" spans="1:10">
      <c r="A4" s="63" t="s">
        <v>89</v>
      </c>
      <c r="B4" s="63" t="s">
        <v>79</v>
      </c>
      <c r="C4" s="63">
        <v>0.16</v>
      </c>
      <c r="D4" s="63">
        <v>0.20799999999999999</v>
      </c>
      <c r="E4" s="63">
        <v>0.42299999999999999</v>
      </c>
      <c r="F4" s="63">
        <v>4.1000000000000002E-2</v>
      </c>
      <c r="G4" s="63">
        <v>0.24299999999999999</v>
      </c>
      <c r="H4" s="63">
        <v>97</v>
      </c>
      <c r="I4" s="63">
        <v>0</v>
      </c>
      <c r="J4" s="63">
        <v>0</v>
      </c>
    </row>
    <row r="5" spans="1:10">
      <c r="A5" s="63" t="s">
        <v>90</v>
      </c>
      <c r="B5" s="63" t="s">
        <v>79</v>
      </c>
      <c r="C5" s="63">
        <v>0.182</v>
      </c>
      <c r="D5" s="63">
        <v>0.21099999999999999</v>
      </c>
      <c r="E5" s="63">
        <v>0.34699999999999998</v>
      </c>
      <c r="F5" s="63">
        <v>2.5999999999999999E-2</v>
      </c>
      <c r="G5" s="63">
        <v>0.22800000000000001</v>
      </c>
      <c r="H5" s="63">
        <v>96</v>
      </c>
      <c r="I5" s="63">
        <v>0</v>
      </c>
      <c r="J5" s="63">
        <v>0</v>
      </c>
    </row>
    <row r="6" spans="1:10">
      <c r="A6" s="63" t="s">
        <v>91</v>
      </c>
      <c r="B6" s="63" t="s">
        <v>79</v>
      </c>
      <c r="C6" s="63">
        <v>0.14799999999999999</v>
      </c>
      <c r="D6" s="63">
        <v>0.17799999999999999</v>
      </c>
      <c r="E6" s="63">
        <v>0.23100000000000001</v>
      </c>
      <c r="F6" s="63">
        <v>1.9E-2</v>
      </c>
      <c r="G6" s="63">
        <v>0.20499999999999999</v>
      </c>
      <c r="H6" s="63">
        <v>32</v>
      </c>
      <c r="I6" s="63">
        <v>0</v>
      </c>
      <c r="J6" s="63">
        <v>0</v>
      </c>
    </row>
    <row r="7" spans="1:10">
      <c r="A7" s="63" t="s">
        <v>92</v>
      </c>
      <c r="B7" s="63" t="s">
        <v>79</v>
      </c>
      <c r="C7" s="63">
        <v>7.9000000000000001E-2</v>
      </c>
      <c r="D7" s="63">
        <v>9.1999999999999998E-2</v>
      </c>
      <c r="E7" s="63">
        <v>0.21</v>
      </c>
      <c r="F7" s="63">
        <v>1.4E-2</v>
      </c>
      <c r="G7" s="63">
        <v>0.1</v>
      </c>
      <c r="H7" s="63">
        <v>98</v>
      </c>
      <c r="I7" s="63">
        <v>0</v>
      </c>
      <c r="J7" s="63">
        <v>0</v>
      </c>
    </row>
    <row r="8" spans="1:10">
      <c r="A8" s="63" t="s">
        <v>24</v>
      </c>
      <c r="B8" s="63" t="s">
        <v>79</v>
      </c>
      <c r="C8" s="63">
        <v>0.152</v>
      </c>
      <c r="D8" s="63">
        <v>0.182</v>
      </c>
      <c r="E8" s="63">
        <v>0.34</v>
      </c>
      <c r="F8" s="63">
        <v>2.3E-2</v>
      </c>
      <c r="G8" s="63">
        <v>0.20799999999999999</v>
      </c>
      <c r="H8" s="63">
        <v>146</v>
      </c>
      <c r="I8" s="63">
        <v>0</v>
      </c>
      <c r="J8" s="63">
        <v>0</v>
      </c>
    </row>
    <row r="9" spans="1:10">
      <c r="A9" s="63" t="s">
        <v>85</v>
      </c>
      <c r="B9" s="63" t="s">
        <v>79</v>
      </c>
      <c r="C9" s="63">
        <v>0.14499999999999999</v>
      </c>
      <c r="D9" s="63">
        <v>0.17</v>
      </c>
      <c r="E9" s="63">
        <v>0.34599999999999997</v>
      </c>
      <c r="F9" s="63">
        <v>2.1999999999999999E-2</v>
      </c>
      <c r="G9" s="63">
        <v>0.186</v>
      </c>
      <c r="H9" s="63">
        <v>178</v>
      </c>
      <c r="I9" s="63">
        <v>0</v>
      </c>
      <c r="J9" s="63">
        <v>0</v>
      </c>
    </row>
    <row r="10" spans="1:10">
      <c r="A10" s="63" t="s">
        <v>86</v>
      </c>
      <c r="B10" s="63" t="s">
        <v>79</v>
      </c>
      <c r="C10" s="63">
        <v>8.7999999999999995E-2</v>
      </c>
      <c r="D10" s="63">
        <v>0.1</v>
      </c>
      <c r="E10" s="63">
        <v>0.13200000000000001</v>
      </c>
      <c r="F10" s="63">
        <v>8.9999999999999993E-3</v>
      </c>
      <c r="G10" s="63">
        <v>0.109</v>
      </c>
      <c r="H10" s="63">
        <v>60</v>
      </c>
      <c r="I10" s="63">
        <v>0</v>
      </c>
      <c r="J10" s="63">
        <v>0</v>
      </c>
    </row>
    <row r="11" spans="1:10">
      <c r="A11" s="63" t="s">
        <v>93</v>
      </c>
      <c r="B11" s="63" t="s">
        <v>79</v>
      </c>
      <c r="C11" s="63">
        <v>7.1999999999999995E-2</v>
      </c>
      <c r="D11" s="63">
        <v>8.5999999999999993E-2</v>
      </c>
      <c r="E11" s="63">
        <v>0.14299999999999999</v>
      </c>
      <c r="F11" s="63">
        <v>1.4E-2</v>
      </c>
      <c r="G11" s="63">
        <v>9.5000000000000001E-2</v>
      </c>
      <c r="H11" s="63">
        <v>32</v>
      </c>
      <c r="I11" s="63">
        <v>0</v>
      </c>
      <c r="J11" s="63">
        <v>0</v>
      </c>
    </row>
    <row r="12" spans="1:10">
      <c r="A12" s="63" t="s">
        <v>94</v>
      </c>
      <c r="B12" s="63" t="s">
        <v>79</v>
      </c>
      <c r="C12" s="63">
        <v>8.1000000000000003E-2</v>
      </c>
      <c r="D12" s="63">
        <v>9.7000000000000003E-2</v>
      </c>
      <c r="E12" s="63">
        <v>0.17199999999999999</v>
      </c>
      <c r="F12" s="63">
        <v>1.4E-2</v>
      </c>
      <c r="G12" s="63">
        <v>0.108</v>
      </c>
      <c r="H12" s="63">
        <v>90</v>
      </c>
      <c r="I12" s="63">
        <v>0</v>
      </c>
      <c r="J12" s="63">
        <v>0</v>
      </c>
    </row>
    <row r="13" spans="1:10">
      <c r="A13" s="63" t="s">
        <v>95</v>
      </c>
      <c r="B13" s="63" t="s">
        <v>79</v>
      </c>
      <c r="C13" s="63">
        <v>0.13600000000000001</v>
      </c>
      <c r="D13" s="63">
        <v>0.158</v>
      </c>
      <c r="E13" s="63">
        <v>0.39400000000000002</v>
      </c>
      <c r="F13" s="63">
        <v>2.7E-2</v>
      </c>
      <c r="G13" s="63">
        <v>0.17499999999999999</v>
      </c>
      <c r="H13" s="63">
        <v>110</v>
      </c>
      <c r="I13" s="63">
        <v>0</v>
      </c>
      <c r="J13" s="63">
        <v>0</v>
      </c>
    </row>
    <row r="14" spans="1:10">
      <c r="A14" s="63" t="s">
        <v>96</v>
      </c>
      <c r="B14" s="63" t="s">
        <v>79</v>
      </c>
      <c r="C14" s="63">
        <v>9.6000000000000002E-2</v>
      </c>
      <c r="D14" s="63">
        <v>0.11</v>
      </c>
      <c r="E14" s="63">
        <v>0.14000000000000001</v>
      </c>
      <c r="F14" s="63">
        <v>8.9999999999999993E-3</v>
      </c>
      <c r="G14" s="63">
        <v>0.121</v>
      </c>
      <c r="H14" s="63">
        <v>32</v>
      </c>
      <c r="I14" s="63">
        <v>0</v>
      </c>
      <c r="J14" s="63">
        <v>0</v>
      </c>
    </row>
    <row r="15" spans="1:10">
      <c r="A15" s="63" t="s">
        <v>97</v>
      </c>
      <c r="B15" s="63" t="s">
        <v>79</v>
      </c>
      <c r="C15" s="63">
        <v>0.61399999999999999</v>
      </c>
      <c r="D15" s="63">
        <v>0.69599999999999995</v>
      </c>
      <c r="E15" s="63">
        <v>0.77600000000000002</v>
      </c>
      <c r="F15" s="63">
        <v>4.3999999999999997E-2</v>
      </c>
      <c r="G15" s="63">
        <v>0.749</v>
      </c>
      <c r="H15" s="63">
        <v>32</v>
      </c>
      <c r="I15" s="63">
        <v>0</v>
      </c>
      <c r="J15" s="63">
        <v>0</v>
      </c>
    </row>
    <row r="16" spans="1:10">
      <c r="A16" s="63" t="s">
        <v>98</v>
      </c>
      <c r="B16" s="63" t="s">
        <v>79</v>
      </c>
      <c r="C16" s="63">
        <v>0.76800000000000002</v>
      </c>
      <c r="D16" s="63">
        <v>0.92100000000000004</v>
      </c>
      <c r="E16" s="63">
        <v>1.1739999999999999</v>
      </c>
      <c r="F16" s="63">
        <v>9.7000000000000003E-2</v>
      </c>
      <c r="G16" s="63">
        <v>1.0409999999999999</v>
      </c>
      <c r="H16" s="63">
        <v>30</v>
      </c>
      <c r="I16" s="63">
        <v>0</v>
      </c>
      <c r="J16" s="63">
        <v>0</v>
      </c>
    </row>
    <row r="17" spans="1:10">
      <c r="A17" s="63" t="s">
        <v>99</v>
      </c>
      <c r="B17" s="63" t="s">
        <v>79</v>
      </c>
      <c r="C17" s="63">
        <v>0.64800000000000002</v>
      </c>
      <c r="D17" s="63">
        <v>0.72399999999999998</v>
      </c>
      <c r="E17" s="63">
        <v>0.83099999999999996</v>
      </c>
      <c r="F17" s="63">
        <v>4.1000000000000002E-2</v>
      </c>
      <c r="G17" s="63">
        <v>0.75</v>
      </c>
      <c r="H17" s="63">
        <v>12</v>
      </c>
      <c r="I17" s="63">
        <v>0</v>
      </c>
      <c r="J17" s="63">
        <v>0</v>
      </c>
    </row>
    <row r="18" spans="1:10">
      <c r="A18" s="63" t="s">
        <v>100</v>
      </c>
      <c r="B18" s="63" t="s">
        <v>79</v>
      </c>
      <c r="C18" s="63">
        <v>0.92</v>
      </c>
      <c r="D18" s="63">
        <v>1.046</v>
      </c>
      <c r="E18" s="63">
        <v>1.232</v>
      </c>
      <c r="F18" s="63">
        <v>7.0000000000000007E-2</v>
      </c>
      <c r="G18" s="63">
        <v>1.1080000000000001</v>
      </c>
      <c r="H18" s="63">
        <v>60</v>
      </c>
      <c r="I18" s="63">
        <v>0</v>
      </c>
      <c r="J18" s="63">
        <v>0</v>
      </c>
    </row>
    <row r="19" spans="1:10">
      <c r="A19" s="63" t="s">
        <v>101</v>
      </c>
      <c r="B19" s="63" t="s">
        <v>79</v>
      </c>
      <c r="C19" s="63">
        <v>0.70599999999999996</v>
      </c>
      <c r="D19" s="63">
        <v>0.86599999999999999</v>
      </c>
      <c r="E19" s="63">
        <v>1.141</v>
      </c>
      <c r="F19" s="63">
        <v>0.10199999999999999</v>
      </c>
      <c r="G19" s="63">
        <v>0.97899999999999998</v>
      </c>
      <c r="H19" s="63">
        <v>24</v>
      </c>
      <c r="I19" s="63">
        <v>0</v>
      </c>
      <c r="J19" s="63">
        <v>0</v>
      </c>
    </row>
    <row r="20" spans="1:10">
      <c r="A20" s="63" t="s">
        <v>102</v>
      </c>
      <c r="B20" s="63" t="s">
        <v>79</v>
      </c>
      <c r="C20" s="63">
        <v>0.59899999999999998</v>
      </c>
      <c r="D20" s="63">
        <v>0.69599999999999995</v>
      </c>
      <c r="E20" s="63">
        <v>0.81</v>
      </c>
      <c r="F20" s="63">
        <v>6.2E-2</v>
      </c>
      <c r="G20" s="63">
        <v>0.81</v>
      </c>
      <c r="H20" s="63">
        <v>8</v>
      </c>
      <c r="I20" s="63">
        <v>0</v>
      </c>
      <c r="J20" s="63">
        <v>0</v>
      </c>
    </row>
    <row r="21" spans="1:10">
      <c r="A21" s="63" t="s">
        <v>103</v>
      </c>
      <c r="B21" s="63" t="s">
        <v>79</v>
      </c>
      <c r="C21" s="63">
        <v>0.45300000000000001</v>
      </c>
      <c r="D21" s="63">
        <v>0.497</v>
      </c>
      <c r="E21" s="63">
        <v>0.56399999999999995</v>
      </c>
      <c r="F21" s="63">
        <v>2.7E-2</v>
      </c>
      <c r="G21" s="63">
        <v>0.50800000000000001</v>
      </c>
      <c r="H21" s="63">
        <v>12</v>
      </c>
      <c r="I21" s="63">
        <v>0</v>
      </c>
      <c r="J21" s="6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C9:O44"/>
  <sheetViews>
    <sheetView topLeftCell="A22" workbookViewId="0">
      <selection activeCell="J46" sqref="J46"/>
    </sheetView>
  </sheetViews>
  <sheetFormatPr defaultColWidth="8.85546875" defaultRowHeight="15"/>
  <cols>
    <col min="2" max="2" width="4.42578125" customWidth="1"/>
    <col min="3" max="4" width="9.140625" hidden="1" customWidth="1"/>
    <col min="5" max="5" width="20.42578125" customWidth="1"/>
    <col min="6" max="6" width="18.85546875" customWidth="1"/>
    <col min="7" max="7" width="15.28515625" customWidth="1"/>
    <col min="8" max="8" width="15.140625" customWidth="1"/>
    <col min="9" max="9" width="14" customWidth="1"/>
    <col min="11" max="11" width="1.42578125" customWidth="1"/>
    <col min="12" max="12" width="40.28515625" customWidth="1"/>
    <col min="13" max="13" width="6" bestFit="1" customWidth="1"/>
    <col min="14" max="14" width="4.140625" bestFit="1" customWidth="1"/>
    <col min="15" max="15" width="5" bestFit="1" customWidth="1"/>
    <col min="16" max="16" width="14.140625" bestFit="1" customWidth="1"/>
    <col min="17" max="17" width="19.42578125" bestFit="1" customWidth="1"/>
  </cols>
  <sheetData>
    <row r="9" spans="5:9">
      <c r="E9" s="80" t="s">
        <v>33</v>
      </c>
      <c r="F9" s="80"/>
      <c r="G9" s="80"/>
      <c r="H9" s="80"/>
      <c r="I9" s="80"/>
    </row>
    <row r="11" spans="5:9" ht="28.5">
      <c r="E11" s="1" t="s">
        <v>14</v>
      </c>
      <c r="F11" s="1" t="s">
        <v>15</v>
      </c>
      <c r="G11" s="1" t="s">
        <v>16</v>
      </c>
      <c r="H11" s="1" t="s">
        <v>17</v>
      </c>
      <c r="I11" s="1" t="s">
        <v>18</v>
      </c>
    </row>
    <row r="12" spans="5:9" ht="15.75">
      <c r="E12" s="2" t="s">
        <v>0</v>
      </c>
      <c r="F12" s="3" t="s">
        <v>24</v>
      </c>
      <c r="G12" s="4">
        <v>368</v>
      </c>
      <c r="H12" s="3">
        <f>121*3</f>
        <v>363</v>
      </c>
      <c r="I12" s="5">
        <f>1-G12/H12</f>
        <v>-1.377410468319562E-2</v>
      </c>
    </row>
    <row r="13" spans="5:9" ht="31.5">
      <c r="E13" s="2" t="s">
        <v>1</v>
      </c>
      <c r="F13" s="3" t="s">
        <v>23</v>
      </c>
      <c r="G13" s="4">
        <v>251</v>
      </c>
      <c r="H13" s="3">
        <f>82*3</f>
        <v>246</v>
      </c>
      <c r="I13" s="5">
        <f t="shared" ref="I13:I18" si="0">1-G13/H13</f>
        <v>-2.0325203252032464E-2</v>
      </c>
    </row>
    <row r="14" spans="5:9" ht="31.5">
      <c r="E14" s="2" t="s">
        <v>2</v>
      </c>
      <c r="F14" s="3" t="s">
        <v>26</v>
      </c>
      <c r="G14" s="4">
        <v>251</v>
      </c>
      <c r="H14" s="3">
        <f>82*3</f>
        <v>246</v>
      </c>
      <c r="I14" s="5">
        <f t="shared" si="0"/>
        <v>-2.0325203252032464E-2</v>
      </c>
    </row>
    <row r="15" spans="5:9" ht="15.75">
      <c r="E15" s="2" t="s">
        <v>3</v>
      </c>
      <c r="F15" s="3" t="s">
        <v>19</v>
      </c>
      <c r="G15" s="4">
        <v>175</v>
      </c>
      <c r="H15" s="3">
        <f>56*3</f>
        <v>168</v>
      </c>
      <c r="I15" s="6">
        <f t="shared" si="0"/>
        <v>-4.1666666666666741E-2</v>
      </c>
    </row>
    <row r="16" spans="5:9" ht="31.5">
      <c r="E16" s="2" t="s">
        <v>20</v>
      </c>
      <c r="F16" s="3" t="s">
        <v>22</v>
      </c>
      <c r="G16" s="4">
        <v>159</v>
      </c>
      <c r="H16" s="4">
        <f>56*3</f>
        <v>168</v>
      </c>
      <c r="I16" s="5">
        <f t="shared" si="0"/>
        <v>5.3571428571428603E-2</v>
      </c>
    </row>
    <row r="17" spans="5:9" ht="47.25">
      <c r="E17" s="2" t="s">
        <v>5</v>
      </c>
      <c r="F17" s="3" t="s">
        <v>21</v>
      </c>
      <c r="G17" s="4">
        <v>73</v>
      </c>
      <c r="H17" s="3">
        <f>25*3</f>
        <v>75</v>
      </c>
      <c r="I17" s="5">
        <f t="shared" si="0"/>
        <v>2.6666666666666616E-2</v>
      </c>
    </row>
    <row r="18" spans="5:9" ht="15.75">
      <c r="E18" s="2" t="s">
        <v>6</v>
      </c>
      <c r="F18" s="3" t="s">
        <v>25</v>
      </c>
      <c r="G18" s="4">
        <v>326</v>
      </c>
      <c r="H18" s="3">
        <f>104*3</f>
        <v>312</v>
      </c>
      <c r="I18" s="5">
        <f t="shared" si="0"/>
        <v>-4.4871794871794934E-2</v>
      </c>
    </row>
    <row r="23" spans="5:9">
      <c r="E23" s="80" t="s">
        <v>31</v>
      </c>
      <c r="F23" s="80"/>
      <c r="G23" s="80"/>
      <c r="H23" s="80"/>
      <c r="I23" s="80"/>
    </row>
    <row r="25" spans="5:9">
      <c r="E25" s="8" t="s">
        <v>14</v>
      </c>
      <c r="F25" s="8" t="s">
        <v>15</v>
      </c>
      <c r="G25" s="8" t="s">
        <v>16</v>
      </c>
      <c r="H25" s="8" t="s">
        <v>17</v>
      </c>
      <c r="I25" s="8" t="s">
        <v>18</v>
      </c>
    </row>
    <row r="26" spans="5:9" ht="15.75">
      <c r="E26" s="13" t="s">
        <v>0</v>
      </c>
      <c r="F26" s="12" t="s">
        <v>24</v>
      </c>
      <c r="G26" s="10">
        <f>5*368</f>
        <v>1840</v>
      </c>
      <c r="H26" s="9">
        <f>721*3</f>
        <v>2163</v>
      </c>
      <c r="I26" s="11">
        <f>1-G26/H26</f>
        <v>0.14932963476652794</v>
      </c>
    </row>
    <row r="27" spans="5:9" ht="15.75">
      <c r="E27" s="13" t="s">
        <v>1</v>
      </c>
      <c r="F27" s="12" t="s">
        <v>23</v>
      </c>
      <c r="G27" s="10">
        <f>5*251</f>
        <v>1255</v>
      </c>
      <c r="H27" s="9">
        <f>3*464</f>
        <v>1392</v>
      </c>
      <c r="I27" s="11">
        <f t="shared" ref="I27:I32" si="1">1-G27/H27</f>
        <v>9.8419540229885083E-2</v>
      </c>
    </row>
    <row r="28" spans="5:9" ht="15.75">
      <c r="E28" s="13" t="s">
        <v>2</v>
      </c>
      <c r="F28" s="12" t="s">
        <v>26</v>
      </c>
      <c r="G28" s="10">
        <f>5*251</f>
        <v>1255</v>
      </c>
      <c r="H28" s="9">
        <f>3*462</f>
        <v>1386</v>
      </c>
      <c r="I28" s="11">
        <f t="shared" si="1"/>
        <v>9.4516594516594554E-2</v>
      </c>
    </row>
    <row r="29" spans="5:9" ht="15.75">
      <c r="E29" s="13" t="s">
        <v>3</v>
      </c>
      <c r="F29" s="12" t="s">
        <v>19</v>
      </c>
      <c r="G29" s="10">
        <f>5*175</f>
        <v>875</v>
      </c>
      <c r="H29" s="9">
        <f>3*314</f>
        <v>942</v>
      </c>
      <c r="I29" s="7">
        <f t="shared" si="1"/>
        <v>7.1125265392781301E-2</v>
      </c>
    </row>
    <row r="30" spans="5:9" ht="15.75">
      <c r="E30" s="13" t="s">
        <v>20</v>
      </c>
      <c r="F30" s="12" t="s">
        <v>22</v>
      </c>
      <c r="G30" s="10">
        <f>5*159</f>
        <v>795</v>
      </c>
      <c r="H30" s="9">
        <f>3*330</f>
        <v>990</v>
      </c>
      <c r="I30" s="11">
        <f t="shared" si="1"/>
        <v>0.19696969696969702</v>
      </c>
    </row>
    <row r="31" spans="5:9" ht="15.75">
      <c r="E31" s="13" t="s">
        <v>5</v>
      </c>
      <c r="F31" s="12" t="s">
        <v>21</v>
      </c>
      <c r="G31" s="10">
        <f>5*73</f>
        <v>365</v>
      </c>
      <c r="H31" s="9">
        <f>3*141</f>
        <v>423</v>
      </c>
      <c r="I31" s="11">
        <f t="shared" si="1"/>
        <v>0.13711583924349879</v>
      </c>
    </row>
    <row r="32" spans="5:9" ht="15.75">
      <c r="E32" s="13" t="s">
        <v>6</v>
      </c>
      <c r="F32" s="12" t="s">
        <v>25</v>
      </c>
      <c r="G32" s="10">
        <f>5*326</f>
        <v>1630</v>
      </c>
      <c r="H32" s="9">
        <f>3*599</f>
        <v>1797</v>
      </c>
      <c r="I32" s="11">
        <f t="shared" si="1"/>
        <v>9.2932665553700611E-2</v>
      </c>
    </row>
    <row r="35" spans="5:15">
      <c r="E35" s="80" t="s">
        <v>32</v>
      </c>
      <c r="F35" s="80"/>
      <c r="G35" s="80"/>
      <c r="H35" s="80"/>
      <c r="I35" s="80"/>
    </row>
    <row r="37" spans="5:15">
      <c r="E37" s="8" t="s">
        <v>14</v>
      </c>
      <c r="F37" s="8" t="s">
        <v>15</v>
      </c>
      <c r="G37" s="8" t="s">
        <v>16</v>
      </c>
      <c r="H37" s="8" t="s">
        <v>17</v>
      </c>
      <c r="I37" s="8" t="s">
        <v>18</v>
      </c>
      <c r="L37" s="14" t="s">
        <v>27</v>
      </c>
      <c r="M37" s="14" t="s">
        <v>28</v>
      </c>
      <c r="N37" s="14" t="s">
        <v>29</v>
      </c>
      <c r="O37" s="14" t="s">
        <v>30</v>
      </c>
    </row>
    <row r="38" spans="5:15" ht="15.75">
      <c r="E38" s="13" t="s">
        <v>0</v>
      </c>
      <c r="F38" s="12" t="s">
        <v>24</v>
      </c>
      <c r="G38" s="10">
        <f>5*368</f>
        <v>1840</v>
      </c>
      <c r="H38" s="9">
        <v>2109</v>
      </c>
      <c r="I38" s="11">
        <f>1-G38/H38</f>
        <v>0.12754860123281175</v>
      </c>
      <c r="L38" s="14" t="s">
        <v>21</v>
      </c>
      <c r="M38" s="14">
        <v>377</v>
      </c>
      <c r="N38" s="14">
        <v>27</v>
      </c>
      <c r="O38" s="14">
        <v>0</v>
      </c>
    </row>
    <row r="39" spans="5:15" ht="15.75">
      <c r="E39" s="13" t="s">
        <v>1</v>
      </c>
      <c r="F39" s="12" t="s">
        <v>23</v>
      </c>
      <c r="G39" s="10">
        <f>5*251</f>
        <v>1255</v>
      </c>
      <c r="H39" s="14">
        <v>1315</v>
      </c>
      <c r="I39" s="11">
        <f t="shared" ref="I39:I44" si="2">1-G39/H39</f>
        <v>4.5627376425855459E-2</v>
      </c>
      <c r="L39" s="14" t="s">
        <v>22</v>
      </c>
      <c r="M39" s="14">
        <v>998</v>
      </c>
      <c r="N39" s="14">
        <v>1</v>
      </c>
      <c r="O39" s="14">
        <v>0</v>
      </c>
    </row>
    <row r="40" spans="5:15" ht="15.75">
      <c r="E40" s="13" t="s">
        <v>2</v>
      </c>
      <c r="F40" s="12" t="s">
        <v>26</v>
      </c>
      <c r="G40" s="10">
        <f>5*251</f>
        <v>1255</v>
      </c>
      <c r="H40" s="9">
        <v>1315</v>
      </c>
      <c r="I40" s="11">
        <f t="shared" si="2"/>
        <v>4.5627376425855459E-2</v>
      </c>
      <c r="L40" s="14" t="s">
        <v>23</v>
      </c>
      <c r="M40" s="14" t="s">
        <v>34</v>
      </c>
      <c r="N40" s="14">
        <v>0</v>
      </c>
      <c r="O40" s="14">
        <v>0</v>
      </c>
    </row>
    <row r="41" spans="5:15" ht="15.75">
      <c r="E41" s="13" t="s">
        <v>3</v>
      </c>
      <c r="F41" s="12" t="s">
        <v>19</v>
      </c>
      <c r="G41" s="10">
        <f>5*175</f>
        <v>875</v>
      </c>
      <c r="H41" s="14">
        <v>924</v>
      </c>
      <c r="I41" s="7">
        <f t="shared" si="2"/>
        <v>5.3030303030302983E-2</v>
      </c>
      <c r="L41" s="14" t="s">
        <v>24</v>
      </c>
      <c r="M41" s="14" t="s">
        <v>35</v>
      </c>
      <c r="N41" s="14">
        <v>139</v>
      </c>
      <c r="O41" s="14">
        <v>0</v>
      </c>
    </row>
    <row r="42" spans="5:15" ht="15.75">
      <c r="E42" s="13" t="s">
        <v>20</v>
      </c>
      <c r="F42" s="12" t="s">
        <v>22</v>
      </c>
      <c r="G42" s="10">
        <f>5*159</f>
        <v>795</v>
      </c>
      <c r="H42" s="14">
        <v>998</v>
      </c>
      <c r="I42" s="11">
        <f t="shared" si="2"/>
        <v>0.20340681362725455</v>
      </c>
      <c r="L42" s="14" t="s">
        <v>25</v>
      </c>
      <c r="M42" s="14" t="s">
        <v>36</v>
      </c>
      <c r="N42" s="14">
        <v>1</v>
      </c>
      <c r="O42" s="14">
        <v>0</v>
      </c>
    </row>
    <row r="43" spans="5:15" ht="15.75">
      <c r="E43" s="13" t="s">
        <v>5</v>
      </c>
      <c r="F43" s="12" t="s">
        <v>21</v>
      </c>
      <c r="G43" s="10">
        <f>5*73</f>
        <v>365</v>
      </c>
      <c r="H43" s="14">
        <v>404</v>
      </c>
      <c r="I43" s="11">
        <f t="shared" si="2"/>
        <v>9.6534653465346509E-2</v>
      </c>
      <c r="L43" s="14" t="s">
        <v>19</v>
      </c>
      <c r="M43" s="14">
        <v>924</v>
      </c>
      <c r="N43" s="14">
        <v>0</v>
      </c>
      <c r="O43" s="14">
        <v>0</v>
      </c>
    </row>
    <row r="44" spans="5:15" ht="15.75">
      <c r="E44" s="13" t="s">
        <v>6</v>
      </c>
      <c r="F44" s="12" t="s">
        <v>25</v>
      </c>
      <c r="G44" s="10">
        <f>5*326</f>
        <v>1630</v>
      </c>
      <c r="H44" s="9">
        <v>1675</v>
      </c>
      <c r="I44" s="11">
        <f t="shared" si="2"/>
        <v>2.68656716417911E-2</v>
      </c>
      <c r="L44" s="14" t="s">
        <v>26</v>
      </c>
      <c r="M44" s="14" t="s">
        <v>34</v>
      </c>
      <c r="N44" s="14">
        <v>0</v>
      </c>
      <c r="O44" s="14">
        <v>0</v>
      </c>
    </row>
  </sheetData>
  <mergeCells count="3">
    <mergeCell ref="E23:I23"/>
    <mergeCell ref="E35:I35"/>
    <mergeCell ref="E9:I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Автоматизированный расчет</vt:lpstr>
      <vt:lpstr>Соответствие</vt:lpstr>
      <vt:lpstr>SummaryReport</vt:lpstr>
      <vt:lpstr>Результаты всех тестов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Назар Грехов</dc:creator>
  <cp:lastModifiedBy>Рабочий</cp:lastModifiedBy>
  <dcterms:created xsi:type="dcterms:W3CDTF">2015-06-05T18:19:34Z</dcterms:created>
  <dcterms:modified xsi:type="dcterms:W3CDTF">2024-12-11T18:31:36Z</dcterms:modified>
</cp:coreProperties>
</file>