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98DC1B5-21DA-3D45-A44C-3F73D53A0B5D}" xr6:coauthVersionLast="47" xr6:coauthVersionMax="47" xr10:uidLastSave="{00000000-0000-0000-0000-000000000000}"/>
  <bookViews>
    <workbookView xWindow="100" yWindow="76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4" hidden="1">'Cozzolini 2018'!$A$1:$N$1105</definedName>
    <definedName name="_xlnm._FilterDatabase" localSheetId="3" hidden="1">'Gonzalez-Garcia et al. 2012'!$A$1:$J$143</definedName>
    <definedName name="_xlnm._FilterDatabase" localSheetId="1" hidden="1">GREET!$A$1:$J$2749</definedName>
    <definedName name="_xlnm._FilterDatabase" localSheetId="2" hidden="1">'Pereira et al. 2019'!$A$1:$J$347</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9" i="6" l="1"/>
  <c r="B860" i="6"/>
  <c r="B357" i="6"/>
  <c r="B217" i="6"/>
  <c r="B146" i="6"/>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s="1"/>
  <c r="B121" i="7"/>
  <c r="F61" i="4" s="1"/>
  <c r="B15" i="2"/>
  <c r="B17" i="7"/>
  <c r="F54" i="4" s="1"/>
  <c r="R21" i="4"/>
  <c r="R23" i="4"/>
  <c r="B135" i="7"/>
  <c r="B134" i="7"/>
  <c r="B133" i="7"/>
  <c r="B132" i="7"/>
  <c r="B131" i="7"/>
  <c r="B129" i="7"/>
  <c r="B126" i="7"/>
  <c r="B125" i="7"/>
  <c r="B124" i="7"/>
  <c r="B123" i="7"/>
  <c r="B122" i="7"/>
  <c r="B85" i="7"/>
  <c r="B103" i="7" s="1"/>
  <c r="B117" i="7"/>
  <c r="B128" i="7" s="1"/>
  <c r="B182" i="7"/>
  <c r="B194" i="7" s="1"/>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s="1"/>
  <c r="B71" i="7"/>
  <c r="B65" i="7"/>
  <c r="B62" i="7"/>
  <c r="B56" i="7"/>
  <c r="B54" i="7"/>
  <c r="B13" i="7"/>
  <c r="B36" i="7"/>
  <c r="B35" i="7"/>
  <c r="B34" i="7"/>
  <c r="B33" i="7"/>
  <c r="B32" i="7"/>
  <c r="B31" i="7"/>
  <c r="B30" i="7"/>
  <c r="B29" i="7"/>
  <c r="B27" i="7"/>
  <c r="B26" i="7"/>
  <c r="B25" i="7"/>
  <c r="B24" i="7"/>
  <c r="B23" i="7"/>
  <c r="B22" i="7"/>
  <c r="B21" i="7"/>
  <c r="B20" i="7"/>
  <c r="B19" i="7"/>
  <c r="B18" i="7"/>
  <c r="B809" i="6"/>
  <c r="B88" i="2"/>
  <c r="B89" i="2"/>
  <c r="G88" i="2"/>
  <c r="B10" i="3"/>
  <c r="B117" i="3"/>
  <c r="F46" i="4"/>
  <c r="G46" i="4"/>
  <c r="B138" i="3"/>
  <c r="D88" i="2"/>
  <c r="D89" i="2"/>
  <c r="F88" i="2"/>
  <c r="B96" i="3"/>
  <c r="B2126" i="1"/>
  <c r="B2209" i="1" s="1"/>
  <c r="F43" i="4" s="1"/>
  <c r="R15" i="4"/>
  <c r="B1967" i="1"/>
  <c r="B2045" i="1" s="1"/>
  <c r="R14" i="4"/>
  <c r="B2229" i="1"/>
  <c r="F150" i="4" s="1"/>
  <c r="B2062" i="1"/>
  <c r="B2028" i="1"/>
  <c r="B51" i="2"/>
  <c r="G50" i="2"/>
  <c r="B1454" i="1"/>
  <c r="B1612" i="1" s="1"/>
  <c r="B1534" i="1"/>
  <c r="F40" i="4"/>
  <c r="G40" i="4" s="1"/>
  <c r="R12" i="4"/>
  <c r="D50" i="2"/>
  <c r="D51" i="2"/>
  <c r="F50" i="2"/>
  <c r="B1572" i="1"/>
  <c r="B1578" i="1" s="1"/>
  <c r="B1552" i="1"/>
  <c r="B1516" i="1"/>
  <c r="B489" i="6"/>
  <c r="B464" i="6"/>
  <c r="B410" i="6"/>
  <c r="B406" i="6"/>
  <c r="O23" i="4" s="1"/>
  <c r="B404" i="6"/>
  <c r="B401" i="6"/>
  <c r="F23" i="4" s="1"/>
  <c r="B399" i="6"/>
  <c r="B398" i="6"/>
  <c r="B397" i="6"/>
  <c r="B395" i="6"/>
  <c r="L23" i="4" s="1"/>
  <c r="B646" i="6"/>
  <c r="B633" i="6"/>
  <c r="B660" i="6" s="1"/>
  <c r="M56" i="4" s="1"/>
  <c r="M90" i="4" s="1"/>
  <c r="B675"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2" i="1"/>
  <c r="B831" i="1"/>
  <c r="B829" i="1"/>
  <c r="B828" i="1"/>
  <c r="B827" i="1"/>
  <c r="B826" i="1"/>
  <c r="B825" i="1"/>
  <c r="B821" i="1"/>
  <c r="B804" i="1"/>
  <c r="B1557" i="1"/>
  <c r="B1616" i="1"/>
  <c r="B1614" i="1"/>
  <c r="B1613" i="1"/>
  <c r="B1608" i="1"/>
  <c r="B1596" i="1"/>
  <c r="B1594" i="1"/>
  <c r="B1593" i="1"/>
  <c r="B1576" i="1"/>
  <c r="B1574" i="1"/>
  <c r="B1573" i="1"/>
  <c r="B1535" i="1"/>
  <c r="B1517" i="1"/>
  <c r="B1062" i="1"/>
  <c r="B1130" i="1"/>
  <c r="B1052" i="1"/>
  <c r="B1129" i="1"/>
  <c r="B1138" i="1" s="1"/>
  <c r="B1051" i="1"/>
  <c r="B1104" i="1"/>
  <c r="B1028" i="1"/>
  <c r="B1103" i="1"/>
  <c r="B1115" i="1" s="1"/>
  <c r="B1027" i="1"/>
  <c r="D35" i="2"/>
  <c r="D36" i="2"/>
  <c r="F35" i="2"/>
  <c r="B1078" i="1"/>
  <c r="B1004" i="1"/>
  <c r="B1077" i="1"/>
  <c r="B1086" i="1" s="1"/>
  <c r="B1003" i="1"/>
  <c r="B1139" i="1"/>
  <c r="B1137" i="1"/>
  <c r="B1136" i="1"/>
  <c r="B1135" i="1"/>
  <c r="B1134" i="1"/>
  <c r="B1133" i="1"/>
  <c r="B1132" i="1"/>
  <c r="B1131" i="1"/>
  <c r="B1125" i="1"/>
  <c r="B1113" i="1"/>
  <c r="B1111" i="1"/>
  <c r="B1110" i="1"/>
  <c r="B1109" i="1"/>
  <c r="B1108" i="1"/>
  <c r="B1107" i="1"/>
  <c r="B1106" i="1"/>
  <c r="B1105" i="1"/>
  <c r="B1087" i="1"/>
  <c r="B1085" i="1"/>
  <c r="B1084" i="1"/>
  <c r="B1083" i="1"/>
  <c r="B1082" i="1"/>
  <c r="B1081" i="1"/>
  <c r="B1080" i="1"/>
  <c r="B1079" i="1"/>
  <c r="B1073"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8" i="1"/>
  <c r="B2533" i="1"/>
  <c r="R152" i="4" s="1"/>
  <c r="R170" i="4" s="1"/>
  <c r="B10" i="2"/>
  <c r="C58" i="2"/>
  <c r="B2598" i="1"/>
  <c r="B2611" i="1"/>
  <c r="B2523" i="1"/>
  <c r="B2576" i="1"/>
  <c r="B2502" i="1"/>
  <c r="B2575" i="1"/>
  <c r="B2501" i="1"/>
  <c r="B2574" i="1"/>
  <c r="B2584" i="1" s="1"/>
  <c r="B2500" i="1"/>
  <c r="B2551" i="1"/>
  <c r="B2478" i="1"/>
  <c r="B2550" i="1"/>
  <c r="B2558" i="1"/>
  <c r="B2477" i="1"/>
  <c r="B2607" i="1"/>
  <c r="B2605" i="1"/>
  <c r="B2604" i="1"/>
  <c r="B2603" i="1"/>
  <c r="B2602" i="1"/>
  <c r="B2601" i="1"/>
  <c r="B2600" i="1"/>
  <c r="B2599" i="1"/>
  <c r="B2594" i="1"/>
  <c r="B2583" i="1"/>
  <c r="B2581" i="1"/>
  <c r="B2580" i="1"/>
  <c r="B2579" i="1"/>
  <c r="B2578" i="1"/>
  <c r="B2577" i="1"/>
  <c r="B2559" i="1"/>
  <c r="B2557" i="1"/>
  <c r="B2556" i="1"/>
  <c r="B2555" i="1"/>
  <c r="B2554" i="1"/>
  <c r="B2553" i="1"/>
  <c r="B2552" i="1"/>
  <c r="B2546" i="1"/>
  <c r="B2193" i="1"/>
  <c r="B2192" i="1"/>
  <c r="B2233" i="1"/>
  <c r="B2232" i="1"/>
  <c r="B2213" i="1"/>
  <c r="B2212" i="1"/>
  <c r="B2132" i="1"/>
  <c r="B1973" i="1"/>
  <c r="B1877" i="1"/>
  <c r="B1854" i="1"/>
  <c r="B1831" i="1"/>
  <c r="B2332" i="1"/>
  <c r="B1780" i="1"/>
  <c r="B1788" i="1"/>
  <c r="B1787" i="1"/>
  <c r="B1786" i="1"/>
  <c r="B1779" i="1"/>
  <c r="B1778" i="1"/>
  <c r="B1777" i="1"/>
  <c r="B1775" i="1"/>
  <c r="B1774" i="1"/>
  <c r="B1773" i="1"/>
  <c r="B1772" i="1"/>
  <c r="B1473" i="1"/>
  <c r="B1471" i="1"/>
  <c r="B1465" i="1"/>
  <c r="B1464" i="1"/>
  <c r="B1463" i="1"/>
  <c r="B1460" i="1"/>
  <c r="B851" i="1"/>
  <c r="B850" i="1"/>
  <c r="B855" i="1"/>
  <c r="B853" i="1"/>
  <c r="B852" i="1"/>
  <c r="B856" i="1"/>
  <c r="B858" i="1"/>
  <c r="B809" i="1"/>
  <c r="B807" i="1"/>
  <c r="B806" i="1"/>
  <c r="B805" i="1"/>
  <c r="B787" i="1"/>
  <c r="B785" i="1"/>
  <c r="B784" i="1"/>
  <c r="B783" i="1"/>
  <c r="B782" i="1"/>
  <c r="B1323" i="1"/>
  <c r="B1347" i="1"/>
  <c r="B1371" i="1"/>
  <c r="B1368" i="1"/>
  <c r="B1366" i="1"/>
  <c r="B1365" i="1"/>
  <c r="B1344" i="1"/>
  <c r="B1342" i="1"/>
  <c r="B1341" i="1"/>
  <c r="B1320" i="1"/>
  <c r="B1318" i="1"/>
  <c r="B1317" i="1"/>
  <c r="J27" i="2"/>
  <c r="B2530" i="1"/>
  <c r="B2529" i="1"/>
  <c r="B2528" i="1"/>
  <c r="B2527" i="1"/>
  <c r="B2526" i="1"/>
  <c r="B2525" i="1"/>
  <c r="B2524" i="1"/>
  <c r="B2507" i="1"/>
  <c r="B2506" i="1"/>
  <c r="B2505" i="1"/>
  <c r="B2504" i="1"/>
  <c r="B2503" i="1"/>
  <c r="B2479" i="1"/>
  <c r="B2480" i="1"/>
  <c r="B2436" i="1"/>
  <c r="B2435" i="1"/>
  <c r="B2434" i="1"/>
  <c r="B2433" i="1"/>
  <c r="B2432" i="1"/>
  <c r="B2413" i="1"/>
  <c r="B2412" i="1"/>
  <c r="B2410" i="1"/>
  <c r="B2409" i="1"/>
  <c r="B2484" i="1"/>
  <c r="B2483" i="1"/>
  <c r="B2482" i="1"/>
  <c r="B2481" i="1"/>
  <c r="B2459" i="1"/>
  <c r="B2458" i="1"/>
  <c r="B2456" i="1"/>
  <c r="B2455" i="1"/>
  <c r="B2457" i="1"/>
  <c r="B2411" i="1"/>
  <c r="B2454" i="1"/>
  <c r="B2453" i="1"/>
  <c r="I151" i="4" s="1"/>
  <c r="B2431" i="1"/>
  <c r="B2430" i="1"/>
  <c r="B2408" i="1"/>
  <c r="B2407" i="1"/>
  <c r="B1089" i="1"/>
  <c r="B1112" i="1"/>
  <c r="B1088" i="1"/>
  <c r="B2606" i="1"/>
  <c r="B2582" i="1"/>
  <c r="B2560" i="1"/>
  <c r="B2610" i="1"/>
  <c r="B2331" i="1"/>
  <c r="B1299" i="1"/>
  <c r="B950" i="1"/>
  <c r="B24" i="1"/>
  <c r="B32" i="1"/>
  <c r="B30" i="1"/>
  <c r="B17" i="1"/>
  <c r="B83" i="5"/>
  <c r="B561" i="6"/>
  <c r="B566" i="6"/>
  <c r="B28" i="7" s="1"/>
  <c r="M54" i="4" s="1"/>
  <c r="M88" i="4" s="1"/>
  <c r="B769" i="6"/>
  <c r="B261" i="6"/>
  <c r="M22" i="4" s="1"/>
  <c r="B738" i="6"/>
  <c r="M26" i="4"/>
  <c r="B19" i="3"/>
  <c r="B74" i="3"/>
  <c r="B20" i="3"/>
  <c r="B207" i="3"/>
  <c r="B206" i="3"/>
  <c r="R16" i="4"/>
  <c r="R13" i="4"/>
  <c r="R11" i="4"/>
  <c r="R10" i="4"/>
  <c r="R9" i="4"/>
  <c r="R8" i="4"/>
  <c r="R7" i="4"/>
  <c r="R6" i="4"/>
  <c r="B250" i="6"/>
  <c r="R22" i="4" s="1"/>
  <c r="B10" i="5"/>
  <c r="B70" i="3"/>
  <c r="B69" i="3"/>
  <c r="B9" i="3"/>
  <c r="B2316" i="1"/>
  <c r="B2315" i="1"/>
  <c r="B2125" i="1"/>
  <c r="B1966" i="1"/>
  <c r="B1768" i="1"/>
  <c r="B1767" i="1"/>
  <c r="B1453" i="1"/>
  <c r="B1290" i="1"/>
  <c r="B1289" i="1"/>
  <c r="B938" i="1"/>
  <c r="B937" i="1"/>
  <c r="B560" i="1"/>
  <c r="B559" i="1"/>
  <c r="B334" i="1"/>
  <c r="B333" i="1"/>
  <c r="B12" i="1"/>
  <c r="B11" i="1"/>
  <c r="B2147" i="1"/>
  <c r="B2146" i="1"/>
  <c r="B2145" i="1"/>
  <c r="B1986" i="1"/>
  <c r="B1985" i="1"/>
  <c r="B1984" i="1"/>
  <c r="B1472" i="1"/>
  <c r="B957" i="1"/>
  <c r="B956" i="1"/>
  <c r="B955" i="1"/>
  <c r="B578" i="1"/>
  <c r="B577" i="1"/>
  <c r="B576" i="1"/>
  <c r="B352" i="1"/>
  <c r="B351" i="1"/>
  <c r="B350" i="1"/>
  <c r="B31" i="1"/>
  <c r="L28" i="4"/>
  <c r="I28" i="4"/>
  <c r="J28" i="4" s="1"/>
  <c r="B407" i="6"/>
  <c r="B279" i="6"/>
  <c r="B278" i="6"/>
  <c r="N93" i="4"/>
  <c r="J93" i="4"/>
  <c r="H93" i="4"/>
  <c r="K59" i="4"/>
  <c r="K93" i="4" s="1"/>
  <c r="I59" i="4"/>
  <c r="I93" i="4" s="1"/>
  <c r="F59" i="4"/>
  <c r="G59" i="4" s="1"/>
  <c r="R28" i="4"/>
  <c r="S28" i="4" s="1"/>
  <c r="B1045" i="6"/>
  <c r="O28" i="4" s="1"/>
  <c r="N92" i="4"/>
  <c r="J92" i="4"/>
  <c r="H92" i="4"/>
  <c r="K58" i="4"/>
  <c r="K92" i="4" s="1"/>
  <c r="I58" i="4"/>
  <c r="I92" i="4" s="1"/>
  <c r="R27" i="4"/>
  <c r="Q27" i="4"/>
  <c r="B898" i="6"/>
  <c r="N27" i="4" s="1"/>
  <c r="L27" i="4"/>
  <c r="B996" i="6"/>
  <c r="B959" i="6"/>
  <c r="B901" i="6"/>
  <c r="F27" i="4" s="1"/>
  <c r="J27" i="4" s="1"/>
  <c r="B957" i="6"/>
  <c r="P27" i="4"/>
  <c r="B907" i="6"/>
  <c r="O27" i="4" s="1"/>
  <c r="N91" i="4"/>
  <c r="J91" i="4"/>
  <c r="H91" i="4"/>
  <c r="K57" i="4"/>
  <c r="L57" i="4" s="1"/>
  <c r="L91" i="4" s="1"/>
  <c r="I57" i="4"/>
  <c r="B846" i="6"/>
  <c r="F57" i="4" s="1"/>
  <c r="B730" i="6"/>
  <c r="N26" i="4"/>
  <c r="L26" i="4"/>
  <c r="I26" i="4"/>
  <c r="H26" i="4"/>
  <c r="G26" i="4"/>
  <c r="B735" i="6"/>
  <c r="F26" i="4"/>
  <c r="P26" i="4"/>
  <c r="B742" i="6"/>
  <c r="O26" i="4" s="1"/>
  <c r="B723" i="6"/>
  <c r="N90" i="4"/>
  <c r="J90" i="4"/>
  <c r="I90" i="4"/>
  <c r="H90" i="4"/>
  <c r="K56" i="4"/>
  <c r="L56" i="4" s="1"/>
  <c r="L90" i="4" s="1"/>
  <c r="R25" i="4"/>
  <c r="S25" i="4"/>
  <c r="K25" i="4"/>
  <c r="I25" i="4"/>
  <c r="J25" i="4" s="1"/>
  <c r="N87" i="4"/>
  <c r="J87" i="4"/>
  <c r="I87" i="4"/>
  <c r="H87" i="4"/>
  <c r="L149" i="4"/>
  <c r="L150" i="4"/>
  <c r="L153" i="4"/>
  <c r="L154" i="4"/>
  <c r="K53" i="4"/>
  <c r="L53" i="4" s="1"/>
  <c r="L87" i="4" s="1"/>
  <c r="B564" i="6"/>
  <c r="B580" i="6" s="1"/>
  <c r="F53" i="4" s="1"/>
  <c r="Q24" i="4"/>
  <c r="K24" i="4"/>
  <c r="J24" i="4"/>
  <c r="B27" i="6"/>
  <c r="O20" i="4" s="1"/>
  <c r="B188" i="6"/>
  <c r="O21" i="4" s="1"/>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L52" i="4" s="1"/>
  <c r="L86" i="4" s="1"/>
  <c r="I52" i="4"/>
  <c r="I86" i="4" s="1"/>
  <c r="B26" i="6"/>
  <c r="B133" i="6" s="1"/>
  <c r="B184" i="6"/>
  <c r="B201" i="6" s="1"/>
  <c r="B270" i="6"/>
  <c r="B340" i="6" s="1"/>
  <c r="B271" i="6"/>
  <c r="O22" i="4" s="1"/>
  <c r="Q23" i="4"/>
  <c r="S23" i="4" s="1"/>
  <c r="B396" i="6"/>
  <c r="N23" i="4" s="1"/>
  <c r="B408" i="6"/>
  <c r="B409" i="6"/>
  <c r="P23" i="4"/>
  <c r="B405" i="6"/>
  <c r="K23" i="4"/>
  <c r="I23" i="4"/>
  <c r="K50" i="4"/>
  <c r="L50" i="4" s="1"/>
  <c r="L84" i="4" s="1"/>
  <c r="Q21" i="4"/>
  <c r="K21" i="4"/>
  <c r="F21" i="4"/>
  <c r="I21" i="4"/>
  <c r="J21" i="4" s="1"/>
  <c r="B27" i="5"/>
  <c r="K51" i="4"/>
  <c r="K85" i="4" s="1"/>
  <c r="I51" i="4"/>
  <c r="I85" i="4" s="1"/>
  <c r="Q22" i="4"/>
  <c r="B274" i="6"/>
  <c r="B273" i="6"/>
  <c r="B272" i="6"/>
  <c r="P22" i="4" s="1"/>
  <c r="B260" i="6"/>
  <c r="N22" i="4" s="1"/>
  <c r="L22" i="4"/>
  <c r="B269" i="6"/>
  <c r="K22" i="4" s="1"/>
  <c r="I22" i="4"/>
  <c r="H22" i="4"/>
  <c r="B265" i="6"/>
  <c r="F22" i="4" s="1"/>
  <c r="L111" i="4"/>
  <c r="L112" i="4"/>
  <c r="L116" i="4"/>
  <c r="L48" i="4"/>
  <c r="L82" i="4"/>
  <c r="K49" i="4"/>
  <c r="K83" i="4" s="1"/>
  <c r="N20" i="4"/>
  <c r="P20" i="4"/>
  <c r="S20" i="4"/>
  <c r="L20" i="4"/>
  <c r="K20" i="4"/>
  <c r="F20" i="4"/>
  <c r="I20" i="4"/>
  <c r="H20" i="4"/>
  <c r="B1083" i="6"/>
  <c r="M59" i="4" s="1"/>
  <c r="M93" i="4" s="1"/>
  <c r="S27" i="4"/>
  <c r="I91" i="4"/>
  <c r="S26" i="4"/>
  <c r="K90" i="4"/>
  <c r="K87" i="4"/>
  <c r="S24" i="4"/>
  <c r="K84" i="4"/>
  <c r="M48" i="4"/>
  <c r="M82" i="4"/>
  <c r="B89" i="5"/>
  <c r="B88" i="5"/>
  <c r="B87" i="5"/>
  <c r="B86" i="5"/>
  <c r="F48" i="4"/>
  <c r="R19" i="4"/>
  <c r="S19" i="4"/>
  <c r="B17" i="5"/>
  <c r="F19" i="4"/>
  <c r="B82" i="5"/>
  <c r="B81" i="5"/>
  <c r="B80" i="5"/>
  <c r="B79" i="5"/>
  <c r="B45" i="5"/>
  <c r="B44" i="5"/>
  <c r="B43" i="5"/>
  <c r="B23" i="5"/>
  <c r="M19" i="4"/>
  <c r="B19" i="5"/>
  <c r="K19" i="4"/>
  <c r="B26" i="5"/>
  <c r="P19" i="4"/>
  <c r="B29" i="5"/>
  <c r="B28" i="5"/>
  <c r="B2345" i="1"/>
  <c r="B2344" i="1"/>
  <c r="B25" i="5"/>
  <c r="O19" i="4"/>
  <c r="B22" i="5"/>
  <c r="B21" i="5"/>
  <c r="B20" i="5"/>
  <c r="B24" i="5"/>
  <c r="B18" i="5"/>
  <c r="I19" i="4"/>
  <c r="B1887" i="1"/>
  <c r="R148" i="4" s="1"/>
  <c r="R166" i="4" s="1"/>
  <c r="W169" i="4"/>
  <c r="U170" i="4"/>
  <c r="T170" i="4"/>
  <c r="S170" i="4"/>
  <c r="Q170" i="4"/>
  <c r="N170" i="4"/>
  <c r="J170" i="4"/>
  <c r="H170" i="4"/>
  <c r="N132" i="4"/>
  <c r="H132" i="4"/>
  <c r="J132" i="4"/>
  <c r="I45" i="4"/>
  <c r="I79" i="4" s="1"/>
  <c r="I114" i="4"/>
  <c r="B2532" i="1"/>
  <c r="I152" i="4"/>
  <c r="B2509" i="1"/>
  <c r="B2486" i="1"/>
  <c r="F82" i="4"/>
  <c r="G48" i="4"/>
  <c r="L19" i="4"/>
  <c r="J19" i="4"/>
  <c r="I170" i="4"/>
  <c r="I132" i="4"/>
  <c r="G82" i="4"/>
  <c r="P82" i="4"/>
  <c r="P48" i="4"/>
  <c r="O48" i="4"/>
  <c r="B74" i="5"/>
  <c r="B1467" i="1"/>
  <c r="B1468" i="1"/>
  <c r="B570" i="1"/>
  <c r="B344" i="1"/>
  <c r="B345" i="1"/>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s="1"/>
  <c r="J169" i="4"/>
  <c r="B2461" i="1"/>
  <c r="B2236" i="1"/>
  <c r="Q150" i="4" s="1"/>
  <c r="Q168" i="4" s="1"/>
  <c r="B2230" i="1"/>
  <c r="B2235" i="1"/>
  <c r="B2069" i="1"/>
  <c r="U149" i="4" s="1"/>
  <c r="U167" i="4" s="1"/>
  <c r="B2068" i="1"/>
  <c r="T149" i="4" s="1"/>
  <c r="T167" i="4" s="1"/>
  <c r="B2067" i="1"/>
  <c r="S149" i="4" s="1"/>
  <c r="S167" i="4" s="1"/>
  <c r="B2066" i="1"/>
  <c r="Q149" i="4" s="1"/>
  <c r="Q167" i="4" s="1"/>
  <c r="B2063" i="1"/>
  <c r="F149" i="4"/>
  <c r="B2065" i="1"/>
  <c r="B1886" i="1"/>
  <c r="Q148" i="4"/>
  <c r="Q166" i="4"/>
  <c r="B1883" i="1"/>
  <c r="B1882" i="1"/>
  <c r="B1881" i="1"/>
  <c r="B1880" i="1"/>
  <c r="B1879" i="1"/>
  <c r="B1878" i="1"/>
  <c r="K148" i="4"/>
  <c r="K166" i="4"/>
  <c r="I148" i="4"/>
  <c r="B1885" i="1"/>
  <c r="Q147" i="4"/>
  <c r="Q165" i="4" s="1"/>
  <c r="B1554" i="1"/>
  <c r="B1553" i="1"/>
  <c r="H147" i="4"/>
  <c r="B1556" i="1"/>
  <c r="B1374" i="1"/>
  <c r="Q146" i="4"/>
  <c r="Q164" i="4" s="1"/>
  <c r="B1364" i="1"/>
  <c r="H146" i="4"/>
  <c r="L146" i="4" s="1"/>
  <c r="B1363" i="1"/>
  <c r="F146" i="4"/>
  <c r="G146" i="4"/>
  <c r="B1373" i="1"/>
  <c r="Q145" i="4"/>
  <c r="Q163" i="4" s="1"/>
  <c r="B1059" i="1"/>
  <c r="B1058" i="1"/>
  <c r="B1057" i="1"/>
  <c r="B1056" i="1"/>
  <c r="B1055" i="1"/>
  <c r="B1054" i="1"/>
  <c r="B1053" i="1"/>
  <c r="H145" i="4"/>
  <c r="B1061" i="1"/>
  <c r="Q144" i="4"/>
  <c r="Q162" i="4" s="1"/>
  <c r="H144" i="4"/>
  <c r="H162" i="4" s="1"/>
  <c r="B849" i="1"/>
  <c r="B857" i="1" s="1"/>
  <c r="M144" i="4" s="1"/>
  <c r="M162" i="4" s="1"/>
  <c r="B679" i="1"/>
  <c r="Q143" i="4" s="1"/>
  <c r="Q161" i="4" s="1"/>
  <c r="B676" i="1"/>
  <c r="B675" i="1"/>
  <c r="B674" i="1"/>
  <c r="B673" i="1"/>
  <c r="B672" i="1"/>
  <c r="B671" i="1"/>
  <c r="H143" i="4" s="1"/>
  <c r="B670" i="1"/>
  <c r="B678" i="1"/>
  <c r="Q141" i="4"/>
  <c r="Q159" i="4"/>
  <c r="B480" i="1"/>
  <c r="Q142" i="4" s="1"/>
  <c r="Q160" i="4" s="1"/>
  <c r="B474" i="1"/>
  <c r="B473" i="1"/>
  <c r="B472" i="1"/>
  <c r="B471" i="1"/>
  <c r="B470" i="1"/>
  <c r="H142" i="4"/>
  <c r="L142" i="4"/>
  <c r="B469" i="1"/>
  <c r="F142" i="4" s="1"/>
  <c r="G142" i="4" s="1"/>
  <c r="B479" i="1"/>
  <c r="B477" i="1"/>
  <c r="B476" i="1"/>
  <c r="B475" i="1"/>
  <c r="B103" i="1"/>
  <c r="B102" i="1"/>
  <c r="B101" i="1"/>
  <c r="B100" i="1"/>
  <c r="B99" i="1"/>
  <c r="B98" i="1"/>
  <c r="B97" i="1"/>
  <c r="H141" i="4"/>
  <c r="H159" i="4" s="1"/>
  <c r="F141" i="4"/>
  <c r="G141" i="4" s="1"/>
  <c r="B105" i="1"/>
  <c r="B2438" i="1"/>
  <c r="B2415" i="1"/>
  <c r="B2215" i="1"/>
  <c r="B2195" i="1"/>
  <c r="B2048" i="1"/>
  <c r="B2031" i="1"/>
  <c r="B1862" i="1"/>
  <c r="B1839" i="1"/>
  <c r="B1538" i="1"/>
  <c r="B1520" i="1"/>
  <c r="B1349" i="1"/>
  <c r="B1325" i="1"/>
  <c r="B1037" i="1"/>
  <c r="B1013" i="1"/>
  <c r="B810" i="1"/>
  <c r="B789" i="1"/>
  <c r="B656" i="1"/>
  <c r="B634" i="1"/>
  <c r="B430" i="1"/>
  <c r="B408" i="1"/>
  <c r="B81" i="1"/>
  <c r="B56" i="1"/>
  <c r="B95" i="3"/>
  <c r="L47" i="4"/>
  <c r="L81" i="4"/>
  <c r="H46" i="4"/>
  <c r="H80" i="4"/>
  <c r="L43" i="4"/>
  <c r="L77" i="4"/>
  <c r="L42" i="4"/>
  <c r="L76" i="4"/>
  <c r="F172" i="4"/>
  <c r="L144" i="4"/>
  <c r="L162" i="4" s="1"/>
  <c r="L141" i="4"/>
  <c r="L159" i="4"/>
  <c r="H163" i="4"/>
  <c r="L145" i="4"/>
  <c r="L163" i="4" s="1"/>
  <c r="L147" i="4"/>
  <c r="L165" i="4" s="1"/>
  <c r="I166" i="4"/>
  <c r="L148" i="4"/>
  <c r="L166" i="4" s="1"/>
  <c r="L46" i="4"/>
  <c r="L80" i="4"/>
  <c r="F167" i="4"/>
  <c r="F153" i="4"/>
  <c r="H160" i="4"/>
  <c r="L160" i="4"/>
  <c r="S15" i="4"/>
  <c r="F143" i="4"/>
  <c r="G143" i="4"/>
  <c r="O143" i="4" s="1"/>
  <c r="F145" i="4"/>
  <c r="F163" i="4" s="1"/>
  <c r="F147" i="4"/>
  <c r="G147" i="4" s="1"/>
  <c r="H165" i="4"/>
  <c r="F164" i="4"/>
  <c r="H164" i="4"/>
  <c r="P164" i="4" s="1"/>
  <c r="H171" i="4"/>
  <c r="S7" i="4"/>
  <c r="S8" i="4"/>
  <c r="S9" i="4"/>
  <c r="S10" i="4"/>
  <c r="S11" i="4"/>
  <c r="S12" i="4"/>
  <c r="S13" i="4"/>
  <c r="S14" i="4"/>
  <c r="S16" i="4"/>
  <c r="S17" i="4"/>
  <c r="G154" i="4"/>
  <c r="S6" i="4"/>
  <c r="B1832" i="1"/>
  <c r="K110" i="4"/>
  <c r="L110" i="4" s="1"/>
  <c r="L128" i="4" s="1"/>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300" i="1"/>
  <c r="B1809" i="1"/>
  <c r="O13" i="4"/>
  <c r="B2007" i="1"/>
  <c r="O14" i="4"/>
  <c r="B2168" i="1"/>
  <c r="B357" i="1"/>
  <c r="B455" i="1" s="1"/>
  <c r="B25" i="1"/>
  <c r="B159" i="1" s="1"/>
  <c r="B185" i="1"/>
  <c r="B2133" i="1"/>
  <c r="B1974" i="1"/>
  <c r="B1461" i="1"/>
  <c r="B943" i="1"/>
  <c r="P18" i="4"/>
  <c r="P17" i="4"/>
  <c r="O17" i="4"/>
  <c r="O16" i="4"/>
  <c r="P15" i="4"/>
  <c r="P14" i="4"/>
  <c r="P13" i="4"/>
  <c r="P12" i="4"/>
  <c r="O12" i="4"/>
  <c r="P10" i="4"/>
  <c r="O10" i="4"/>
  <c r="O9" i="4"/>
  <c r="P8" i="4"/>
  <c r="O8" i="4"/>
  <c r="P7" i="4"/>
  <c r="B27" i="1"/>
  <c r="P6" i="4" s="1"/>
  <c r="B429" i="1"/>
  <c r="M35" i="4" s="1"/>
  <c r="M69" i="4" s="1"/>
  <c r="B156" i="1"/>
  <c r="B182" i="1"/>
  <c r="B184" i="1"/>
  <c r="B158" i="1"/>
  <c r="B132" i="1"/>
  <c r="B133" i="1"/>
  <c r="G149" i="4"/>
  <c r="F171" i="4"/>
  <c r="G153" i="4"/>
  <c r="O146" i="4"/>
  <c r="B1359" i="1" s="1"/>
  <c r="G164" i="4"/>
  <c r="O164" i="4" s="1"/>
  <c r="P153" i="4"/>
  <c r="F165" i="4"/>
  <c r="F161" i="4"/>
  <c r="I110" i="4"/>
  <c r="B2210" i="1"/>
  <c r="B2190" i="1"/>
  <c r="B2046" i="1"/>
  <c r="B2029" i="1"/>
  <c r="B1860" i="1"/>
  <c r="B1859" i="1"/>
  <c r="B1858" i="1"/>
  <c r="B1857" i="1"/>
  <c r="B1856" i="1"/>
  <c r="B1855" i="1"/>
  <c r="K41" i="4"/>
  <c r="L41" i="4" s="1"/>
  <c r="L75" i="4" s="1"/>
  <c r="K75" i="4"/>
  <c r="I41" i="4"/>
  <c r="I75" i="4"/>
  <c r="B1837" i="1"/>
  <c r="B1836" i="1"/>
  <c r="B1835" i="1"/>
  <c r="B1834" i="1"/>
  <c r="B1833" i="1"/>
  <c r="K44" i="4"/>
  <c r="I44" i="4"/>
  <c r="I78" i="4"/>
  <c r="I113" i="4"/>
  <c r="K113" i="4"/>
  <c r="K131" i="4" s="1"/>
  <c r="O154" i="4"/>
  <c r="B197" i="3"/>
  <c r="P154" i="4"/>
  <c r="I128" i="4"/>
  <c r="G171" i="4"/>
  <c r="O153" i="4"/>
  <c r="B133" i="3"/>
  <c r="G172" i="4"/>
  <c r="P172" i="4"/>
  <c r="I131" i="4"/>
  <c r="B2030" i="1"/>
  <c r="M111" i="4"/>
  <c r="M129" i="4" s="1"/>
  <c r="F111" i="4"/>
  <c r="F129" i="4" s="1"/>
  <c r="G111" i="4"/>
  <c r="F62" i="2"/>
  <c r="E62" i="2"/>
  <c r="H24" i="2"/>
  <c r="G24" i="2"/>
  <c r="F24" i="2"/>
  <c r="E24" i="2"/>
  <c r="D24" i="2"/>
  <c r="C24" i="2"/>
  <c r="C43" i="2"/>
  <c r="B2462" i="1"/>
  <c r="R151" i="4"/>
  <c r="R169" i="4"/>
  <c r="B677" i="1"/>
  <c r="M143" i="4" s="1"/>
  <c r="M161" i="4" s="1"/>
  <c r="B1555" i="1"/>
  <c r="M147" i="4"/>
  <c r="M165" i="4"/>
  <c r="B144" i="3"/>
  <c r="M153" i="4"/>
  <c r="M171" i="4"/>
  <c r="B1060" i="1"/>
  <c r="M145" i="4"/>
  <c r="M163" i="4"/>
  <c r="B208" i="3"/>
  <c r="M154" i="4"/>
  <c r="M172" i="4"/>
  <c r="B1372" i="1"/>
  <c r="M146" i="4"/>
  <c r="M164" i="4" s="1"/>
  <c r="B104" i="1"/>
  <c r="M141" i="4" s="1"/>
  <c r="M159" i="4" s="1"/>
  <c r="B2064" i="1"/>
  <c r="M149" i="4" s="1"/>
  <c r="M167" i="4" s="1"/>
  <c r="O172" i="4"/>
  <c r="O171" i="4"/>
  <c r="P171" i="4"/>
  <c r="B48" i="2"/>
  <c r="F51" i="2"/>
  <c r="G51" i="2"/>
  <c r="B1536" i="1"/>
  <c r="H40" i="4"/>
  <c r="H74" i="4" s="1"/>
  <c r="B1518" i="1"/>
  <c r="H109" i="4"/>
  <c r="B365" i="1"/>
  <c r="O6" i="4"/>
  <c r="O11" i="4"/>
  <c r="B1537" i="1"/>
  <c r="M40" i="4" s="1"/>
  <c r="M74" i="4" s="1"/>
  <c r="B1519" i="1"/>
  <c r="M109" i="4"/>
  <c r="M127" i="4"/>
  <c r="F109" i="4"/>
  <c r="F127" i="4" s="1"/>
  <c r="G109" i="4"/>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G74" i="4"/>
  <c r="B162" i="3"/>
  <c r="B159" i="3"/>
  <c r="F116" i="4"/>
  <c r="G116" i="4"/>
  <c r="B183" i="3"/>
  <c r="B140" i="3"/>
  <c r="B142" i="3"/>
  <c r="B141" i="3"/>
  <c r="B143" i="3"/>
  <c r="B139" i="3"/>
  <c r="L133" i="4"/>
  <c r="H133" i="4"/>
  <c r="O40" i="4"/>
  <c r="B1530" i="1" s="1"/>
  <c r="B123" i="3"/>
  <c r="M46" i="4"/>
  <c r="M80" i="4"/>
  <c r="B166" i="3"/>
  <c r="M116" i="4"/>
  <c r="M134" i="4"/>
  <c r="B100" i="3"/>
  <c r="B99" i="3"/>
  <c r="B101" i="3"/>
  <c r="B97" i="3"/>
  <c r="B98" i="3"/>
  <c r="G97" i="2"/>
  <c r="B184" i="3"/>
  <c r="B182" i="3"/>
  <c r="F97" i="2"/>
  <c r="I6" i="4"/>
  <c r="J6" i="4" s="1"/>
  <c r="B565" i="1"/>
  <c r="I8" i="4" s="1"/>
  <c r="M16" i="4"/>
  <c r="N16" i="4"/>
  <c r="B2326" i="1"/>
  <c r="B2325" i="1"/>
  <c r="B2324" i="1"/>
  <c r="K16" i="4" s="1"/>
  <c r="B2139" i="1"/>
  <c r="M15" i="4"/>
  <c r="B2138" i="1"/>
  <c r="B2137" i="1"/>
  <c r="B2136" i="1"/>
  <c r="L15" i="4" s="1"/>
  <c r="B2135" i="1"/>
  <c r="I15" i="4"/>
  <c r="J15" i="4" s="1"/>
  <c r="H15" i="4"/>
  <c r="B2131" i="1"/>
  <c r="G15" i="4"/>
  <c r="B2130" i="1"/>
  <c r="F15" i="4"/>
  <c r="B2134" i="1"/>
  <c r="K15" i="4" s="1"/>
  <c r="B1978" i="1"/>
  <c r="M14" i="4"/>
  <c r="B1977" i="1"/>
  <c r="B1976" i="1"/>
  <c r="I14" i="4"/>
  <c r="H14" i="4"/>
  <c r="B1972" i="1"/>
  <c r="G14" i="4" s="1"/>
  <c r="B1971" i="1"/>
  <c r="F14" i="4"/>
  <c r="B1975" i="1"/>
  <c r="K14" i="4"/>
  <c r="B1776" i="1"/>
  <c r="K13" i="4"/>
  <c r="I13" i="4"/>
  <c r="B1462" i="1"/>
  <c r="K12" i="4"/>
  <c r="M12" i="4"/>
  <c r="N12" i="4"/>
  <c r="B1466" i="1"/>
  <c r="I12" i="4"/>
  <c r="H12" i="4"/>
  <c r="B1459" i="1"/>
  <c r="G12" i="4" s="1"/>
  <c r="B1458" i="1"/>
  <c r="F12" i="4"/>
  <c r="B1469" i="1"/>
  <c r="B763" i="1"/>
  <c r="K9" i="4" s="1"/>
  <c r="B1295" i="1"/>
  <c r="K11" i="4"/>
  <c r="B944" i="1"/>
  <c r="K10" i="4"/>
  <c r="B566" i="1"/>
  <c r="K8" i="4" s="1"/>
  <c r="B339" i="1"/>
  <c r="K7" i="4" s="1"/>
  <c r="B18" i="1"/>
  <c r="K6" i="4"/>
  <c r="B762" i="1"/>
  <c r="F9" i="4"/>
  <c r="J9" i="4"/>
  <c r="B1298" i="1"/>
  <c r="B1297" i="1"/>
  <c r="L11" i="4" s="1"/>
  <c r="B1296" i="1"/>
  <c r="B1294" i="1"/>
  <c r="F11" i="4"/>
  <c r="J11" i="4" s="1"/>
  <c r="B949" i="1"/>
  <c r="M10" i="4"/>
  <c r="B948" i="1"/>
  <c r="B947" i="1"/>
  <c r="B946" i="1"/>
  <c r="B945" i="1"/>
  <c r="I10" i="4"/>
  <c r="B942" i="1"/>
  <c r="F10" i="4"/>
  <c r="M8" i="4"/>
  <c r="B569" i="1"/>
  <c r="B568" i="1"/>
  <c r="B567" i="1"/>
  <c r="B564" i="1"/>
  <c r="F8" i="4"/>
  <c r="B16" i="1"/>
  <c r="F6" i="4"/>
  <c r="M7" i="4"/>
  <c r="N7" i="4"/>
  <c r="B343" i="1"/>
  <c r="B342" i="1"/>
  <c r="B341" i="1"/>
  <c r="B340" i="1"/>
  <c r="L7" i="4" s="1"/>
  <c r="B338" i="1"/>
  <c r="F7" i="4"/>
  <c r="J7" i="4"/>
  <c r="B23" i="1"/>
  <c r="M6" i="4"/>
  <c r="B22" i="1"/>
  <c r="B21" i="1"/>
  <c r="B20" i="1"/>
  <c r="L6" i="4" s="1"/>
  <c r="B19" i="1"/>
  <c r="B2323" i="1"/>
  <c r="I16" i="4"/>
  <c r="B2329" i="1"/>
  <c r="B2321" i="1"/>
  <c r="G16" i="4" s="1"/>
  <c r="B2327" i="1"/>
  <c r="B2340" i="1"/>
  <c r="B2339" i="1"/>
  <c r="B2338" i="1"/>
  <c r="B2320" i="1"/>
  <c r="F16" i="4" s="1"/>
  <c r="B2330" i="1"/>
  <c r="B2322" i="1"/>
  <c r="H16" i="4"/>
  <c r="B2328" i="1"/>
  <c r="B165" i="3"/>
  <c r="B164" i="3"/>
  <c r="B163" i="3"/>
  <c r="F80" i="4"/>
  <c r="L14" i="4"/>
  <c r="J10" i="4"/>
  <c r="J14" i="4"/>
  <c r="B1339" i="1"/>
  <c r="B426" i="1"/>
  <c r="B424" i="1"/>
  <c r="B648" i="1"/>
  <c r="B425" i="1"/>
  <c r="B649" i="1"/>
  <c r="H36" i="4"/>
  <c r="L36" i="4" s="1"/>
  <c r="L70" i="4" s="1"/>
  <c r="B427" i="1"/>
  <c r="H35" i="4"/>
  <c r="H69" i="4" s="1"/>
  <c r="B803" i="1"/>
  <c r="B833" i="1" s="1"/>
  <c r="B187" i="3"/>
  <c r="M47" i="4"/>
  <c r="M81" i="4"/>
  <c r="F13" i="4"/>
  <c r="H13" i="4"/>
  <c r="G13" i="4"/>
  <c r="M13" i="4"/>
  <c r="D58" i="2"/>
  <c r="F134" i="4"/>
  <c r="P116" i="4"/>
  <c r="L12" i="4"/>
  <c r="L10" i="4"/>
  <c r="B102" i="3"/>
  <c r="M115" i="4"/>
  <c r="F115" i="4"/>
  <c r="G115" i="4"/>
  <c r="L8" i="4"/>
  <c r="F36" i="2"/>
  <c r="B1340" i="1"/>
  <c r="H39" i="4"/>
  <c r="H73" i="4" s="1"/>
  <c r="B1034" i="1"/>
  <c r="B1031" i="1"/>
  <c r="B428" i="1"/>
  <c r="B77" i="1"/>
  <c r="B653" i="1"/>
  <c r="B1029" i="1"/>
  <c r="B75" i="1"/>
  <c r="B1033" i="1"/>
  <c r="H34" i="4"/>
  <c r="H68" i="4"/>
  <c r="B78" i="1"/>
  <c r="B1030" i="1"/>
  <c r="B76" i="1"/>
  <c r="H38" i="4"/>
  <c r="L38" i="4" s="1"/>
  <c r="L72" i="4" s="1"/>
  <c r="H72" i="4"/>
  <c r="B651" i="1"/>
  <c r="H37" i="4"/>
  <c r="L37" i="4" s="1"/>
  <c r="H71" i="4"/>
  <c r="B650" i="1"/>
  <c r="B1032" i="1"/>
  <c r="B79" i="1"/>
  <c r="B654" i="1"/>
  <c r="B652" i="1"/>
  <c r="B1035" i="1"/>
  <c r="B73" i="1"/>
  <c r="B74" i="1"/>
  <c r="G36" i="2"/>
  <c r="B834" i="1"/>
  <c r="B835" i="1"/>
  <c r="B811" i="1"/>
  <c r="M37" i="4" s="1"/>
  <c r="M71" i="4" s="1"/>
  <c r="F81" i="4"/>
  <c r="P46" i="4"/>
  <c r="G80" i="4"/>
  <c r="P80" i="4"/>
  <c r="J13" i="4"/>
  <c r="J16" i="4"/>
  <c r="B1853" i="1"/>
  <c r="B1876" i="1"/>
  <c r="B1884" i="1" s="1"/>
  <c r="B1830" i="1"/>
  <c r="G134" i="4"/>
  <c r="P134" i="4"/>
  <c r="O116" i="4"/>
  <c r="B155" i="3"/>
  <c r="L13" i="4"/>
  <c r="B2452" i="1"/>
  <c r="B2429" i="1"/>
  <c r="B2406" i="1"/>
  <c r="M133" i="4"/>
  <c r="O46" i="4"/>
  <c r="B112" i="3"/>
  <c r="F133" i="4"/>
  <c r="P115" i="4"/>
  <c r="F35" i="4"/>
  <c r="G35" i="4" s="1"/>
  <c r="G69" i="4" s="1"/>
  <c r="L71" i="4"/>
  <c r="L34" i="4"/>
  <c r="L68" i="4" s="1"/>
  <c r="B1348" i="1"/>
  <c r="M39" i="4" s="1"/>
  <c r="M73" i="4" s="1"/>
  <c r="F39" i="4"/>
  <c r="G39" i="4" s="1"/>
  <c r="G73" i="4" s="1"/>
  <c r="B1036" i="1"/>
  <c r="M38" i="4" s="1"/>
  <c r="M72" i="4" s="1"/>
  <c r="F38" i="4"/>
  <c r="F72" i="4" s="1"/>
  <c r="B80" i="1"/>
  <c r="M34" i="4"/>
  <c r="M68" i="4" s="1"/>
  <c r="F34" i="4"/>
  <c r="G34" i="4" s="1"/>
  <c r="B655" i="1"/>
  <c r="M36" i="4"/>
  <c r="M70" i="4" s="1"/>
  <c r="F36" i="4"/>
  <c r="L35" i="4"/>
  <c r="L69" i="4" s="1"/>
  <c r="B1315" i="1"/>
  <c r="F108" i="4" s="1"/>
  <c r="B1316" i="1"/>
  <c r="H108" i="4" s="1"/>
  <c r="L108" i="4" s="1"/>
  <c r="L126" i="4" s="1"/>
  <c r="B1006" i="1"/>
  <c r="B49" i="1"/>
  <c r="B402" i="1"/>
  <c r="B628" i="1"/>
  <c r="B1009" i="1"/>
  <c r="B1008" i="1"/>
  <c r="B53" i="1"/>
  <c r="B51" i="1"/>
  <c r="B629" i="1"/>
  <c r="B781" i="1"/>
  <c r="B788" i="1" s="1"/>
  <c r="H107" i="4"/>
  <c r="L107" i="4" s="1"/>
  <c r="B48" i="1"/>
  <c r="B632" i="1"/>
  <c r="B627" i="1"/>
  <c r="H105" i="4"/>
  <c r="L105" i="4" s="1"/>
  <c r="L123" i="4" s="1"/>
  <c r="B405" i="1"/>
  <c r="H103" i="4"/>
  <c r="B403" i="1"/>
  <c r="B1007" i="1"/>
  <c r="B406" i="1"/>
  <c r="H106" i="4"/>
  <c r="L106" i="4" s="1"/>
  <c r="L124" i="4" s="1"/>
  <c r="B401" i="1"/>
  <c r="H104" i="4"/>
  <c r="B50" i="1"/>
  <c r="B404" i="1"/>
  <c r="B54" i="1"/>
  <c r="B626" i="1"/>
  <c r="B630" i="1"/>
  <c r="B52" i="1"/>
  <c r="B1005" i="1"/>
  <c r="B1011" i="1"/>
  <c r="B400" i="1"/>
  <c r="B631" i="1"/>
  <c r="B1010" i="1"/>
  <c r="B2609" i="1"/>
  <c r="B2534" i="1"/>
  <c r="V152" i="4" s="1"/>
  <c r="V170" i="4"/>
  <c r="F73" i="4"/>
  <c r="F70" i="4"/>
  <c r="G36" i="4"/>
  <c r="P36" i="4" s="1"/>
  <c r="F68" i="4"/>
  <c r="P81" i="4"/>
  <c r="P47" i="4"/>
  <c r="F45" i="4"/>
  <c r="B2508" i="1"/>
  <c r="M45" i="4" s="1"/>
  <c r="M79" i="4" s="1"/>
  <c r="K45" i="4"/>
  <c r="F44" i="4"/>
  <c r="G44" i="4" s="1"/>
  <c r="B2437" i="1"/>
  <c r="M44" i="4" s="1"/>
  <c r="M78" i="4"/>
  <c r="B2531" i="1"/>
  <c r="M152" i="4" s="1"/>
  <c r="M170" i="4"/>
  <c r="F152" i="4"/>
  <c r="G152" i="4"/>
  <c r="B2535" i="1"/>
  <c r="W152" i="4" s="1"/>
  <c r="W170" i="4"/>
  <c r="K152" i="4"/>
  <c r="O134" i="4"/>
  <c r="O47" i="4"/>
  <c r="B176" i="3"/>
  <c r="B2485" i="1"/>
  <c r="M114" i="4" s="1"/>
  <c r="M132" i="4" s="1"/>
  <c r="F114" i="4"/>
  <c r="G114" i="4" s="1"/>
  <c r="P114" i="4" s="1"/>
  <c r="K114" i="4"/>
  <c r="L114" i="4" s="1"/>
  <c r="F148" i="4"/>
  <c r="G148" i="4"/>
  <c r="M148" i="4"/>
  <c r="M166" i="4"/>
  <c r="B2414" i="1"/>
  <c r="M113" i="4"/>
  <c r="M131" i="4" s="1"/>
  <c r="F113" i="4"/>
  <c r="F131" i="4" s="1"/>
  <c r="G113" i="4"/>
  <c r="O113" i="4" s="1"/>
  <c r="F41" i="4"/>
  <c r="G41" i="4" s="1"/>
  <c r="O41" i="4" s="1"/>
  <c r="B1861" i="1"/>
  <c r="M41" i="4"/>
  <c r="M75" i="4" s="1"/>
  <c r="B2460" i="1"/>
  <c r="M151" i="4" s="1"/>
  <c r="M169" i="4" s="1"/>
  <c r="F151" i="4"/>
  <c r="G151" i="4" s="1"/>
  <c r="B2463" i="1"/>
  <c r="V151" i="4" s="1"/>
  <c r="V169" i="4" s="1"/>
  <c r="B1838" i="1"/>
  <c r="M110" i="4" s="1"/>
  <c r="M128" i="4"/>
  <c r="F110" i="4"/>
  <c r="O80" i="4"/>
  <c r="B1324" i="1"/>
  <c r="M108" i="4" s="1"/>
  <c r="M126" i="4" s="1"/>
  <c r="H123" i="4"/>
  <c r="M106" i="4"/>
  <c r="M124" i="4" s="1"/>
  <c r="F106" i="4"/>
  <c r="F124" i="4" s="1"/>
  <c r="G106" i="4"/>
  <c r="P106" i="4" s="1"/>
  <c r="B55" i="1"/>
  <c r="M103" i="4" s="1"/>
  <c r="M121" i="4" s="1"/>
  <c r="F103" i="4"/>
  <c r="G103" i="4"/>
  <c r="G133" i="4"/>
  <c r="P133" i="4"/>
  <c r="O115" i="4"/>
  <c r="B91" i="3"/>
  <c r="B1012" i="1"/>
  <c r="M107" i="4"/>
  <c r="M125" i="4" s="1"/>
  <c r="F107" i="4"/>
  <c r="F125" i="4" s="1"/>
  <c r="G107" i="4"/>
  <c r="G125" i="4" s="1"/>
  <c r="H126" i="4"/>
  <c r="B633" i="1"/>
  <c r="M105" i="4" s="1"/>
  <c r="M123" i="4" s="1"/>
  <c r="F105" i="4"/>
  <c r="H125" i="4"/>
  <c r="L125" i="4"/>
  <c r="P125" i="4" s="1"/>
  <c r="F79" i="4"/>
  <c r="G45" i="4"/>
  <c r="G79" i="4" s="1"/>
  <c r="F78" i="4"/>
  <c r="F75" i="4"/>
  <c r="G70" i="4"/>
  <c r="O70" i="4" s="1"/>
  <c r="P70" i="4"/>
  <c r="P69" i="4"/>
  <c r="P34" i="4"/>
  <c r="F166" i="4"/>
  <c r="F132" i="4"/>
  <c r="F170" i="4"/>
  <c r="K132" i="4"/>
  <c r="L132" i="4"/>
  <c r="O133" i="4"/>
  <c r="O39" i="4"/>
  <c r="B1335" i="1"/>
  <c r="F121" i="4"/>
  <c r="P107" i="4"/>
  <c r="G75" i="4"/>
  <c r="P75" i="4" s="1"/>
  <c r="B2402" i="1"/>
  <c r="G131" i="4"/>
  <c r="G170" i="4"/>
  <c r="O152" i="4"/>
  <c r="B2519" i="1" s="1"/>
  <c r="G132" i="4"/>
  <c r="O114" i="4"/>
  <c r="B2473" i="1"/>
  <c r="G166" i="4"/>
  <c r="O166" i="4" s="1"/>
  <c r="B1849" i="1"/>
  <c r="O69" i="4"/>
  <c r="O107" i="4"/>
  <c r="B999" i="1" s="1"/>
  <c r="O131" i="4"/>
  <c r="O125" i="4"/>
  <c r="F93" i="4" l="1"/>
  <c r="F58" i="4"/>
  <c r="F92" i="4" s="1"/>
  <c r="O24" i="4"/>
  <c r="B691" i="6"/>
  <c r="B501" i="6"/>
  <c r="M57" i="4"/>
  <c r="M91" i="4" s="1"/>
  <c r="L51" i="4"/>
  <c r="L85" i="4" s="1"/>
  <c r="O73" i="4"/>
  <c r="O79" i="4"/>
  <c r="G108" i="4"/>
  <c r="F126" i="4"/>
  <c r="O45" i="4"/>
  <c r="B2496" i="1" s="1"/>
  <c r="F169" i="4"/>
  <c r="O75" i="4"/>
  <c r="G124" i="4"/>
  <c r="O35" i="4"/>
  <c r="B418" i="1" s="1"/>
  <c r="L103" i="4"/>
  <c r="H121" i="4"/>
  <c r="O34" i="4"/>
  <c r="B67" i="1" s="1"/>
  <c r="G68" i="4"/>
  <c r="J8" i="4"/>
  <c r="O74" i="4"/>
  <c r="P74" i="4"/>
  <c r="G167" i="4"/>
  <c r="P149" i="4"/>
  <c r="O149" i="4"/>
  <c r="B2058" i="1" s="1"/>
  <c r="F77" i="4"/>
  <c r="G43" i="4"/>
  <c r="G169" i="4"/>
  <c r="P111" i="4"/>
  <c r="O111" i="4"/>
  <c r="B2024" i="1" s="1"/>
  <c r="G129" i="4"/>
  <c r="B407" i="1"/>
  <c r="M104" i="4" s="1"/>
  <c r="M122" i="4" s="1"/>
  <c r="F104" i="4"/>
  <c r="P45" i="4"/>
  <c r="G150" i="4"/>
  <c r="F168" i="4"/>
  <c r="G165" i="4"/>
  <c r="P147" i="4"/>
  <c r="O147" i="4"/>
  <c r="B1548" i="1" s="1"/>
  <c r="L104" i="4"/>
  <c r="L122" i="4" s="1"/>
  <c r="H122" i="4"/>
  <c r="P142" i="4"/>
  <c r="G160" i="4"/>
  <c r="O142" i="4"/>
  <c r="B465" i="1" s="1"/>
  <c r="O151" i="4"/>
  <c r="B2448" i="1" s="1"/>
  <c r="I169" i="4"/>
  <c r="L151" i="4"/>
  <c r="L169" i="4" s="1"/>
  <c r="P40" i="4"/>
  <c r="G110" i="4"/>
  <c r="F128" i="4"/>
  <c r="O148" i="4"/>
  <c r="B1872" i="1" s="1"/>
  <c r="P148" i="4"/>
  <c r="O170" i="4"/>
  <c r="O36" i="4"/>
  <c r="B644" i="1" s="1"/>
  <c r="G159" i="4"/>
  <c r="O141" i="4"/>
  <c r="B91" i="1" s="1"/>
  <c r="P141" i="4"/>
  <c r="G78" i="4"/>
  <c r="O44" i="4"/>
  <c r="B2425" i="1" s="1"/>
  <c r="F69" i="4"/>
  <c r="J12" i="4"/>
  <c r="H127" i="4"/>
  <c r="L109" i="4"/>
  <c r="L127" i="4" s="1"/>
  <c r="F160" i="4"/>
  <c r="B2047" i="1"/>
  <c r="M42" i="4" s="1"/>
  <c r="M76" i="4" s="1"/>
  <c r="F42" i="4"/>
  <c r="P35" i="4"/>
  <c r="K78" i="4"/>
  <c r="L44" i="4"/>
  <c r="L78" i="4" s="1"/>
  <c r="P41" i="4"/>
  <c r="G105" i="4"/>
  <c r="F123" i="4"/>
  <c r="G121" i="4"/>
  <c r="O103" i="4"/>
  <c r="B42" i="1" s="1"/>
  <c r="K170" i="4"/>
  <c r="P170" i="4" s="1"/>
  <c r="L152" i="4"/>
  <c r="P166" i="4"/>
  <c r="O106" i="4"/>
  <c r="B777" i="1" s="1"/>
  <c r="P132" i="4"/>
  <c r="O132" i="4"/>
  <c r="K79" i="4"/>
  <c r="L45" i="4"/>
  <c r="L79" i="4" s="1"/>
  <c r="P79" i="4" s="1"/>
  <c r="G38" i="4"/>
  <c r="L39" i="4"/>
  <c r="L73" i="4" s="1"/>
  <c r="P73" i="4" s="1"/>
  <c r="H70" i="4"/>
  <c r="L16" i="4"/>
  <c r="B2214" i="1"/>
  <c r="M43" i="4" s="1"/>
  <c r="M77" i="4" s="1"/>
  <c r="L143" i="4"/>
  <c r="L161" i="4" s="1"/>
  <c r="H161" i="4"/>
  <c r="P146" i="4"/>
  <c r="L164" i="4"/>
  <c r="B1615" i="1"/>
  <c r="B1618" i="1"/>
  <c r="B1617" i="1"/>
  <c r="O7" i="4"/>
  <c r="B478" i="1"/>
  <c r="M142" i="4" s="1"/>
  <c r="M160" i="4" s="1"/>
  <c r="B2194" i="1"/>
  <c r="M112" i="4" s="1"/>
  <c r="M130" i="4" s="1"/>
  <c r="B130" i="1"/>
  <c r="O15" i="4"/>
  <c r="K128" i="4"/>
  <c r="G145" i="4"/>
  <c r="B1141" i="1"/>
  <c r="B452" i="1"/>
  <c r="G161" i="4"/>
  <c r="L113" i="4"/>
  <c r="B1114" i="1"/>
  <c r="B1577" i="1"/>
  <c r="B454" i="1"/>
  <c r="B1592" i="1"/>
  <c r="H124" i="4"/>
  <c r="F37" i="4"/>
  <c r="O109" i="4"/>
  <c r="B1512" i="1" s="1"/>
  <c r="B2234" i="1"/>
  <c r="M150" i="4" s="1"/>
  <c r="M168" i="4" s="1"/>
  <c r="P143" i="4"/>
  <c r="F159" i="4"/>
  <c r="F144" i="4"/>
  <c r="B1140" i="1"/>
  <c r="G127" i="4"/>
  <c r="B2189" i="1"/>
  <c r="F112" i="4" s="1"/>
  <c r="L40" i="4"/>
  <c r="L74" i="4" s="1"/>
  <c r="B1575" i="1"/>
  <c r="G58" i="4"/>
  <c r="G92" i="4" s="1"/>
  <c r="O92" i="4" s="1"/>
  <c r="F49" i="4"/>
  <c r="M49" i="4"/>
  <c r="M83" i="4" s="1"/>
  <c r="S22" i="4"/>
  <c r="B690" i="6"/>
  <c r="S21" i="4"/>
  <c r="J22" i="4"/>
  <c r="J20" i="4"/>
  <c r="F56" i="4"/>
  <c r="F90" i="4" s="1"/>
  <c r="J26" i="4"/>
  <c r="L59" i="4"/>
  <c r="L93" i="4" s="1"/>
  <c r="O25" i="4"/>
  <c r="J23" i="4"/>
  <c r="K86" i="4"/>
  <c r="F50" i="4"/>
  <c r="M50" i="4"/>
  <c r="M84" i="4" s="1"/>
  <c r="G53" i="4"/>
  <c r="F87" i="4"/>
  <c r="F83" i="4"/>
  <c r="G49" i="4"/>
  <c r="F91" i="4"/>
  <c r="G57" i="4"/>
  <c r="M51" i="4"/>
  <c r="M85" i="4" s="1"/>
  <c r="F51" i="4"/>
  <c r="G93" i="4"/>
  <c r="O59" i="4"/>
  <c r="P59" i="4"/>
  <c r="O58" i="4"/>
  <c r="B992" i="6" s="1"/>
  <c r="L49" i="4"/>
  <c r="L83" i="4" s="1"/>
  <c r="K91" i="4"/>
  <c r="B474" i="6"/>
  <c r="M52" i="4" s="1"/>
  <c r="M86" i="4" s="1"/>
  <c r="B590" i="6"/>
  <c r="M53" i="4" s="1"/>
  <c r="M87" i="4" s="1"/>
  <c r="B499" i="6"/>
  <c r="F52" i="4"/>
  <c r="G56" i="4"/>
  <c r="L58" i="4"/>
  <c r="L92" i="4" s="1"/>
  <c r="P92" i="4" s="1"/>
  <c r="B689" i="6"/>
  <c r="B500" i="6"/>
  <c r="M58" i="4"/>
  <c r="M92" i="4" s="1"/>
  <c r="F88" i="4"/>
  <c r="G54" i="4"/>
  <c r="G61" i="4"/>
  <c r="F95" i="4"/>
  <c r="G62" i="4"/>
  <c r="F96" i="4"/>
  <c r="B55" i="7"/>
  <c r="B63" i="7"/>
  <c r="B72" i="7"/>
  <c r="B96" i="7"/>
  <c r="B163" i="7"/>
  <c r="M62" i="4" s="1"/>
  <c r="M96" i="4" s="1"/>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s="1"/>
  <c r="M95" i="4" s="1"/>
  <c r="P105" i="4" l="1"/>
  <c r="O105" i="4"/>
  <c r="G123" i="4"/>
  <c r="P68" i="4"/>
  <c r="O68" i="4"/>
  <c r="P145" i="4"/>
  <c r="G163" i="4"/>
  <c r="O145" i="4"/>
  <c r="B1047" i="1" s="1"/>
  <c r="F122" i="4"/>
  <c r="G104" i="4"/>
  <c r="O127" i="4"/>
  <c r="P127" i="4"/>
  <c r="P110" i="4"/>
  <c r="O110" i="4"/>
  <c r="B1826" i="1" s="1"/>
  <c r="G128" i="4"/>
  <c r="G144" i="4"/>
  <c r="F162" i="4"/>
  <c r="P39" i="4"/>
  <c r="G126" i="4"/>
  <c r="P108" i="4"/>
  <c r="O108" i="4"/>
  <c r="G72" i="4"/>
  <c r="P38" i="4"/>
  <c r="O38" i="4"/>
  <c r="B1023" i="1" s="1"/>
  <c r="P129" i="4"/>
  <c r="O129" i="4"/>
  <c r="P103" i="4"/>
  <c r="L121" i="4"/>
  <c r="P121" i="4" s="1"/>
  <c r="P167" i="4"/>
  <c r="O167" i="4"/>
  <c r="G42" i="4"/>
  <c r="F76" i="4"/>
  <c r="P165" i="4"/>
  <c r="O165" i="4"/>
  <c r="B1568" i="1" s="1"/>
  <c r="O121" i="4"/>
  <c r="B143" i="1" s="1"/>
  <c r="P44" i="4"/>
  <c r="P151" i="4"/>
  <c r="P43" i="4"/>
  <c r="G77" i="4"/>
  <c r="O43" i="4"/>
  <c r="B2205" i="1" s="1"/>
  <c r="B1595" i="1"/>
  <c r="B1598" i="1"/>
  <c r="B1597" i="1"/>
  <c r="O159" i="4"/>
  <c r="P159" i="4"/>
  <c r="P109" i="4"/>
  <c r="P152" i="4"/>
  <c r="L170" i="4"/>
  <c r="L131" i="4"/>
  <c r="P131" i="4" s="1"/>
  <c r="P113" i="4"/>
  <c r="O78" i="4"/>
  <c r="P78" i="4"/>
  <c r="P124" i="4"/>
  <c r="O124" i="4"/>
  <c r="B1099" i="1" s="1"/>
  <c r="P161" i="4"/>
  <c r="O161" i="4"/>
  <c r="G112" i="4"/>
  <c r="F130" i="4"/>
  <c r="G37" i="4"/>
  <c r="F71" i="4"/>
  <c r="O160" i="4"/>
  <c r="P160" i="4"/>
  <c r="G168" i="4"/>
  <c r="P150" i="4"/>
  <c r="O150" i="4"/>
  <c r="B2225" i="1" s="1"/>
  <c r="O169" i="4"/>
  <c r="P169" i="4"/>
  <c r="G90" i="4"/>
  <c r="O56" i="4"/>
  <c r="B642" i="6" s="1"/>
  <c r="P56" i="4"/>
  <c r="F86" i="4"/>
  <c r="G52" i="4"/>
  <c r="G83" i="4"/>
  <c r="O49" i="4"/>
  <c r="B129" i="6" s="1"/>
  <c r="P49" i="4"/>
  <c r="P93" i="4"/>
  <c r="O93" i="4"/>
  <c r="P58" i="4"/>
  <c r="O53" i="4"/>
  <c r="B576" i="6" s="1"/>
  <c r="G87" i="4"/>
  <c r="P53" i="4"/>
  <c r="O57" i="4"/>
  <c r="B842" i="6" s="1"/>
  <c r="P57" i="4"/>
  <c r="G91" i="4"/>
  <c r="G51" i="4"/>
  <c r="F85" i="4"/>
  <c r="F84" i="4"/>
  <c r="G50" i="4"/>
  <c r="F63" i="4"/>
  <c r="B195" i="7"/>
  <c r="M63" i="4" s="1"/>
  <c r="M97" i="4" s="1"/>
  <c r="B64" i="7"/>
  <c r="M55" i="4" s="1"/>
  <c r="M89" i="4" s="1"/>
  <c r="F55" i="4"/>
  <c r="B98" i="7"/>
  <c r="M60" i="4" s="1"/>
  <c r="M94" i="4" s="1"/>
  <c r="F60" i="4"/>
  <c r="P62" i="4"/>
  <c r="G96" i="4"/>
  <c r="O62" i="4"/>
  <c r="G95" i="4"/>
  <c r="P61" i="4"/>
  <c r="O61" i="4"/>
  <c r="P54" i="4"/>
  <c r="O54" i="4"/>
  <c r="G88" i="4"/>
  <c r="O168" i="4" l="1"/>
  <c r="P168" i="4"/>
  <c r="B1311" i="1"/>
  <c r="B1588" i="1"/>
  <c r="P37" i="4"/>
  <c r="O37" i="4"/>
  <c r="B799" i="1" s="1"/>
  <c r="G71" i="4"/>
  <c r="P104" i="4"/>
  <c r="G122" i="4"/>
  <c r="O104" i="4"/>
  <c r="B396" i="1" s="1"/>
  <c r="B622" i="1"/>
  <c r="B666" i="1"/>
  <c r="O77" i="4"/>
  <c r="P77" i="4"/>
  <c r="O144" i="4"/>
  <c r="B845" i="1" s="1"/>
  <c r="G162" i="4"/>
  <c r="P144" i="4"/>
  <c r="P42" i="4"/>
  <c r="O42" i="4"/>
  <c r="B2041" i="1" s="1"/>
  <c r="G76" i="4"/>
  <c r="P128" i="4"/>
  <c r="O128" i="4"/>
  <c r="P163" i="4"/>
  <c r="O163" i="4"/>
  <c r="P72" i="4"/>
  <c r="O72" i="4"/>
  <c r="O126" i="4"/>
  <c r="P126" i="4"/>
  <c r="P123" i="4"/>
  <c r="O123" i="4"/>
  <c r="P112" i="4"/>
  <c r="G130" i="4"/>
  <c r="O112" i="4"/>
  <c r="B2185" i="1" s="1"/>
  <c r="O50" i="4"/>
  <c r="B197" i="6" s="1"/>
  <c r="P50" i="4"/>
  <c r="G84" i="4"/>
  <c r="P52" i="4"/>
  <c r="G86" i="4"/>
  <c r="O52" i="4"/>
  <c r="B460" i="6" s="1"/>
  <c r="O51" i="4"/>
  <c r="B336" i="6" s="1"/>
  <c r="P51" i="4"/>
  <c r="G85" i="4"/>
  <c r="P83" i="4"/>
  <c r="O83" i="4"/>
  <c r="O87" i="4"/>
  <c r="P87" i="4"/>
  <c r="O91" i="4"/>
  <c r="P91" i="4"/>
  <c r="O90" i="4"/>
  <c r="B671" i="6" s="1"/>
  <c r="P90" i="4"/>
  <c r="P96" i="4"/>
  <c r="O96" i="4"/>
  <c r="P88" i="4"/>
  <c r="O88" i="4"/>
  <c r="G60" i="4"/>
  <c r="F94" i="4"/>
  <c r="F89" i="4"/>
  <c r="G55" i="4"/>
  <c r="P95" i="4"/>
  <c r="O95" i="4"/>
  <c r="G63" i="4"/>
  <c r="F97" i="4"/>
  <c r="O130" i="4" l="1"/>
  <c r="B2570" i="1" s="1"/>
  <c r="P130" i="4"/>
  <c r="O71" i="4"/>
  <c r="P71" i="4"/>
  <c r="P76" i="4"/>
  <c r="O76" i="4"/>
  <c r="O162" i="4"/>
  <c r="P162" i="4"/>
  <c r="P122" i="4"/>
  <c r="O122" i="4"/>
  <c r="O86" i="4"/>
  <c r="P86" i="4"/>
  <c r="O84" i="4"/>
  <c r="P84" i="4"/>
  <c r="P85" i="4"/>
  <c r="O85" i="4"/>
  <c r="G94" i="4"/>
  <c r="P60" i="4"/>
  <c r="O60" i="4"/>
  <c r="P63" i="4"/>
  <c r="O63" i="4"/>
  <c r="G97" i="4"/>
  <c r="G89" i="4"/>
  <c r="P55" i="4"/>
  <c r="O55" i="4"/>
  <c r="P89" i="4" l="1"/>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<sst xmlns="http://schemas.openxmlformats.org/spreadsheetml/2006/main" count="19514" uniqueCount="1144">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</sst>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81">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applyFont="1" applyFill="1" applyBorder="1" applyAlignmen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8"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A30" zoomScale="85" zoomScaleNormal="85" workbookViewId="0">
      <selection activeCell="B60" sqref="B60:B6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1024</v>
      </c>
      <c r="P4" t="s">
        <v>467</v>
      </c>
      <c r="Q4" t="s">
        <v>475</v>
      </c>
      <c r="R4" t="s">
        <v>1018</v>
      </c>
      <c r="S4" t="s">
        <v>1018</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1035</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1035</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1035</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1035</v>
      </c>
      <c r="D9" t="s">
        <v>21</v>
      </c>
      <c r="E9">
        <v>1</v>
      </c>
      <c r="F9" s="4">
        <f>GREET!B762</f>
        <v>0.13945728886199998</v>
      </c>
      <c r="G9" s="4"/>
      <c r="H9" s="4"/>
      <c r="I9" s="3"/>
      <c r="J9" s="5">
        <f t="shared" si="0"/>
        <v>0.13945728886199998</v>
      </c>
      <c r="K9" s="4">
        <f>GREET!B763</f>
        <v>0.1449</v>
      </c>
      <c r="L9" s="43"/>
      <c r="M9" s="43"/>
      <c r="N9" s="42"/>
      <c r="O9" s="5">
        <f>GREET!B765</f>
        <v>1.81</v>
      </c>
      <c r="P9" s="5"/>
      <c r="Q9" s="29">
        <v>0</v>
      </c>
      <c r="R9" s="42">
        <f>17289000/1000*Parameters!B3</f>
        <v>18.240861455099999</v>
      </c>
      <c r="S9" s="42">
        <f t="shared" si="1"/>
        <v>18.240861455099999</v>
      </c>
    </row>
    <row r="10" spans="1:19" x14ac:dyDescent="0.2">
      <c r="B10" t="s">
        <v>66</v>
      </c>
      <c r="C10" t="s">
        <v>1035</v>
      </c>
      <c r="D10" t="s">
        <v>21</v>
      </c>
      <c r="E10">
        <v>1</v>
      </c>
      <c r="F10" s="4">
        <f>GREET!B942</f>
        <v>5.0564609063399997E-2</v>
      </c>
      <c r="G10" s="4"/>
      <c r="H10" s="4"/>
      <c r="I10" s="3">
        <f>GREET!B943</f>
        <v>1.0896382878333333E-3</v>
      </c>
      <c r="J10" s="5">
        <f t="shared" si="0"/>
        <v>5.4487306899599998E-2</v>
      </c>
      <c r="K10" s="4">
        <f>GREET!B944</f>
        <v>5.9569999999999998E-2</v>
      </c>
      <c r="L10" s="43">
        <f>SUM(GREET!B945:B947)*1000</f>
        <v>8.5560000000000009</v>
      </c>
      <c r="M10" s="43">
        <f>GREET!B949*1000000</f>
        <v>28.72</v>
      </c>
      <c r="N10" s="42"/>
      <c r="O10" s="5">
        <f>GREET!B962</f>
        <v>1.7590123356145999</v>
      </c>
      <c r="P10" s="5">
        <f>GREET!B981</f>
        <v>0.64656000000000002</v>
      </c>
      <c r="Q10" s="29">
        <v>0.15</v>
      </c>
      <c r="R10" s="42">
        <f>15342000/1000*Parameters!B3</f>
        <v>16.186667617799998</v>
      </c>
      <c r="S10" s="42">
        <f t="shared" si="1"/>
        <v>13.758667475129998</v>
      </c>
    </row>
    <row r="11" spans="1:19" x14ac:dyDescent="0.2">
      <c r="B11" t="s">
        <v>67</v>
      </c>
      <c r="C11" t="s">
        <v>1035</v>
      </c>
      <c r="D11" t="s">
        <v>21</v>
      </c>
      <c r="E11">
        <v>1</v>
      </c>
      <c r="F11" s="4">
        <f>GREET!B1294</f>
        <v>0.23590205879279999</v>
      </c>
      <c r="G11" s="4"/>
      <c r="H11" s="4"/>
      <c r="I11" s="3"/>
      <c r="J11" s="5">
        <f t="shared" si="0"/>
        <v>0.23590205879279999</v>
      </c>
      <c r="K11" s="4">
        <f>GREET!B1295</f>
        <v>8.5330000000000003E-2</v>
      </c>
      <c r="L11" s="43">
        <f>SUM(GREET!B1296:B1298)*1000</f>
        <v>19.096999999999998</v>
      </c>
      <c r="M11" s="43"/>
      <c r="N11" s="42"/>
      <c r="O11" s="5">
        <f>GREET!B1300</f>
        <v>1.7167333333333332</v>
      </c>
      <c r="P11" s="5"/>
      <c r="Q11" s="29">
        <v>0.12</v>
      </c>
      <c r="R11" s="42">
        <f>14716000/1000*Parameters!B3</f>
        <v>15.5262026244</v>
      </c>
      <c r="S11" s="42">
        <f t="shared" si="1"/>
        <v>13.663058309472</v>
      </c>
    </row>
    <row r="12" spans="1:19" x14ac:dyDescent="0.2">
      <c r="B12" t="s">
        <v>76</v>
      </c>
      <c r="C12" t="s">
        <v>1035</v>
      </c>
      <c r="D12" t="s">
        <v>21</v>
      </c>
      <c r="E12">
        <v>1</v>
      </c>
      <c r="F12" s="4">
        <f>GREET!B1458</f>
        <v>3.8388208921499994E-2</v>
      </c>
      <c r="G12" s="4">
        <f>GREET!B1459</f>
        <v>1.2328328191499999E-2</v>
      </c>
      <c r="H12" s="4">
        <f>GREET!B1460</f>
        <v>4.0493045441999997E-2</v>
      </c>
      <c r="I12" s="3">
        <f>GREET!B1461</f>
        <v>2.5057577624999997E-3</v>
      </c>
      <c r="J12" s="5">
        <f t="shared" si="0"/>
        <v>0.10023031049999999</v>
      </c>
      <c r="K12" s="4">
        <f>GREET!B1462</f>
        <v>1.932E-2</v>
      </c>
      <c r="L12" s="43">
        <f>SUM(GREET!B1463:B1465)*1000</f>
        <v>3.0878000000000001</v>
      </c>
      <c r="M12" s="43">
        <f>GREET!B1468*1000000</f>
        <v>51.3</v>
      </c>
      <c r="N12" s="42">
        <f>GREET!B1467*1000000</f>
        <v>2.8499999999999996</v>
      </c>
      <c r="O12" s="5">
        <f>GREET!B1481</f>
        <v>0.44</v>
      </c>
      <c r="P12" s="5">
        <f>GREET!B1493</f>
        <v>0.13575000000000001</v>
      </c>
      <c r="Q12" s="29">
        <v>0.75</v>
      </c>
      <c r="R12" s="42">
        <f>12381771.3119168/1000*Parameters!B3</f>
        <v>13.063460875088559</v>
      </c>
      <c r="S12" s="42">
        <f t="shared" si="1"/>
        <v>3.2658652187721398</v>
      </c>
    </row>
    <row r="13" spans="1:19" x14ac:dyDescent="0.2">
      <c r="B13" t="s">
        <v>85</v>
      </c>
      <c r="C13" t="s">
        <v>1035</v>
      </c>
      <c r="D13" t="s">
        <v>21</v>
      </c>
      <c r="E13">
        <v>1</v>
      </c>
      <c r="F13" s="4">
        <f>GREET!B1772</f>
        <v>0.28635987509800198</v>
      </c>
      <c r="G13" s="4">
        <f>GREET!B1773</f>
        <v>2.0021099477405994E-2</v>
      </c>
      <c r="H13" s="4">
        <f>GREET!B1774</f>
        <v>3.7383795704699994E-4</v>
      </c>
      <c r="I13" s="3">
        <f>GREET!B1775</f>
        <v>1.1429772250000001E-5</v>
      </c>
      <c r="J13" s="5">
        <f t="shared" si="0"/>
        <v>0.30679595971255497</v>
      </c>
      <c r="K13" s="4">
        <f>GREET!B1776</f>
        <v>3.2199999999999999E-2</v>
      </c>
      <c r="L13" s="43">
        <f>SUM(GREET!B1777:B1779)*1000</f>
        <v>23.881841999999999</v>
      </c>
      <c r="M13" s="43">
        <f>GREET!B1780*1000000</f>
        <v>831.10069999999985</v>
      </c>
      <c r="N13" s="42"/>
      <c r="O13" s="5">
        <f>GREET!B1809</f>
        <v>1.4410000000000001</v>
      </c>
      <c r="P13" s="5">
        <f>GREET!B1815</f>
        <v>0.64451037545981105</v>
      </c>
      <c r="Q13" s="29">
        <v>0.2</v>
      </c>
      <c r="R13" s="42">
        <f>12781599.3438641/1000*Parameters!B3</f>
        <v>13.485301799179947</v>
      </c>
      <c r="S13" s="42">
        <f t="shared" si="1"/>
        <v>10.788241439343958</v>
      </c>
    </row>
    <row r="14" spans="1:19" x14ac:dyDescent="0.2">
      <c r="B14" t="s">
        <v>87</v>
      </c>
      <c r="C14" t="s">
        <v>1035</v>
      </c>
      <c r="D14" t="s">
        <v>21</v>
      </c>
      <c r="E14">
        <v>1</v>
      </c>
      <c r="F14" s="4">
        <f>GREET!B1971</f>
        <v>4.0196574734099995E-2</v>
      </c>
      <c r="G14" s="4">
        <f>GREET!B1972</f>
        <v>1.2908608936499999E-2</v>
      </c>
      <c r="H14" s="4">
        <f>GREET!B1973</f>
        <v>4.2400586509199999E-2</v>
      </c>
      <c r="I14" s="3">
        <f>GREET!B1974</f>
        <v>2.6238654090833331E-3</v>
      </c>
      <c r="J14" s="5">
        <f t="shared" si="0"/>
        <v>0.1049516856525</v>
      </c>
      <c r="K14" s="4">
        <f>GREET!B1975</f>
        <v>3.2199999999999999E-2</v>
      </c>
      <c r="L14" s="43">
        <f>SUM(GREET!B1976:B1977)*1000</f>
        <v>1.6589999999999998</v>
      </c>
      <c r="M14" s="43">
        <f>GREET!B1978*1000000</f>
        <v>71.910000000000011</v>
      </c>
      <c r="N14" s="42"/>
      <c r="O14" s="5">
        <f>GREET!B2007</f>
        <v>0.43120000000000003</v>
      </c>
      <c r="P14" s="5">
        <f>GREET!B2013</f>
        <v>6.9244916371715204E-2</v>
      </c>
      <c r="Q14" s="29">
        <v>0.72</v>
      </c>
      <c r="R14" s="42">
        <f>14409931.2481657/1000*Parameters!B3</f>
        <v>15.203282981971585</v>
      </c>
      <c r="S14" s="42">
        <f t="shared" si="1"/>
        <v>4.2569192349520444</v>
      </c>
    </row>
    <row r="15" spans="1:19" x14ac:dyDescent="0.2">
      <c r="B15" t="s">
        <v>91</v>
      </c>
      <c r="C15" t="s">
        <v>1035</v>
      </c>
      <c r="D15" t="s">
        <v>21</v>
      </c>
      <c r="E15">
        <v>1</v>
      </c>
      <c r="F15" s="4">
        <f>GREET!B2130</f>
        <v>2.5393085401199996E-2</v>
      </c>
      <c r="G15" s="4">
        <f>GREET!B2131</f>
        <v>8.1545270510999992E-3</v>
      </c>
      <c r="H15" s="4">
        <f>GREET!B2132</f>
        <v>2.6785759189199995E-2</v>
      </c>
      <c r="I15" s="3">
        <f>GREET!B2133</f>
        <v>1.6576100473333331E-3</v>
      </c>
      <c r="J15" s="5">
        <f t="shared" si="0"/>
        <v>6.6300767811899988E-2</v>
      </c>
      <c r="K15" s="4">
        <f>GREET!B2134</f>
        <v>3.2199999999999999E-2</v>
      </c>
      <c r="L15" s="43">
        <f>SUM(GREET!B2135:B2137)*1000</f>
        <v>2.9289999999999998</v>
      </c>
      <c r="M15" s="43">
        <f>GREET!B2139*1000000</f>
        <v>23.96</v>
      </c>
      <c r="N15" s="42"/>
      <c r="O15" s="5">
        <f>GREET!B2168</f>
        <v>0.4158</v>
      </c>
      <c r="P15" s="5">
        <f>GREET!B2174</f>
        <v>6.9244916371715204E-2</v>
      </c>
      <c r="Q15" s="29">
        <v>0.73</v>
      </c>
      <c r="R15" s="42">
        <f>14409931.2481657/1000*Parameters!B3</f>
        <v>15.203282981971585</v>
      </c>
      <c r="S15" s="42">
        <f t="shared" si="1"/>
        <v>4.1048864051323282</v>
      </c>
    </row>
    <row r="16" spans="1:19" x14ac:dyDescent="0.2">
      <c r="B16" t="s">
        <v>96</v>
      </c>
      <c r="C16" t="s">
        <v>1035</v>
      </c>
      <c r="D16" t="s">
        <v>21</v>
      </c>
      <c r="E16">
        <v>1</v>
      </c>
      <c r="F16" s="4">
        <f>GREET!B2320</f>
        <v>0.21599526407159997</v>
      </c>
      <c r="G16" s="4">
        <f>GREET!B2321</f>
        <v>3.331311572796599E-2</v>
      </c>
      <c r="H16" s="4">
        <f>GREET!B2322</f>
        <v>6.2514013928414991E-2</v>
      </c>
      <c r="I16" s="3">
        <f>GREET!B2323</f>
        <v>1.5299664538404997E-2</v>
      </c>
      <c r="J16" s="5">
        <f t="shared" si="0"/>
        <v>0.36690118606623889</v>
      </c>
      <c r="K16" s="4">
        <f>SUM(GREET!B2324:B2326)</f>
        <v>1.288</v>
      </c>
      <c r="L16" s="43">
        <f>SUM(GREET!B2327:B2329)*1000</f>
        <v>27.732227999999996</v>
      </c>
      <c r="M16" s="43">
        <f>GREET!B2332*1000000</f>
        <v>230.43064149999998</v>
      </c>
      <c r="N16" s="42">
        <f>GREET!B2331*1000000</f>
        <v>0.49173129999999993</v>
      </c>
      <c r="O16" s="5">
        <f>GREET!B2336</f>
        <v>1.4762999999999999</v>
      </c>
      <c r="P16" s="5">
        <f>GREET!B2346</f>
        <v>0.95982162650602398</v>
      </c>
      <c r="Q16" s="29">
        <v>0.14000000000000001</v>
      </c>
      <c r="R16" s="42">
        <f>6810*Parameters!B3/Parameters!B8</f>
        <v>15.839794265873016</v>
      </c>
      <c r="S16" s="42">
        <f t="shared" si="1"/>
        <v>13.622223068650793</v>
      </c>
    </row>
    <row r="17" spans="2:19" x14ac:dyDescent="0.2">
      <c r="B17" t="s">
        <v>76</v>
      </c>
      <c r="C17" t="s">
        <v>264</v>
      </c>
      <c r="D17" t="s">
        <v>1025</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43">
        <f>SUM('Cozzolini 2018'!B15,'Cozzolini 2018'!B17:B18)*1000</f>
        <v>23.588550000000001</v>
      </c>
      <c r="M20" s="43"/>
      <c r="N20" s="42">
        <f>'Cozzolini 2018'!B16*1000000</f>
        <v>0.88036915646023683</v>
      </c>
      <c r="O20" s="5">
        <f>'Cozzolini 2018'!B27</f>
        <v>1.4526233333333334</v>
      </c>
      <c r="P20" s="5">
        <f>'Cozzolini 2018'!B28</f>
        <v>1.4921511126444715</v>
      </c>
      <c r="Q20" s="29">
        <v>0.13500000000000001</v>
      </c>
      <c r="R20" s="42">
        <v>15.15</v>
      </c>
      <c r="S20" s="42">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43"/>
      <c r="M21" s="43"/>
      <c r="N21" s="42"/>
      <c r="O21" s="5">
        <f>'Cozzolini 2018'!B188</f>
        <v>1.518</v>
      </c>
      <c r="P21" s="5"/>
      <c r="Q21" s="29">
        <f>'Cozzolini 2018'!B178</f>
        <v>0.1</v>
      </c>
      <c r="R21" s="42">
        <f>'Cozzolini 2018'!B177</f>
        <v>17.2</v>
      </c>
      <c r="S21" s="42">
        <f t="shared" si="1"/>
        <v>15.48</v>
      </c>
    </row>
    <row r="22" spans="2:19" x14ac:dyDescent="0.2">
      <c r="B22" t="s">
        <v>96</v>
      </c>
      <c r="C22" t="s">
        <v>572</v>
      </c>
      <c r="D22" t="s">
        <v>1029</v>
      </c>
      <c r="E22">
        <v>1</v>
      </c>
      <c r="F22" s="4">
        <f>'Cozzolini 2018'!B265</f>
        <v>0.55718582999999999</v>
      </c>
      <c r="H22" s="4">
        <f>'Cozzolini 2018'!B258*50</f>
        <v>0.1691192</v>
      </c>
      <c r="I22" s="3">
        <f>SUM('Cozzolini 2018'!B266:B267)</f>
        <v>9.4050180000000011E-3</v>
      </c>
      <c r="J22" s="5">
        <f t="shared" si="0"/>
        <v>0.76016309479999999</v>
      </c>
      <c r="K22" s="4">
        <f>'Cozzolini 2018'!B269</f>
        <v>0.05</v>
      </c>
      <c r="L22" s="43">
        <f>SUM('Cozzolini 2018'!B259,'Cozzolini 2018'!B262:B263)*1000</f>
        <v>30.43</v>
      </c>
      <c r="M22" s="43">
        <f>'Cozzolini 2018'!B261*1000000</f>
        <v>985.99999999999989</v>
      </c>
      <c r="N22" s="42">
        <f>'Cozzolini 2018'!B260*1000000</f>
        <v>1.79</v>
      </c>
      <c r="O22" s="5">
        <f>'Cozzolini 2018'!B271</f>
        <v>1.40008</v>
      </c>
      <c r="P22" s="5">
        <f>'Cozzolini 2018'!B272</f>
        <v>1.4027212792818067</v>
      </c>
      <c r="Q22" s="29">
        <f>'Cozzolini 2018'!B251</f>
        <v>0.14000000000000001</v>
      </c>
      <c r="R22" s="42">
        <f>'Cozzolini 2018'!B250</f>
        <v>17.325581395348838</v>
      </c>
      <c r="S22" s="42">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43">
        <f>SUM('Cozzolini 2018'!B395,'Cozzolini 2018'!B397:B398)*1000</f>
        <v>12.388</v>
      </c>
      <c r="M23" s="43"/>
      <c r="N23" s="42">
        <f>'Cozzolini 2018'!B396*1000000</f>
        <v>0.20374999999999999</v>
      </c>
      <c r="O23" s="5">
        <f>'Cozzolini 2018'!B406</f>
        <v>1.6316666666666666</v>
      </c>
      <c r="P23" s="5">
        <f>'Cozzolini 2018'!B407</f>
        <v>7.4294205052005929E-2</v>
      </c>
      <c r="Q23" s="29">
        <f>'Cozzolini 2018'!B390</f>
        <v>0.75</v>
      </c>
      <c r="R23" s="42">
        <f>'Cozzolini 2018'!B389</f>
        <v>16.3</v>
      </c>
      <c r="S23" s="42">
        <f t="shared" si="1"/>
        <v>4.0750000000000002</v>
      </c>
    </row>
    <row r="24" spans="2:19" x14ac:dyDescent="0.2">
      <c r="B24" t="s">
        <v>69</v>
      </c>
      <c r="C24" t="s">
        <v>572</v>
      </c>
      <c r="D24" t="s">
        <v>845</v>
      </c>
      <c r="E24">
        <v>1</v>
      </c>
      <c r="J24" s="5">
        <f t="shared" si="0"/>
        <v>0</v>
      </c>
      <c r="K24" s="4">
        <f>SUM('Cozzolini 2018'!B562:B563)</f>
        <v>2.5</v>
      </c>
      <c r="O24" s="5">
        <f>'Cozzolini 2018'!B566</f>
        <v>1.8186666666666667</v>
      </c>
      <c r="Q24">
        <f>'Cozzolini 2018'!B555</f>
        <v>0</v>
      </c>
      <c r="R24">
        <f>'Cozzolini 2018'!B554</f>
        <v>19</v>
      </c>
      <c r="S24" s="42">
        <f t="shared" si="1"/>
        <v>19</v>
      </c>
    </row>
    <row r="25" spans="2:19" x14ac:dyDescent="0.2">
      <c r="B25" t="s">
        <v>873</v>
      </c>
      <c r="C25" t="s">
        <v>572</v>
      </c>
      <c r="D25" t="s">
        <v>845</v>
      </c>
      <c r="E25">
        <v>1</v>
      </c>
      <c r="I25" s="3">
        <f>'Cozzolini 2018'!B632</f>
        <v>9.9079200000000006E-3</v>
      </c>
      <c r="J25" s="5">
        <f t="shared" si="0"/>
        <v>3.5668512000000006E-2</v>
      </c>
      <c r="K25" s="4">
        <f>SUM('Cozzolini 2018'!B630:B631)</f>
        <v>7.6071600000000004</v>
      </c>
      <c r="O25" s="5">
        <f>'Cozzolini 2018'!B633</f>
        <v>1.9066666666666667</v>
      </c>
      <c r="R25">
        <f>'Cozzolini 2018'!B621</f>
        <v>39.6</v>
      </c>
      <c r="S25" s="42">
        <f t="shared" si="1"/>
        <v>39.6</v>
      </c>
    </row>
    <row r="26" spans="2:19" x14ac:dyDescent="0.2">
      <c r="B26" t="s">
        <v>878</v>
      </c>
      <c r="C26" t="s">
        <v>572</v>
      </c>
      <c r="D26" t="s">
        <v>1029</v>
      </c>
      <c r="E26">
        <v>1</v>
      </c>
      <c r="F26" s="4">
        <f>'Cozzolini 2018'!B735</f>
        <v>0.97220991758241904</v>
      </c>
      <c r="G26" s="4">
        <f>'Cozzolini 2018'!B737</f>
        <v>3.851312637362637E-3</v>
      </c>
      <c r="H26" s="4">
        <f>'Cozzolini 2018'!B728</f>
        <v>3.3196796703296701E-3</v>
      </c>
      <c r="I26" s="3">
        <f>'Cozzolini 2018'!B736</f>
        <v>2.1103407692307695E-2</v>
      </c>
      <c r="J26" s="5">
        <f t="shared" si="0"/>
        <v>1.055353177582419</v>
      </c>
      <c r="K26" s="4"/>
      <c r="L26" s="43">
        <f>SUM('Cozzolini 2018'!B729,'Cozzolini 2018'!B731:B732)*1000</f>
        <v>70.867582417582412</v>
      </c>
      <c r="M26" s="5">
        <f>'Cozzolini 2018'!B738*1000000</f>
        <v>2099</v>
      </c>
      <c r="N26" s="42">
        <f>'Cozzolini 2018'!B730*1000000</f>
        <v>2.2697802197802202</v>
      </c>
      <c r="O26" s="5">
        <f>'Cozzolini 2018'!B742</f>
        <v>1.6674166666666665</v>
      </c>
      <c r="P26" s="5">
        <f>'Cozzolini 2018'!B743</f>
        <v>3.58</v>
      </c>
      <c r="Q26" s="70">
        <v>0.09</v>
      </c>
      <c r="R26" s="42">
        <v>26.9</v>
      </c>
      <c r="S26" s="42">
        <f t="shared" si="1"/>
        <v>24.478999999999999</v>
      </c>
    </row>
    <row r="27" spans="2:19" x14ac:dyDescent="0.2">
      <c r="B27" t="s">
        <v>885</v>
      </c>
      <c r="C27" t="s">
        <v>572</v>
      </c>
      <c r="D27" t="s">
        <v>845</v>
      </c>
      <c r="E27">
        <v>1</v>
      </c>
      <c r="F27" s="4">
        <f>'Cozzolini 2018'!B901</f>
        <v>0.118300224</v>
      </c>
      <c r="G27" s="4"/>
      <c r="H27" s="4"/>
      <c r="I27" s="3"/>
      <c r="J27" s="5">
        <f t="shared" si="0"/>
        <v>0.118300224</v>
      </c>
      <c r="K27" s="4"/>
      <c r="L27" s="43">
        <f>SUM('Cozzolini 2018'!B897,'Cozzolini 2018'!B899:B900)*1000</f>
        <v>22.080000000000002</v>
      </c>
      <c r="N27" s="42">
        <f>'Cozzolini 2018'!B898*1000000</f>
        <v>1.1039999999999999</v>
      </c>
      <c r="O27" s="5">
        <f>'Cozzolini 2018'!B907</f>
        <v>1.7069066666666668</v>
      </c>
      <c r="P27" s="5">
        <f>'Cozzolini 2018'!B908</f>
        <v>0.59589999999999999</v>
      </c>
      <c r="Q27" s="70">
        <f>'Cozzolini 2018'!B892</f>
        <v>0.08</v>
      </c>
      <c r="R27" s="42">
        <f>'Cozzolini 2018'!B891</f>
        <v>24</v>
      </c>
      <c r="S27" s="42">
        <f t="shared" si="1"/>
        <v>22.080000000000002</v>
      </c>
    </row>
    <row r="28" spans="2:19" x14ac:dyDescent="0.2">
      <c r="B28" t="s">
        <v>886</v>
      </c>
      <c r="C28" t="s">
        <v>572</v>
      </c>
      <c r="D28" t="s">
        <v>845</v>
      </c>
      <c r="E28">
        <v>1</v>
      </c>
      <c r="F28" s="4"/>
      <c r="G28" s="4"/>
      <c r="H28" s="4"/>
      <c r="I28" s="3">
        <f>'Cozzolini 2018'!B1043+'Cozzolini 2018'!B1054</f>
        <v>1.1348685764000002</v>
      </c>
      <c r="J28" s="5">
        <f t="shared" si="0"/>
        <v>4.0855268750400011</v>
      </c>
      <c r="K28" s="4"/>
      <c r="L28" s="43">
        <f>('Cozzolini 2018'!B1049+'Cozzolini 2018'!B1050)*1000</f>
        <v>19.367110599999997</v>
      </c>
      <c r="N28" s="42"/>
      <c r="O28" s="5">
        <f>'Cozzolini 2018'!B1045</f>
        <v>1.9433333333333334</v>
      </c>
      <c r="P28" s="5"/>
      <c r="Q28" s="70">
        <v>0</v>
      </c>
      <c r="R28" s="42">
        <f>'Cozzolini 2018'!B1044</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1035</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1035</v>
      </c>
      <c r="D35" t="s">
        <v>21</v>
      </c>
      <c r="E35">
        <v>1</v>
      </c>
      <c r="F35" s="42">
        <f>GREET!B422</f>
        <v>3.902331224292801</v>
      </c>
      <c r="G35" s="43">
        <f t="shared" ref="G35:G44"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7" si="5">N35/SUM(G35,L35)</f>
        <v>0.45209937956770113</v>
      </c>
    </row>
    <row r="36" spans="2:17" x14ac:dyDescent="0.2">
      <c r="B36" t="s">
        <v>483</v>
      </c>
      <c r="C36" t="s">
        <v>1035</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1035</v>
      </c>
      <c r="D37" t="s">
        <v>21</v>
      </c>
      <c r="E37">
        <v>1</v>
      </c>
      <c r="F37" s="42">
        <f>GREET!B803</f>
        <v>3.902331224292801</v>
      </c>
      <c r="G37" s="43">
        <f t="shared" si="3"/>
        <v>71.181883214235739</v>
      </c>
      <c r="H37" s="5">
        <f>GREET!B804</f>
        <v>5.9287357179998543E-2</v>
      </c>
      <c r="I37" s="5"/>
      <c r="J37" s="5"/>
      <c r="K37" s="5"/>
      <c r="L37" s="5">
        <f t="shared" si="4"/>
        <v>5.9287357179998543E-2</v>
      </c>
      <c r="M37" s="5">
        <f>GREET!B811</f>
        <v>5.1492195159699703</v>
      </c>
      <c r="N37">
        <v>29.7</v>
      </c>
      <c r="O37" s="29">
        <f t="shared" si="2"/>
        <v>0.41724099811481619</v>
      </c>
      <c r="P37" s="29">
        <f t="shared" si="5"/>
        <v>0.41689376749119</v>
      </c>
    </row>
    <row r="38" spans="2:17" x14ac:dyDescent="0.2">
      <c r="B38" t="s">
        <v>485</v>
      </c>
      <c r="C38" t="s">
        <v>1035</v>
      </c>
      <c r="D38" t="s">
        <v>21</v>
      </c>
      <c r="E38">
        <v>1</v>
      </c>
      <c r="F38" s="42">
        <f>GREET!B1027</f>
        <v>3.902331224292801</v>
      </c>
      <c r="G38" s="43">
        <f t="shared" si="3"/>
        <v>63.165738462190099</v>
      </c>
      <c r="H38" s="5">
        <f>GREET!B1028</f>
        <v>5.9287357179998543E-2</v>
      </c>
      <c r="I38" s="5"/>
      <c r="J38" s="5"/>
      <c r="K38" s="5"/>
      <c r="L38" s="5">
        <f t="shared" si="4"/>
        <v>5.9287357179998543E-2</v>
      </c>
      <c r="M38" s="5">
        <f>GREET!B1036</f>
        <v>4.950248761185061</v>
      </c>
      <c r="N38">
        <v>29.7</v>
      </c>
      <c r="O38" s="29">
        <f t="shared" si="2"/>
        <v>0.47019160581456509</v>
      </c>
      <c r="P38" s="29">
        <f t="shared" si="5"/>
        <v>0.46975069784630885</v>
      </c>
    </row>
    <row r="39" spans="2:17" x14ac:dyDescent="0.2">
      <c r="B39" t="s">
        <v>486</v>
      </c>
      <c r="C39" t="s">
        <v>1035</v>
      </c>
      <c r="D39" t="s">
        <v>21</v>
      </c>
      <c r="E39">
        <v>1</v>
      </c>
      <c r="F39" s="42">
        <f>GREET!B1339</f>
        <v>3.902331224292801</v>
      </c>
      <c r="G39" s="43">
        <f t="shared" si="3"/>
        <v>60.588385295892948</v>
      </c>
      <c r="H39" s="5">
        <f>GREET!B1340</f>
        <v>5.9287357179998543E-2</v>
      </c>
      <c r="I39" s="5"/>
      <c r="J39" s="5"/>
      <c r="K39" s="5"/>
      <c r="L39" s="5">
        <f t="shared" si="4"/>
        <v>5.9287357179998543E-2</v>
      </c>
      <c r="M39" s="5">
        <f>GREET!B1348</f>
        <v>4.785262090450928</v>
      </c>
      <c r="N39">
        <v>29.7</v>
      </c>
      <c r="O39" s="29">
        <f t="shared" si="2"/>
        <v>0.49019296115840288</v>
      </c>
      <c r="P39" s="29">
        <f t="shared" si="5"/>
        <v>0.48971376312978987</v>
      </c>
    </row>
    <row r="40" spans="2:17" x14ac:dyDescent="0.2">
      <c r="B40" t="s">
        <v>487</v>
      </c>
      <c r="C40" t="s">
        <v>1035</v>
      </c>
      <c r="D40" t="s">
        <v>21</v>
      </c>
      <c r="E40">
        <v>1</v>
      </c>
      <c r="F40" s="42">
        <f>GREET!B1534</f>
        <v>3.288189136342587</v>
      </c>
      <c r="G40" s="43">
        <f>F40*R12</f>
        <v>42.955130132502624</v>
      </c>
      <c r="H40" s="5">
        <f>GREET!B1535</f>
        <v>8.9089655592411415E-2</v>
      </c>
      <c r="I40" s="5"/>
      <c r="J40" s="5"/>
      <c r="K40" s="5"/>
      <c r="L40" s="5">
        <f t="shared" si="4"/>
        <v>8.9089655592411415E-2</v>
      </c>
      <c r="M40" s="5">
        <f>GREET!B1537</f>
        <v>-0.46719678000926157</v>
      </c>
      <c r="N40">
        <v>29.7</v>
      </c>
      <c r="O40" s="29">
        <f t="shared" si="2"/>
        <v>0.69141916014187699</v>
      </c>
      <c r="P40" s="29">
        <f t="shared" si="5"/>
        <v>0.6899881132986474</v>
      </c>
    </row>
    <row r="41" spans="2:17" x14ac:dyDescent="0.2">
      <c r="B41" t="s">
        <v>488</v>
      </c>
      <c r="C41" t="s">
        <v>1035</v>
      </c>
      <c r="D41" t="s">
        <v>21</v>
      </c>
      <c r="E41">
        <v>1</v>
      </c>
      <c r="F41" s="42">
        <f>GREET!B1853</f>
        <v>1.8433282158587381</v>
      </c>
      <c r="G41" s="43">
        <f t="shared" si="3"/>
        <v>24.857837305799002</v>
      </c>
      <c r="H41" s="5"/>
      <c r="I41" s="5">
        <f>GREET!B1854</f>
        <v>3.4052458976527307</v>
      </c>
      <c r="J41" s="5"/>
      <c r="K41" s="5">
        <f>GREET!B1855</f>
        <v>0.14947242037217484</v>
      </c>
      <c r="L41" s="5">
        <f t="shared" si="4"/>
        <v>3.5547183180249053</v>
      </c>
      <c r="M41" s="5">
        <f>GREET!B1861</f>
        <v>0.74223595905244166</v>
      </c>
      <c r="N41">
        <v>29.7</v>
      </c>
      <c r="O41" s="29">
        <f t="shared" si="2"/>
        <v>1.1947942065366799</v>
      </c>
      <c r="P41" s="29">
        <f t="shared" si="5"/>
        <v>1.04531251581947</v>
      </c>
    </row>
    <row r="42" spans="2:17" x14ac:dyDescent="0.2">
      <c r="B42" t="s">
        <v>489</v>
      </c>
      <c r="C42" t="s">
        <v>1035</v>
      </c>
      <c r="D42" t="s">
        <v>21</v>
      </c>
      <c r="E42">
        <v>1</v>
      </c>
      <c r="F42" s="42">
        <f>GREET!B2045</f>
        <v>9.483716518396033</v>
      </c>
      <c r="G42" s="43">
        <f>F42*R14</f>
        <v>144.18362594997322</v>
      </c>
      <c r="H42" s="5"/>
      <c r="I42" s="5"/>
      <c r="J42" s="5"/>
      <c r="K42" s="5"/>
      <c r="L42" s="5">
        <f t="shared" si="4"/>
        <v>0</v>
      </c>
      <c r="M42" s="5">
        <f>GREET!B2047</f>
        <v>2.1753785627323703</v>
      </c>
      <c r="N42">
        <v>29.7</v>
      </c>
      <c r="O42" s="29">
        <f t="shared" si="2"/>
        <v>0.20598732903488556</v>
      </c>
      <c r="P42" s="29">
        <f t="shared" si="5"/>
        <v>0.20598732903488556</v>
      </c>
    </row>
    <row r="43" spans="2:17" x14ac:dyDescent="0.2">
      <c r="B43" t="s">
        <v>490</v>
      </c>
      <c r="C43" t="s">
        <v>1035</v>
      </c>
      <c r="D43" t="s">
        <v>21</v>
      </c>
      <c r="E43">
        <v>1</v>
      </c>
      <c r="F43" s="42">
        <f>GREET!B2209</f>
        <v>4.7333083542212417</v>
      </c>
      <c r="G43" s="43">
        <f>F43*R15</f>
        <v>71.961826350155732</v>
      </c>
      <c r="H43" s="5"/>
      <c r="I43" s="5"/>
      <c r="J43" s="5"/>
      <c r="K43" s="5"/>
      <c r="L43" s="5">
        <f t="shared" si="4"/>
        <v>0</v>
      </c>
      <c r="M43" s="5">
        <f>GREET!B2214</f>
        <v>5.4109613685192404E-2</v>
      </c>
      <c r="N43">
        <v>29.7</v>
      </c>
      <c r="O43" s="29">
        <f t="shared" si="2"/>
        <v>0.41271881921790227</v>
      </c>
      <c r="P43" s="29">
        <f t="shared" si="5"/>
        <v>0.41271881921790227</v>
      </c>
    </row>
    <row r="44" spans="2:17" x14ac:dyDescent="0.2">
      <c r="B44" t="s">
        <v>491</v>
      </c>
      <c r="C44" t="s">
        <v>1035</v>
      </c>
      <c r="D44" t="s">
        <v>1026</v>
      </c>
      <c r="E44">
        <v>1</v>
      </c>
      <c r="F44" s="42">
        <f>GREET!B2429</f>
        <v>1.9286757745013801</v>
      </c>
      <c r="G44" s="43">
        <f t="shared" si="3"/>
        <v>30.549827473675158</v>
      </c>
      <c r="H44" s="5"/>
      <c r="I44" s="5">
        <f>GREET!B2430</f>
        <v>5.1901727561350333</v>
      </c>
      <c r="J44" s="5"/>
      <c r="K44" s="5">
        <f>GREET!B2431</f>
        <v>0.13436285093059064</v>
      </c>
      <c r="L44" s="5">
        <f t="shared" si="4"/>
        <v>5.3245356070656236</v>
      </c>
      <c r="M44" s="5">
        <f>GREET!B2437</f>
        <v>0.93330404589638749</v>
      </c>
      <c r="N44">
        <v>29.7</v>
      </c>
      <c r="O44" s="29">
        <f t="shared" si="2"/>
        <v>0.97218224965730304</v>
      </c>
      <c r="P44" s="29">
        <f t="shared" si="5"/>
        <v>0.82788926267918894</v>
      </c>
    </row>
    <row r="45" spans="2:17" x14ac:dyDescent="0.2">
      <c r="B45" t="s">
        <v>562</v>
      </c>
      <c r="C45" t="s">
        <v>1035</v>
      </c>
      <c r="D45" t="s">
        <v>21</v>
      </c>
      <c r="E45">
        <v>1</v>
      </c>
      <c r="F45" s="42">
        <f>GREET!B2500</f>
        <v>1.9286757745013801</v>
      </c>
      <c r="G45" s="43">
        <f>F45*R16</f>
        <v>30.549827473675158</v>
      </c>
      <c r="H45" s="5"/>
      <c r="I45" s="5">
        <f>GREET!B2501</f>
        <v>5.1901727561350333</v>
      </c>
      <c r="J45" s="5"/>
      <c r="K45" s="5">
        <f>GREET!B2502</f>
        <v>0.25646493371417534</v>
      </c>
      <c r="L45" s="5">
        <f>SUM(H45:K45)</f>
        <v>5.4466376898492088</v>
      </c>
      <c r="M45" s="5">
        <f>GREET!B2508</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63" si="6">SUM(H48:J48)+(K48*3.6)</f>
        <v>0</v>
      </c>
      <c r="M48" s="5">
        <f>'Gonzalez-Garcia et al. 2012'!B90</f>
        <v>4.2</v>
      </c>
      <c r="N48">
        <v>29.7</v>
      </c>
      <c r="O48" s="29">
        <f t="shared" ref="O48:O59" si="7">N48/G48</f>
        <v>0.45749036497564666</v>
      </c>
      <c r="P48" s="29">
        <f t="shared" si="5"/>
        <v>0.45749036497564666</v>
      </c>
      <c r="Q48" s="43"/>
    </row>
    <row r="49" spans="2:17" x14ac:dyDescent="0.2">
      <c r="B49" t="s">
        <v>850</v>
      </c>
      <c r="C49" t="s">
        <v>572</v>
      </c>
      <c r="D49" t="s">
        <v>845</v>
      </c>
      <c r="E49">
        <v>1</v>
      </c>
      <c r="F49" s="42">
        <f>'Cozzolini 2018'!B133</f>
        <v>2.2311604570861712</v>
      </c>
      <c r="G49" s="43">
        <f>F49*R20</f>
        <v>33.802080924855495</v>
      </c>
      <c r="H49" s="5"/>
      <c r="I49" s="5"/>
      <c r="J49" s="5"/>
      <c r="K49" s="5">
        <f>SUM('Cozzolini 2018'!B144:B145)</f>
        <v>0.24616121600000002</v>
      </c>
      <c r="L49" s="5">
        <f t="shared" si="6"/>
        <v>0.88618037760000012</v>
      </c>
      <c r="M49" s="5">
        <f>'Cozzolini 2018'!B146</f>
        <v>1.3270357403740378</v>
      </c>
      <c r="N49">
        <v>26.8</v>
      </c>
      <c r="O49" s="29">
        <f t="shared" si="7"/>
        <v>0.79285059578368466</v>
      </c>
      <c r="P49" s="29">
        <f t="shared" si="5"/>
        <v>0.77259565610176306</v>
      </c>
      <c r="Q49" s="43"/>
    </row>
    <row r="50" spans="2:17" x14ac:dyDescent="0.2">
      <c r="B50" t="s">
        <v>861</v>
      </c>
      <c r="C50" t="s">
        <v>572</v>
      </c>
      <c r="D50" t="s">
        <v>845</v>
      </c>
      <c r="E50">
        <v>1</v>
      </c>
      <c r="F50" s="42">
        <f>'Cozzolini 2018'!B201</f>
        <v>3.3487885658914727</v>
      </c>
      <c r="G50" s="43">
        <f>F50*R21</f>
        <v>57.59916333333333</v>
      </c>
      <c r="H50" s="5"/>
      <c r="I50" s="5"/>
      <c r="J50" s="5"/>
      <c r="K50" s="5">
        <f>SUM('Cozzolini 2018'!B215:B216)</f>
        <v>3.1589696E-2</v>
      </c>
      <c r="L50" s="5">
        <f t="shared" si="6"/>
        <v>0.11372290560000001</v>
      </c>
      <c r="M50" s="5">
        <f>'Cozzolini 2018'!B217</f>
        <v>3.1694610430232562</v>
      </c>
      <c r="N50">
        <v>26.8</v>
      </c>
      <c r="O50" s="29">
        <f t="shared" si="7"/>
        <v>0.46528453625107635</v>
      </c>
      <c r="P50" s="29">
        <f t="shared" si="5"/>
        <v>0.46436769578716064</v>
      </c>
      <c r="Q50" s="43"/>
    </row>
    <row r="51" spans="2:17" x14ac:dyDescent="0.2">
      <c r="B51" t="s">
        <v>853</v>
      </c>
      <c r="C51" t="s">
        <v>572</v>
      </c>
      <c r="D51" t="s">
        <v>845</v>
      </c>
      <c r="E51">
        <v>1</v>
      </c>
      <c r="F51" s="42">
        <f>'Cozzolini 2018'!B340</f>
        <v>2.0213589710276736</v>
      </c>
      <c r="G51" s="43">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9">
        <f t="shared" si="7"/>
        <v>0.76525033888338245</v>
      </c>
      <c r="P51" s="29">
        <f t="shared" si="5"/>
        <v>0.63679974412182572</v>
      </c>
      <c r="Q51" s="43"/>
    </row>
    <row r="52" spans="2:17" x14ac:dyDescent="0.2">
      <c r="B52" t="s">
        <v>865</v>
      </c>
      <c r="C52" t="s">
        <v>572</v>
      </c>
      <c r="D52" t="s">
        <v>845</v>
      </c>
      <c r="E52">
        <v>1</v>
      </c>
      <c r="F52" s="42">
        <f>'Cozzolini 2018'!B464</f>
        <v>2.3869325153374232</v>
      </c>
      <c r="G52" s="43">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9">
        <f t="shared" si="7"/>
        <v>0.6888220628678644</v>
      </c>
      <c r="P52" s="29">
        <f t="shared" si="5"/>
        <v>0.64151095090966181</v>
      </c>
      <c r="Q52" s="43"/>
    </row>
    <row r="53" spans="2:17" x14ac:dyDescent="0.2">
      <c r="B53" t="s">
        <v>484</v>
      </c>
      <c r="C53" t="s">
        <v>572</v>
      </c>
      <c r="D53" t="s">
        <v>845</v>
      </c>
      <c r="E53">
        <v>1</v>
      </c>
      <c r="F53" s="42">
        <f>'Cozzolini 2018'!B580</f>
        <v>3.0842105263157897</v>
      </c>
      <c r="G53" s="43">
        <f>F53*R24</f>
        <v>58.600000000000009</v>
      </c>
      <c r="H53" s="5"/>
      <c r="I53" s="5"/>
      <c r="J53" s="5"/>
      <c r="K53" s="5">
        <f>'Cozzolini 2018'!B589</f>
        <v>3.1589696E-2</v>
      </c>
      <c r="L53" s="5">
        <f t="shared" si="6"/>
        <v>0.11372290560000001</v>
      </c>
      <c r="M53" s="5">
        <f>'Cozzolini 2018'!B590</f>
        <v>4.4804320000000013</v>
      </c>
      <c r="N53">
        <v>26.8</v>
      </c>
      <c r="O53" s="29">
        <f t="shared" si="7"/>
        <v>0.45733788395904429</v>
      </c>
      <c r="P53" s="29">
        <f t="shared" si="5"/>
        <v>0.45645206390828036</v>
      </c>
      <c r="Q53" s="43"/>
    </row>
    <row r="54" spans="2:17" x14ac:dyDescent="0.2">
      <c r="B54" t="s">
        <v>1113</v>
      </c>
      <c r="C54" t="s">
        <v>572</v>
      </c>
      <c r="D54" t="s">
        <v>1138</v>
      </c>
      <c r="E54">
        <v>1</v>
      </c>
      <c r="F54" s="42">
        <f>'Cavalett &amp; Cherubini 2022'!B17</f>
        <v>3.901221594640746</v>
      </c>
      <c r="G54" s="43">
        <f>F54*R24</f>
        <v>74.123210298174172</v>
      </c>
      <c r="H54" s="5"/>
      <c r="I54" s="5"/>
      <c r="J54" s="5"/>
      <c r="K54" s="5"/>
      <c r="L54" s="5">
        <f t="shared" si="6"/>
        <v>0</v>
      </c>
      <c r="M54" s="5">
        <f>'Cavalett &amp; Cherubini 2022'!B28</f>
        <v>5.1810216734533041</v>
      </c>
      <c r="N54">
        <v>26.8</v>
      </c>
      <c r="O54" s="29">
        <f t="shared" ref="O54:O55" si="8">N54/G54</f>
        <v>0.36156016303384725</v>
      </c>
      <c r="P54" s="29">
        <f t="shared" ref="P54:P55" si="9">N54/SUM(G54,L54)</f>
        <v>0.36156016303384725</v>
      </c>
      <c r="Q54" s="43"/>
    </row>
    <row r="55" spans="2:17" x14ac:dyDescent="0.2">
      <c r="B55" t="s">
        <v>1116</v>
      </c>
      <c r="C55" t="s">
        <v>572</v>
      </c>
      <c r="D55" t="s">
        <v>1138</v>
      </c>
      <c r="E55">
        <v>1</v>
      </c>
      <c r="F55" s="42">
        <f>'Cavalett &amp; Cherubini 2022'!B53</f>
        <v>3.901221594640746</v>
      </c>
      <c r="G55" s="43">
        <f>F55*R24</f>
        <v>74.123210298174172</v>
      </c>
      <c r="H55" s="5"/>
      <c r="I55" s="5"/>
      <c r="J55" s="5"/>
      <c r="K55" s="5"/>
      <c r="L55" s="5">
        <f t="shared" si="6"/>
        <v>0</v>
      </c>
      <c r="M55" s="5">
        <f>'Cavalett &amp; Cherubini 2022'!B64</f>
        <v>5.1810216734533041</v>
      </c>
      <c r="N55">
        <v>26.8</v>
      </c>
      <c r="O55" s="29">
        <f t="shared" si="8"/>
        <v>0.36156016303384725</v>
      </c>
      <c r="P55" s="29">
        <f t="shared" si="9"/>
        <v>0.36156016303384725</v>
      </c>
      <c r="Q55" s="43"/>
    </row>
    <row r="56" spans="2:17" ht="16" x14ac:dyDescent="0.2">
      <c r="B56" s="2" t="s">
        <v>877</v>
      </c>
      <c r="C56" t="s">
        <v>572</v>
      </c>
      <c r="D56" t="s">
        <v>845</v>
      </c>
      <c r="E56">
        <v>1</v>
      </c>
      <c r="F56" s="42">
        <f>'Cozzolini 2018'!B646</f>
        <v>1.0256410256410258</v>
      </c>
      <c r="G56" s="43">
        <f>F56*R26</f>
        <v>27.589743589743591</v>
      </c>
      <c r="H56" s="5"/>
      <c r="I56" s="5"/>
      <c r="J56" s="5"/>
      <c r="K56" s="5">
        <f>SUM('Cozzolini 2018'!B657:B659)</f>
        <v>8.5938696000000009E-2</v>
      </c>
      <c r="L56" s="5">
        <f t="shared" si="6"/>
        <v>0.30937930560000004</v>
      </c>
      <c r="M56" s="5">
        <f>'Cozzolini 2018'!B660*-1</f>
        <v>-0.89444444444444415</v>
      </c>
      <c r="N56">
        <v>37.200000000000003</v>
      </c>
      <c r="O56" s="29">
        <f t="shared" si="7"/>
        <v>1.3483271375464685</v>
      </c>
      <c r="P56" s="29">
        <f t="shared" si="5"/>
        <v>1.3333752512416346</v>
      </c>
      <c r="Q56" s="43"/>
    </row>
    <row r="57" spans="2:17" ht="16" x14ac:dyDescent="0.2">
      <c r="B57" s="2" t="s">
        <v>882</v>
      </c>
      <c r="C57" t="s">
        <v>572</v>
      </c>
      <c r="D57" t="s">
        <v>845</v>
      </c>
      <c r="E57">
        <v>1</v>
      </c>
      <c r="F57" s="42">
        <f>'Cozzolini 2018'!B846*'Cozzolini 2018'!B829*'Cozzolini 2018'!B809</f>
        <v>2.2516106718146713</v>
      </c>
      <c r="G57" s="43">
        <f>F57*R27</f>
        <v>54.038656123552116</v>
      </c>
      <c r="H57" s="5"/>
      <c r="I57" s="5">
        <f>'Cozzolini 2018'!B847</f>
        <v>1.2276000000000002</v>
      </c>
      <c r="J57" s="5"/>
      <c r="K57" s="5">
        <f>SUM('Cozzolini 2018'!B857:B859)</f>
        <v>8.5731864000000005E-2</v>
      </c>
      <c r="L57" s="5">
        <f t="shared" si="6"/>
        <v>1.5362347104000003</v>
      </c>
      <c r="M57" s="5">
        <f>'Cozzolini 2018'!B860</f>
        <v>0.904373161028313</v>
      </c>
      <c r="N57">
        <v>37.200000000000003</v>
      </c>
      <c r="O57" s="29">
        <f t="shared" si="7"/>
        <v>0.68839609769249643</v>
      </c>
      <c r="P57" s="29">
        <f t="shared" si="5"/>
        <v>0.66936703683587939</v>
      </c>
      <c r="Q57" s="43"/>
    </row>
    <row r="58" spans="2:17" ht="16" x14ac:dyDescent="0.2">
      <c r="B58" s="2" t="s">
        <v>884</v>
      </c>
      <c r="C58" t="s">
        <v>572</v>
      </c>
      <c r="D58" t="s">
        <v>845</v>
      </c>
      <c r="E58">
        <v>1</v>
      </c>
      <c r="F58" s="42">
        <f>'Cozzolini 2018'!B996*'Cozzolini 2018'!B976*'Cozzolini 2018'!B957</f>
        <v>3.201548559774154</v>
      </c>
      <c r="G58" s="43">
        <f>F58*R28</f>
        <v>43.541060412928495</v>
      </c>
      <c r="H58" s="5"/>
      <c r="I58" s="5">
        <f>'Cozzolini 2018'!B997</f>
        <v>1.2290000000000001</v>
      </c>
      <c r="J58" s="5"/>
      <c r="K58" s="5">
        <f>SUM('Cozzolini 2018'!B1006:B1008)</f>
        <v>8.5731864000000005E-2</v>
      </c>
      <c r="L58" s="5">
        <f t="shared" si="6"/>
        <v>1.5376347104000001</v>
      </c>
      <c r="M58" s="5">
        <f>'Cozzolini 2018'!B1009</f>
        <v>2.6147445803355693</v>
      </c>
      <c r="N58">
        <v>37.200000000000003</v>
      </c>
      <c r="O58" s="29">
        <f t="shared" si="7"/>
        <v>0.85436596277646781</v>
      </c>
      <c r="P58" s="29">
        <f>N58/SUM(G58,L58)</f>
        <v>0.82522353183086661</v>
      </c>
      <c r="Q58" s="43"/>
    </row>
    <row r="59" spans="2:17" ht="16" x14ac:dyDescent="0.2">
      <c r="B59" s="2" t="s">
        <v>887</v>
      </c>
      <c r="C59" t="s">
        <v>572</v>
      </c>
      <c r="D59" t="s">
        <v>845</v>
      </c>
      <c r="E59">
        <v>1</v>
      </c>
      <c r="F59" s="42">
        <f>'Cozzolini 2018'!B1067</f>
        <v>2.2084524000000001</v>
      </c>
      <c r="G59" s="43">
        <f>F59*R29</f>
        <v>0</v>
      </c>
      <c r="H59" s="5"/>
      <c r="I59" s="5">
        <f>SUM('Cozzolini 2018'!B1069:B1072)</f>
        <v>5.5887419999999999</v>
      </c>
      <c r="J59" s="5"/>
      <c r="K59" s="5">
        <f>SUM('Cozzolini 2018'!B1079:B1082)</f>
        <v>0.24906702</v>
      </c>
      <c r="L59" s="5">
        <f t="shared" si="6"/>
        <v>6.485383272</v>
      </c>
      <c r="M59" s="5">
        <f>'Cozzolini 2018'!B1083</f>
        <v>1.441759164</v>
      </c>
      <c r="N59">
        <v>37.200000000000003</v>
      </c>
      <c r="O59" s="29" t="e">
        <f t="shared" si="7"/>
        <v>#DIV/0!</v>
      </c>
      <c r="P59" s="29">
        <f>N59/SUM(G59,L59)</f>
        <v>5.7359755684151033</v>
      </c>
      <c r="Q59" s="43"/>
    </row>
    <row r="60" spans="2:17" ht="16" x14ac:dyDescent="0.2">
      <c r="B60" s="2" t="s">
        <v>1119</v>
      </c>
      <c r="C60" t="s">
        <v>572</v>
      </c>
      <c r="D60" t="s">
        <v>1138</v>
      </c>
      <c r="E60">
        <v>1</v>
      </c>
      <c r="F60" s="42">
        <f>'Cavalett &amp; Cherubini 2022'!B89</f>
        <v>3.8091337292647962</v>
      </c>
      <c r="G60" s="43">
        <f>F60*$R$24</f>
        <v>72.373540856031127</v>
      </c>
      <c r="H60" s="5"/>
      <c r="I60" s="5"/>
      <c r="J60" s="5"/>
      <c r="K60" s="5"/>
      <c r="L60" s="5">
        <f t="shared" si="6"/>
        <v>0</v>
      </c>
      <c r="M60" s="5">
        <f>'Cavalett &amp; Cherubini 2022'!B98</f>
        <v>4.0775445422895764</v>
      </c>
      <c r="N60">
        <v>37.200000000000003</v>
      </c>
      <c r="O60" s="29">
        <f t="shared" ref="O60:O63" si="10">N60/G60</f>
        <v>0.51400000000000001</v>
      </c>
      <c r="P60" s="29">
        <f t="shared" ref="P60:P63" si="11">N60/SUM(G60,L60)</f>
        <v>0.51400000000000001</v>
      </c>
      <c r="Q60" s="43"/>
    </row>
    <row r="61" spans="2:17" ht="16" x14ac:dyDescent="0.2">
      <c r="B61" s="2" t="s">
        <v>1139</v>
      </c>
      <c r="C61" t="s">
        <v>572</v>
      </c>
      <c r="D61" t="s">
        <v>1138</v>
      </c>
      <c r="E61">
        <v>1</v>
      </c>
      <c r="F61" s="42">
        <f>'Cavalett &amp; Cherubini 2022'!B121</f>
        <v>3.8091337292647962</v>
      </c>
      <c r="G61" s="43">
        <f t="shared" ref="G61:G63" si="12">F61*$R$24</f>
        <v>72.373540856031127</v>
      </c>
      <c r="H61" s="5"/>
      <c r="I61" s="5"/>
      <c r="J61" s="5"/>
      <c r="K61" s="5"/>
      <c r="L61" s="5">
        <f t="shared" si="6"/>
        <v>0</v>
      </c>
      <c r="M61" s="5">
        <f>'Cavalett &amp; Cherubini 2022'!B130</f>
        <v>4.0775445422895764</v>
      </c>
      <c r="N61">
        <v>37.200000000000003</v>
      </c>
      <c r="O61" s="29">
        <f t="shared" si="10"/>
        <v>0.51400000000000001</v>
      </c>
      <c r="P61" s="29">
        <f t="shared" si="11"/>
        <v>0.51400000000000001</v>
      </c>
      <c r="Q61" s="43"/>
    </row>
    <row r="62" spans="2:17" ht="16" x14ac:dyDescent="0.2">
      <c r="B62" s="2" t="s">
        <v>1131</v>
      </c>
      <c r="C62" t="s">
        <v>572</v>
      </c>
      <c r="D62" t="s">
        <v>1138</v>
      </c>
      <c r="E62">
        <v>1</v>
      </c>
      <c r="F62" s="42">
        <f>'Cavalett &amp; Cherubini 2022'!B154</f>
        <v>1.9401623692733996</v>
      </c>
      <c r="G62" s="43">
        <f t="shared" si="12"/>
        <v>36.863085016194589</v>
      </c>
      <c r="H62" s="5"/>
      <c r="I62" s="5"/>
      <c r="J62" s="5"/>
      <c r="K62" s="5"/>
      <c r="L62" s="5">
        <f t="shared" si="6"/>
        <v>0</v>
      </c>
      <c r="M62" s="5">
        <f>'Cavalett &amp; Cherubini 2022'!B163</f>
        <v>0.37850862891855597</v>
      </c>
      <c r="N62">
        <v>43</v>
      </c>
      <c r="O62" s="29">
        <f t="shared" si="10"/>
        <v>1.1664786053882727</v>
      </c>
      <c r="P62" s="29">
        <f t="shared" si="11"/>
        <v>1.1664786053882727</v>
      </c>
      <c r="Q62" s="43"/>
    </row>
    <row r="63" spans="2:17" ht="16" x14ac:dyDescent="0.2">
      <c r="B63" s="2" t="s">
        <v>1135</v>
      </c>
      <c r="C63" t="s">
        <v>572</v>
      </c>
      <c r="D63" t="s">
        <v>1138</v>
      </c>
      <c r="E63">
        <v>1</v>
      </c>
      <c r="F63" s="42">
        <f>'Cavalett &amp; Cherubini 2022'!B186</f>
        <v>1.9401623692733996</v>
      </c>
      <c r="G63" s="43">
        <f t="shared" si="12"/>
        <v>36.863085016194589</v>
      </c>
      <c r="H63" s="5"/>
      <c r="I63" s="5"/>
      <c r="J63" s="5"/>
      <c r="K63" s="5"/>
      <c r="L63" s="5">
        <f t="shared" si="6"/>
        <v>0</v>
      </c>
      <c r="M63" s="5">
        <f>'Cavalett &amp; Cherubini 2022'!B195</f>
        <v>0.37850862891855597</v>
      </c>
      <c r="N63">
        <v>43</v>
      </c>
      <c r="O63" s="29">
        <f t="shared" si="10"/>
        <v>1.1664786053882727</v>
      </c>
      <c r="P63" s="29">
        <f t="shared" si="11"/>
        <v>1.1664786053882727</v>
      </c>
      <c r="Q63" s="43"/>
    </row>
    <row r="65" spans="2:16" x14ac:dyDescent="0.2">
      <c r="B65" s="9" t="s">
        <v>1140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1035</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42">
        <f t="shared" ref="N68:N87" si="21">N34/N34</f>
        <v>1</v>
      </c>
      <c r="O68" s="29">
        <f t="shared" ref="O68:O81" si="22">N68/G68</f>
        <v>0.49932024755361371</v>
      </c>
      <c r="P68" s="29">
        <f t="shared" ref="P68:P86" si="23">N68/SUM(G68,L68)</f>
        <v>0.4988230473126431</v>
      </c>
    </row>
    <row r="69" spans="2:16" x14ac:dyDescent="0.2">
      <c r="B69" t="s">
        <v>482</v>
      </c>
      <c r="C69" t="s">
        <v>1035</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42">
        <f t="shared" si="21"/>
        <v>1</v>
      </c>
      <c r="O69" s="29">
        <f t="shared" si="22"/>
        <v>0.45286456252163076</v>
      </c>
      <c r="P69" s="29">
        <f t="shared" si="23"/>
        <v>0.45209937956770119</v>
      </c>
    </row>
    <row r="70" spans="2:16" x14ac:dyDescent="0.2">
      <c r="B70" t="s">
        <v>483</v>
      </c>
      <c r="C70" t="s">
        <v>1035</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42">
        <f t="shared" si="21"/>
        <v>1</v>
      </c>
      <c r="O70" s="29">
        <f t="shared" si="22"/>
        <v>0.46854245365075708</v>
      </c>
      <c r="P70" s="29">
        <f t="shared" si="23"/>
        <v>0.46772342121143134</v>
      </c>
    </row>
    <row r="71" spans="2:16" x14ac:dyDescent="0.2">
      <c r="B71" t="s">
        <v>484</v>
      </c>
      <c r="C71" t="s">
        <v>1035</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42">
        <f t="shared" si="21"/>
        <v>1</v>
      </c>
      <c r="O71" s="29">
        <f t="shared" si="22"/>
        <v>0.41724099811481613</v>
      </c>
      <c r="P71" s="29">
        <f t="shared" si="23"/>
        <v>0.41689376749118995</v>
      </c>
    </row>
    <row r="72" spans="2:16" x14ac:dyDescent="0.2">
      <c r="B72" t="s">
        <v>485</v>
      </c>
      <c r="C72" t="s">
        <v>1035</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42">
        <f t="shared" si="21"/>
        <v>1</v>
      </c>
      <c r="O72" s="29">
        <f t="shared" si="22"/>
        <v>0.47019160581456504</v>
      </c>
      <c r="P72" s="29">
        <f t="shared" si="23"/>
        <v>0.4697506978463088</v>
      </c>
    </row>
    <row r="73" spans="2:16" x14ac:dyDescent="0.2">
      <c r="B73" t="s">
        <v>486</v>
      </c>
      <c r="C73" t="s">
        <v>1035</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42">
        <f t="shared" si="21"/>
        <v>1</v>
      </c>
      <c r="O73" s="29">
        <f t="shared" si="22"/>
        <v>0.49019296115840288</v>
      </c>
      <c r="P73" s="29">
        <f t="shared" si="23"/>
        <v>0.48971376312978987</v>
      </c>
    </row>
    <row r="74" spans="2:16" x14ac:dyDescent="0.2">
      <c r="B74" t="s">
        <v>487</v>
      </c>
      <c r="C74" t="s">
        <v>1035</v>
      </c>
      <c r="D74" t="s">
        <v>21</v>
      </c>
      <c r="E74">
        <v>1</v>
      </c>
      <c r="F74" s="5">
        <f t="shared" si="13"/>
        <v>0.11071343893409384</v>
      </c>
      <c r="G74" s="5">
        <f t="shared" si="14"/>
        <v>1.4463006778620413</v>
      </c>
      <c r="H74" s="4">
        <f t="shared" si="15"/>
        <v>2.9996517034481958E-3</v>
      </c>
      <c r="I74" s="4">
        <f t="shared" si="16"/>
        <v>0</v>
      </c>
      <c r="J74" s="4">
        <f t="shared" si="17"/>
        <v>0</v>
      </c>
      <c r="K74" s="4">
        <f t="shared" si="18"/>
        <v>0</v>
      </c>
      <c r="L74" s="4">
        <f t="shared" si="19"/>
        <v>2.9996517034481958E-3</v>
      </c>
      <c r="M74" s="4">
        <f t="shared" si="20"/>
        <v>-1.5730531313443152E-2</v>
      </c>
      <c r="N74" s="42">
        <f t="shared" si="21"/>
        <v>1</v>
      </c>
      <c r="O74" s="29">
        <f t="shared" si="22"/>
        <v>0.69141916014187699</v>
      </c>
      <c r="P74" s="29">
        <f t="shared" si="23"/>
        <v>0.6899881132986474</v>
      </c>
    </row>
    <row r="75" spans="2:16" x14ac:dyDescent="0.2">
      <c r="B75" t="s">
        <v>488</v>
      </c>
      <c r="C75" t="s">
        <v>1035</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42">
        <f t="shared" si="21"/>
        <v>1</v>
      </c>
      <c r="O75" s="29">
        <f t="shared" si="22"/>
        <v>1.1947942065366799</v>
      </c>
      <c r="P75" s="29">
        <f t="shared" si="23"/>
        <v>1.04531251581947</v>
      </c>
    </row>
    <row r="76" spans="2:16" x14ac:dyDescent="0.2">
      <c r="B76" t="s">
        <v>489</v>
      </c>
      <c r="C76" t="s">
        <v>1035</v>
      </c>
      <c r="D76" t="s">
        <v>21</v>
      </c>
      <c r="E76">
        <v>1</v>
      </c>
      <c r="F76" s="5">
        <f t="shared" si="13"/>
        <v>0.31931705449144893</v>
      </c>
      <c r="G76" s="5">
        <f t="shared" si="14"/>
        <v>4.8546675404031392</v>
      </c>
      <c r="H76" s="4">
        <f t="shared" si="15"/>
        <v>0</v>
      </c>
      <c r="I76" s="4">
        <f t="shared" si="16"/>
        <v>0</v>
      </c>
      <c r="J76" s="4">
        <f t="shared" si="17"/>
        <v>0</v>
      </c>
      <c r="K76" s="4">
        <f t="shared" si="18"/>
        <v>0</v>
      </c>
      <c r="L76" s="4">
        <f t="shared" si="19"/>
        <v>0</v>
      </c>
      <c r="M76" s="4">
        <f t="shared" si="20"/>
        <v>7.3245069452268358E-2</v>
      </c>
      <c r="N76" s="42">
        <f t="shared" si="21"/>
        <v>1</v>
      </c>
      <c r="O76" s="29">
        <f t="shared" si="22"/>
        <v>0.20598732903488556</v>
      </c>
      <c r="P76" s="29">
        <f t="shared" si="23"/>
        <v>0.20598732903488556</v>
      </c>
    </row>
    <row r="77" spans="2:16" x14ac:dyDescent="0.2">
      <c r="B77" t="s">
        <v>490</v>
      </c>
      <c r="C77" t="s">
        <v>1035</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42">
        <f t="shared" si="21"/>
        <v>1</v>
      </c>
      <c r="O77" s="29">
        <f t="shared" si="22"/>
        <v>0.41271881921790221</v>
      </c>
      <c r="P77" s="29">
        <f t="shared" si="23"/>
        <v>0.41271881921790221</v>
      </c>
    </row>
    <row r="78" spans="2:16" x14ac:dyDescent="0.2">
      <c r="B78" t="s">
        <v>491</v>
      </c>
      <c r="C78" t="s">
        <v>1035</v>
      </c>
      <c r="D78" t="s">
        <v>1026</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42">
        <f t="shared" si="21"/>
        <v>1</v>
      </c>
      <c r="O78" s="29">
        <f t="shared" si="22"/>
        <v>0.97218224965730315</v>
      </c>
      <c r="P78" s="29">
        <f t="shared" si="23"/>
        <v>0.82788926267918894</v>
      </c>
    </row>
    <row r="79" spans="2:16" x14ac:dyDescent="0.2">
      <c r="B79" t="s">
        <v>562</v>
      </c>
      <c r="C79" t="s">
        <v>1035</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42">
        <f t="shared" si="21"/>
        <v>1</v>
      </c>
      <c r="O79" s="29">
        <f>N79/G79</f>
        <v>0.97218224965730315</v>
      </c>
      <c r="P79" s="29">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42">
        <f t="shared" si="21"/>
        <v>1</v>
      </c>
      <c r="O80" s="29">
        <f t="shared" si="22"/>
        <v>0.36031374710792174</v>
      </c>
      <c r="P80" s="29">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42">
        <f t="shared" si="21"/>
        <v>1</v>
      </c>
      <c r="O81" s="29">
        <f t="shared" si="22"/>
        <v>0.55032625843716321</v>
      </c>
      <c r="P81" s="29">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42">
        <f t="shared" si="21"/>
        <v>1</v>
      </c>
      <c r="O82" s="29">
        <f t="shared" ref="O82:O93" si="24">N82/G82</f>
        <v>0.45749036497564666</v>
      </c>
      <c r="P82" s="29">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42">
        <f t="shared" si="21"/>
        <v>1</v>
      </c>
      <c r="O83" s="29">
        <f t="shared" si="24"/>
        <v>0.79285059578368455</v>
      </c>
      <c r="P83" s="29">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42">
        <f t="shared" si="21"/>
        <v>1</v>
      </c>
      <c r="O84" s="29">
        <f t="shared" si="24"/>
        <v>0.46528453625107635</v>
      </c>
      <c r="P84" s="29">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42">
        <f t="shared" si="21"/>
        <v>1</v>
      </c>
      <c r="O85" s="29">
        <f t="shared" si="24"/>
        <v>0.76525033888338256</v>
      </c>
      <c r="P85" s="29">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42">
        <f t="shared" si="21"/>
        <v>1</v>
      </c>
      <c r="O86" s="29">
        <f t="shared" si="24"/>
        <v>0.68882206286786429</v>
      </c>
      <c r="P86" s="29">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42">
        <f t="shared" si="21"/>
        <v>1</v>
      </c>
      <c r="O87" s="29">
        <f t="shared" si="24"/>
        <v>0.45733788395904434</v>
      </c>
      <c r="P87" s="29">
        <f>N87/SUM(G87,L87)</f>
        <v>0.45645206390828041</v>
      </c>
    </row>
    <row r="88" spans="2:16" x14ac:dyDescent="0.2">
      <c r="B88" t="s">
        <v>1113</v>
      </c>
      <c r="C88" t="s">
        <v>572</v>
      </c>
      <c r="D88" t="s">
        <v>1138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42">
        <f t="shared" ref="N88:N89" si="33">N54/N54</f>
        <v>1</v>
      </c>
      <c r="O88" s="29">
        <f t="shared" ref="O88:O89" si="34">N88/G88</f>
        <v>0.36156016303384725</v>
      </c>
      <c r="P88" s="29">
        <f t="shared" ref="P88:P89" si="35">N88/SUM(G88,L88)</f>
        <v>0.36156016303384725</v>
      </c>
    </row>
    <row r="89" spans="2:16" x14ac:dyDescent="0.2">
      <c r="B89" t="s">
        <v>1116</v>
      </c>
      <c r="C89" t="s">
        <v>572</v>
      </c>
      <c r="D89" t="s">
        <v>1138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42">
        <f t="shared" si="33"/>
        <v>1</v>
      </c>
      <c r="O89" s="29">
        <f t="shared" si="34"/>
        <v>0.36156016303384725</v>
      </c>
      <c r="P89" s="29">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42">
        <f>N56/N56</f>
        <v>1</v>
      </c>
      <c r="O90" s="29">
        <f t="shared" si="24"/>
        <v>1.3483271375464685</v>
      </c>
      <c r="P90" s="29">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42">
        <f>N57/N57</f>
        <v>1</v>
      </c>
      <c r="O91" s="29">
        <f t="shared" si="24"/>
        <v>0.68839609769249643</v>
      </c>
      <c r="P91" s="29">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42">
        <f>N58/N58</f>
        <v>1</v>
      </c>
      <c r="O92" s="29">
        <f t="shared" si="24"/>
        <v>0.85436596277646781</v>
      </c>
      <c r="P92" s="29">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42">
        <f>N59/N59</f>
        <v>1</v>
      </c>
      <c r="O93" s="29" t="e">
        <f t="shared" si="24"/>
        <v>#DIV/0!</v>
      </c>
      <c r="P93" s="29">
        <f>N93/SUM(G93,L93)</f>
        <v>5.7359755684151033</v>
      </c>
    </row>
    <row r="94" spans="2:16" ht="16" x14ac:dyDescent="0.2">
      <c r="B94" s="2" t="s">
        <v>1119</v>
      </c>
      <c r="C94" t="s">
        <v>572</v>
      </c>
      <c r="D94" t="s">
        <v>1138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42">
        <f t="shared" ref="N94:N97" si="44">N60/N60</f>
        <v>1</v>
      </c>
      <c r="O94" s="29">
        <f t="shared" ref="O94:O97" si="45">N94/G94</f>
        <v>0.51400000000000001</v>
      </c>
      <c r="P94" s="29">
        <f t="shared" ref="P94:P97" si="46">N94/SUM(G94,L94)</f>
        <v>0.51400000000000001</v>
      </c>
    </row>
    <row r="95" spans="2:16" ht="16" x14ac:dyDescent="0.2">
      <c r="B95" s="2" t="s">
        <v>1139</v>
      </c>
      <c r="C95" t="s">
        <v>572</v>
      </c>
      <c r="D95" t="s">
        <v>1138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42">
        <f t="shared" si="44"/>
        <v>1</v>
      </c>
      <c r="O95" s="29">
        <f t="shared" si="45"/>
        <v>0.51400000000000001</v>
      </c>
      <c r="P95" s="29">
        <f t="shared" si="46"/>
        <v>0.51400000000000001</v>
      </c>
    </row>
    <row r="96" spans="2:16" ht="16" x14ac:dyDescent="0.2">
      <c r="B96" s="2" t="s">
        <v>1131</v>
      </c>
      <c r="C96" t="s">
        <v>572</v>
      </c>
      <c r="D96" t="s">
        <v>1138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42">
        <f t="shared" si="44"/>
        <v>1</v>
      </c>
      <c r="O96" s="29">
        <f t="shared" si="45"/>
        <v>1.1664786053882727</v>
      </c>
      <c r="P96" s="29">
        <f t="shared" si="46"/>
        <v>1.1664786053882727</v>
      </c>
    </row>
    <row r="97" spans="2:17" ht="16" x14ac:dyDescent="0.2">
      <c r="B97" s="2" t="s">
        <v>1135</v>
      </c>
      <c r="C97" t="s">
        <v>572</v>
      </c>
      <c r="D97" t="s">
        <v>1138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42">
        <f t="shared" si="44"/>
        <v>1</v>
      </c>
      <c r="O97" s="29">
        <f t="shared" si="45"/>
        <v>1.1664786053882727</v>
      </c>
      <c r="P97" s="29">
        <f t="shared" si="46"/>
        <v>1.1664786053882727</v>
      </c>
    </row>
    <row r="99" spans="2:17" ht="21" x14ac:dyDescent="0.25">
      <c r="B99" s="62" t="s">
        <v>270</v>
      </c>
      <c r="C99" s="63"/>
      <c r="D99" s="63"/>
      <c r="E99" s="63"/>
      <c r="F99" s="63"/>
      <c r="G99" s="63"/>
      <c r="H99" s="63"/>
      <c r="I99" s="63"/>
      <c r="J99" s="63"/>
      <c r="K99" s="63"/>
      <c r="L99" s="63"/>
      <c r="M99" s="63"/>
      <c r="N99" s="63"/>
      <c r="O99" s="63"/>
      <c r="P99" s="63"/>
      <c r="Q99" s="6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1035</v>
      </c>
      <c r="D103" t="s">
        <v>21</v>
      </c>
      <c r="E103">
        <v>1</v>
      </c>
      <c r="F103" s="42">
        <f>GREET!B46</f>
        <v>3.6117899478066171</v>
      </c>
      <c r="G103" s="43">
        <f t="shared" ref="G103:G108" si="47">F103*R6</f>
        <v>55.052320327332232</v>
      </c>
      <c r="H103" s="5">
        <f>GREET!B47</f>
        <v>5.4873220233514521E-2</v>
      </c>
      <c r="I103" s="5"/>
      <c r="J103" s="5"/>
      <c r="K103" s="5"/>
      <c r="L103" s="5">
        <f>SUM(H103:J103)+(K103*3.6)</f>
        <v>5.4873220233514521E-2</v>
      </c>
      <c r="M103" s="5">
        <f>GREET!B55</f>
        <v>3.3316433271960717</v>
      </c>
      <c r="N103">
        <v>29.7</v>
      </c>
      <c r="O103" s="29">
        <f t="shared" ref="O103:O116" si="48">N103/G103</f>
        <v>0.53948679771185992</v>
      </c>
      <c r="P103" s="29">
        <f t="shared" ref="P103:P116" si="49">N103/SUM(G103,L103)</f>
        <v>0.53894960145928061</v>
      </c>
      <c r="Q103" s="43"/>
    </row>
    <row r="104" spans="2:17" x14ac:dyDescent="0.2">
      <c r="B104" t="s">
        <v>482</v>
      </c>
      <c r="C104" t="s">
        <v>1035</v>
      </c>
      <c r="D104" t="s">
        <v>21</v>
      </c>
      <c r="E104">
        <v>1</v>
      </c>
      <c r="F104" s="42">
        <f>GREET!B400</f>
        <v>3.6117899478066171</v>
      </c>
      <c r="G104" s="43">
        <f t="shared" si="47"/>
        <v>60.699689243031429</v>
      </c>
      <c r="H104" s="5">
        <f>GREET!B401</f>
        <v>0.10273486232607995</v>
      </c>
      <c r="I104" s="5"/>
      <c r="J104" s="5"/>
      <c r="K104" s="5"/>
      <c r="L104" s="5">
        <f t="shared" ref="L104:L116" si="50">SUM(H104:J104)+(K104*3.6)</f>
        <v>0.10273486232607995</v>
      </c>
      <c r="M104" s="5">
        <f>GREET!B407</f>
        <v>3.7256294140026425</v>
      </c>
      <c r="N104">
        <v>29.7</v>
      </c>
      <c r="O104" s="29">
        <f t="shared" si="48"/>
        <v>0.48929410299097503</v>
      </c>
      <c r="P104" s="29">
        <f t="shared" si="49"/>
        <v>0.48846736683616915</v>
      </c>
      <c r="Q104" s="43"/>
    </row>
    <row r="105" spans="2:17" x14ac:dyDescent="0.2">
      <c r="B105" t="s">
        <v>483</v>
      </c>
      <c r="C105" t="s">
        <v>1035</v>
      </c>
      <c r="D105" t="s">
        <v>21</v>
      </c>
      <c r="E105">
        <v>1</v>
      </c>
      <c r="F105" s="42">
        <f>GREET!B626</f>
        <v>3.6117899478066171</v>
      </c>
      <c r="G105" s="43">
        <f t="shared" si="47"/>
        <v>58.668617966332597</v>
      </c>
      <c r="H105" s="5">
        <f>GREET!B627</f>
        <v>0.10273486232607995</v>
      </c>
      <c r="I105" s="5"/>
      <c r="J105" s="5"/>
      <c r="K105" s="5"/>
      <c r="L105" s="5">
        <f t="shared" si="50"/>
        <v>0.10273486232607995</v>
      </c>
      <c r="M105" s="5">
        <f>GREET!B633</f>
        <v>4.4386563015857918</v>
      </c>
      <c r="N105">
        <v>29.7</v>
      </c>
      <c r="O105" s="29">
        <f t="shared" si="48"/>
        <v>0.50623316228521964</v>
      </c>
      <c r="P105" s="29">
        <f t="shared" si="49"/>
        <v>0.50534824485982199</v>
      </c>
      <c r="Q105" s="43"/>
    </row>
    <row r="106" spans="2:17" x14ac:dyDescent="0.2">
      <c r="B106" t="s">
        <v>484</v>
      </c>
      <c r="C106" t="s">
        <v>1035</v>
      </c>
      <c r="D106" t="s">
        <v>21</v>
      </c>
      <c r="E106">
        <v>1</v>
      </c>
      <c r="F106" s="42">
        <f>GREET!B781</f>
        <v>3.6117899478066171</v>
      </c>
      <c r="G106" s="43">
        <f t="shared" si="47"/>
        <v>65.882160042863362</v>
      </c>
      <c r="H106" s="5">
        <f>GREET!B782</f>
        <v>5.4873220233514521E-2</v>
      </c>
      <c r="I106" s="5"/>
      <c r="J106" s="5"/>
      <c r="K106" s="5"/>
      <c r="L106" s="5">
        <f t="shared" si="50"/>
        <v>5.4873220233514521E-2</v>
      </c>
      <c r="M106" s="5">
        <f>GREET!B788</f>
        <v>4.6233398055299775</v>
      </c>
      <c r="N106">
        <v>29.7</v>
      </c>
      <c r="O106" s="29">
        <f t="shared" si="48"/>
        <v>0.45080489134960033</v>
      </c>
      <c r="P106" s="29">
        <f t="shared" si="49"/>
        <v>0.45042972863964542</v>
      </c>
      <c r="Q106" s="43"/>
    </row>
    <row r="107" spans="2:17" x14ac:dyDescent="0.2">
      <c r="B107" t="s">
        <v>485</v>
      </c>
      <c r="C107" t="s">
        <v>1035</v>
      </c>
      <c r="D107" t="s">
        <v>21</v>
      </c>
      <c r="E107">
        <v>1</v>
      </c>
      <c r="F107" s="42">
        <f>GREET!B1003</f>
        <v>3.6117899478066171</v>
      </c>
      <c r="G107" s="43">
        <f t="shared" si="47"/>
        <v>58.462843390456911</v>
      </c>
      <c r="H107" s="5">
        <f>GREET!B1004</f>
        <v>5.4873220233514521E-2</v>
      </c>
      <c r="I107" s="5"/>
      <c r="J107" s="5"/>
      <c r="K107" s="5"/>
      <c r="L107" s="5">
        <f t="shared" si="50"/>
        <v>5.4873220233514521E-2</v>
      </c>
      <c r="M107" s="5">
        <f>GREET!B1012</f>
        <v>4.4391830718406515</v>
      </c>
      <c r="N107">
        <v>29.7</v>
      </c>
      <c r="O107" s="29">
        <f t="shared" si="48"/>
        <v>0.5080149763096885</v>
      </c>
      <c r="P107" s="29">
        <f t="shared" si="49"/>
        <v>0.5075386006188457</v>
      </c>
      <c r="Q107" s="43"/>
    </row>
    <row r="108" spans="2:17" x14ac:dyDescent="0.2">
      <c r="B108" t="s">
        <v>486</v>
      </c>
      <c r="C108" t="s">
        <v>1035</v>
      </c>
      <c r="D108" t="s">
        <v>21</v>
      </c>
      <c r="E108">
        <v>1</v>
      </c>
      <c r="F108" s="42">
        <f>GREET!B1315</f>
        <v>3.6117899478066171</v>
      </c>
      <c r="G108" s="43">
        <f t="shared" si="47"/>
        <v>56.077382566416638</v>
      </c>
      <c r="H108" s="5">
        <f>GREET!B1316</f>
        <v>5.4873220233514521E-2</v>
      </c>
      <c r="I108" s="5"/>
      <c r="J108" s="5"/>
      <c r="K108" s="5"/>
      <c r="L108" s="5">
        <f t="shared" si="50"/>
        <v>5.4873220233514521E-2</v>
      </c>
      <c r="M108" s="5">
        <f>GREET!B1324</f>
        <v>4.2864801963978794</v>
      </c>
      <c r="N108">
        <v>29.7</v>
      </c>
      <c r="O108" s="29">
        <f t="shared" si="48"/>
        <v>0.52962528992547164</v>
      </c>
      <c r="P108" s="29">
        <f t="shared" si="49"/>
        <v>0.52910754402753757</v>
      </c>
      <c r="Q108" s="43"/>
    </row>
    <row r="109" spans="2:17" x14ac:dyDescent="0.2">
      <c r="B109" t="s">
        <v>487</v>
      </c>
      <c r="C109" t="s">
        <v>1035</v>
      </c>
      <c r="D109" t="s">
        <v>21</v>
      </c>
      <c r="E109">
        <v>1</v>
      </c>
      <c r="F109" s="42">
        <f>GREET!B1516</f>
        <v>2.7644693176628423</v>
      </c>
      <c r="G109" s="43">
        <f>F109*S12</f>
        <v>9.0283841929178266</v>
      </c>
      <c r="H109" s="5">
        <f>GREET!B1517</f>
        <v>7.4900076970727938E-2</v>
      </c>
      <c r="I109" s="5"/>
      <c r="J109" s="5"/>
      <c r="K109" s="5"/>
      <c r="L109" s="5">
        <f t="shared" si="50"/>
        <v>7.4900076970727938E-2</v>
      </c>
      <c r="M109" s="5">
        <f>GREET!B1519</f>
        <v>-0.69763350022834936</v>
      </c>
      <c r="N109">
        <v>29.7</v>
      </c>
      <c r="O109" s="29">
        <f t="shared" si="48"/>
        <v>3.2896251826874732</v>
      </c>
      <c r="P109" s="29">
        <f t="shared" si="49"/>
        <v>3.2625587776315368</v>
      </c>
      <c r="Q109" s="43"/>
    </row>
    <row r="110" spans="2:17" x14ac:dyDescent="0.2">
      <c r="B110" t="s">
        <v>488</v>
      </c>
      <c r="C110" t="s">
        <v>1035</v>
      </c>
      <c r="D110" t="s">
        <v>21</v>
      </c>
      <c r="E110">
        <v>1</v>
      </c>
      <c r="F110" s="42">
        <f>GREET!B1830</f>
        <v>2.4244760277550892</v>
      </c>
      <c r="G110" s="43">
        <f>F110*R13</f>
        <v>32.694790939154352</v>
      </c>
      <c r="H110" s="5"/>
      <c r="I110" s="5">
        <f>GREET!B1831</f>
        <v>4.4788209589816708</v>
      </c>
      <c r="J110" s="5"/>
      <c r="K110" s="5">
        <f>GREET!B1832</f>
        <v>0.19659673024320534</v>
      </c>
      <c r="L110" s="5">
        <f t="shared" si="50"/>
        <v>5.1865691878572102</v>
      </c>
      <c r="M110" s="5">
        <f>GREET!B1838</f>
        <v>1.5796699559950838</v>
      </c>
      <c r="N110">
        <v>29.7</v>
      </c>
      <c r="O110" s="29">
        <f t="shared" si="48"/>
        <v>0.90840158774137092</v>
      </c>
      <c r="P110" s="29">
        <f t="shared" si="49"/>
        <v>0.78402675881804496</v>
      </c>
      <c r="Q110" s="43"/>
    </row>
    <row r="111" spans="2:17" x14ac:dyDescent="0.2">
      <c r="B111" t="s">
        <v>489</v>
      </c>
      <c r="C111" t="s">
        <v>1035</v>
      </c>
      <c r="D111" t="s">
        <v>21</v>
      </c>
      <c r="E111">
        <v>1</v>
      </c>
      <c r="F111" s="42">
        <f>GREET!B2028</f>
        <v>9.6012832520951576</v>
      </c>
      <c r="G111" s="43">
        <f>F111*S14</f>
        <v>40.871887356066793</v>
      </c>
      <c r="H111" s="5"/>
      <c r="I111" s="5"/>
      <c r="J111" s="5"/>
      <c r="K111" s="5"/>
      <c r="L111" s="5">
        <f t="shared" si="50"/>
        <v>0</v>
      </c>
      <c r="M111" s="5">
        <f>GREET!B2030</f>
        <v>2.2260733383034328</v>
      </c>
      <c r="N111">
        <v>29.7</v>
      </c>
      <c r="O111" s="29">
        <f t="shared" si="48"/>
        <v>0.72666084003560205</v>
      </c>
      <c r="P111" s="29">
        <f t="shared" si="49"/>
        <v>0.72666084003560205</v>
      </c>
      <c r="Q111" s="43"/>
    </row>
    <row r="112" spans="2:17" x14ac:dyDescent="0.2">
      <c r="B112" t="s">
        <v>490</v>
      </c>
      <c r="C112" t="s">
        <v>1035</v>
      </c>
      <c r="D112" t="s">
        <v>21</v>
      </c>
      <c r="E112">
        <v>1</v>
      </c>
      <c r="F112" s="42">
        <f>GREET!B2189</f>
        <v>4.9119237638144968</v>
      </c>
      <c r="G112" s="43">
        <f>F112*S15</f>
        <v>20.162889081128544</v>
      </c>
      <c r="H112" s="5"/>
      <c r="I112" s="5"/>
      <c r="J112" s="5"/>
      <c r="K112" s="5"/>
      <c r="L112" s="5">
        <f t="shared" si="50"/>
        <v>0</v>
      </c>
      <c r="M112" s="5">
        <f>GREET!B2194</f>
        <v>0.12837790099406798</v>
      </c>
      <c r="N112">
        <v>29.7</v>
      </c>
      <c r="O112" s="29">
        <f t="shared" si="48"/>
        <v>1.4730031931682706</v>
      </c>
      <c r="P112" s="29">
        <f t="shared" si="49"/>
        <v>1.4730031931682706</v>
      </c>
      <c r="Q112" s="43"/>
    </row>
    <row r="113" spans="2:17" x14ac:dyDescent="0.2">
      <c r="B113" t="s">
        <v>491</v>
      </c>
      <c r="C113" t="s">
        <v>1035</v>
      </c>
      <c r="D113" t="s">
        <v>1026</v>
      </c>
      <c r="E113">
        <v>1</v>
      </c>
      <c r="F113" s="42">
        <f>GREET!B2406</f>
        <v>2.5366279208115974</v>
      </c>
      <c r="G113" s="43">
        <f>F113*R16</f>
        <v>40.179664394724931</v>
      </c>
      <c r="H113" s="5"/>
      <c r="I113" s="5">
        <f>GREET!B2407</f>
        <v>6.8262054727428154</v>
      </c>
      <c r="J113" s="5"/>
      <c r="K113" s="5">
        <f>GREET!B2408</f>
        <v>0.17671635828914636</v>
      </c>
      <c r="L113" s="5">
        <f t="shared" si="50"/>
        <v>7.4623843625837427</v>
      </c>
      <c r="M113" s="5">
        <f>GREET!B2414</f>
        <v>1.830823799494161</v>
      </c>
      <c r="N113">
        <v>29.7</v>
      </c>
      <c r="O113" s="29">
        <f t="shared" si="48"/>
        <v>0.73917989230142067</v>
      </c>
      <c r="P113" s="29">
        <f t="shared" si="49"/>
        <v>0.6233988834378954</v>
      </c>
      <c r="Q113" s="43"/>
    </row>
    <row r="114" spans="2:17" x14ac:dyDescent="0.2">
      <c r="B114" t="s">
        <v>562</v>
      </c>
      <c r="C114" t="s">
        <v>1035</v>
      </c>
      <c r="D114" t="s">
        <v>21</v>
      </c>
      <c r="E114">
        <v>1</v>
      </c>
      <c r="F114" s="42">
        <f>GREET!B2477</f>
        <v>2.5366279208115974</v>
      </c>
      <c r="G114" s="43">
        <f>F114*R17</f>
        <v>49.717907247907313</v>
      </c>
      <c r="H114" s="5"/>
      <c r="I114" s="5">
        <f>GREET!B2478</f>
        <v>6.8262054727428154</v>
      </c>
      <c r="J114" s="5"/>
      <c r="K114" s="5">
        <f>GREET!B2479</f>
        <v>0.33730714108060017</v>
      </c>
      <c r="L114" s="5">
        <f t="shared" si="50"/>
        <v>8.0405111806329757</v>
      </c>
      <c r="M114" s="5">
        <f>GREET!B2485</f>
        <v>4.5770594987354064E-2</v>
      </c>
      <c r="N114">
        <v>29.7</v>
      </c>
      <c r="O114" s="29">
        <f>N114/G114</f>
        <v>0.59737027650636099</v>
      </c>
      <c r="P114" s="29">
        <f t="shared" si="49"/>
        <v>0.51421075590470589</v>
      </c>
      <c r="Q114" s="43"/>
    </row>
    <row r="115" spans="2:17" x14ac:dyDescent="0.2">
      <c r="B115" t="s">
        <v>487</v>
      </c>
      <c r="C115" t="s">
        <v>264</v>
      </c>
      <c r="D115" t="s">
        <v>469</v>
      </c>
      <c r="E115">
        <v>1</v>
      </c>
      <c r="F115" s="42">
        <f>'Pereira et al. 2019'!B96</f>
        <v>4.4301299739489597</v>
      </c>
      <c r="G115" s="43">
        <f>F115*S17</f>
        <v>23.444247822137896</v>
      </c>
      <c r="H115" s="5">
        <f>'Pereira et al. 2019'!B74</f>
        <v>8.1699999999999995E-2</v>
      </c>
      <c r="I115" s="5"/>
      <c r="J115" s="5"/>
      <c r="K115" s="5"/>
      <c r="L115" s="5">
        <f t="shared" si="50"/>
        <v>8.1699999999999995E-2</v>
      </c>
      <c r="M115" s="5">
        <f>'Pereira et al. 2019'!B102</f>
        <v>0.29612368815738566</v>
      </c>
      <c r="N115">
        <v>29.7</v>
      </c>
      <c r="O115" s="29">
        <f t="shared" si="48"/>
        <v>1.2668352691594964</v>
      </c>
      <c r="P115" s="29">
        <f t="shared" si="49"/>
        <v>1.2624358527248081</v>
      </c>
      <c r="Q115" s="43"/>
    </row>
    <row r="116" spans="2:17" x14ac:dyDescent="0.2">
      <c r="B116" t="s">
        <v>492</v>
      </c>
      <c r="C116" t="s">
        <v>264</v>
      </c>
      <c r="D116" t="s">
        <v>469</v>
      </c>
      <c r="E116">
        <v>1</v>
      </c>
      <c r="F116" s="42">
        <f>'Pereira et al. 2019'!B159</f>
        <v>3.2744078855022276</v>
      </c>
      <c r="G116" s="43">
        <f>F116*S18</f>
        <v>46.201895264436438</v>
      </c>
      <c r="H116" s="5"/>
      <c r="I116" s="5"/>
      <c r="J116" s="5"/>
      <c r="K116" s="5"/>
      <c r="L116" s="5">
        <f t="shared" si="50"/>
        <v>0</v>
      </c>
      <c r="M116" s="5">
        <f>'Pereira et al. 2019'!B166</f>
        <v>2.775246788748885</v>
      </c>
      <c r="N116">
        <v>29.7</v>
      </c>
      <c r="O116" s="29">
        <f t="shared" si="48"/>
        <v>0.64283077198483141</v>
      </c>
      <c r="P116" s="29">
        <f t="shared" si="49"/>
        <v>0.64283077198483141</v>
      </c>
      <c r="Q116" s="43"/>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1035</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42">
        <f t="shared" si="52"/>
        <v>1</v>
      </c>
      <c r="O121" s="29">
        <f t="shared" ref="O121:O134" si="53">N121/G121</f>
        <v>0.53948679771185992</v>
      </c>
      <c r="P121" s="29">
        <f t="shared" ref="P121:P134" si="54">N121/SUM(G121,L121)</f>
        <v>0.53894960145928061</v>
      </c>
    </row>
    <row r="122" spans="2:17" x14ac:dyDescent="0.2">
      <c r="B122" t="s">
        <v>482</v>
      </c>
      <c r="C122" t="s">
        <v>1035</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42">
        <f t="shared" si="55"/>
        <v>1</v>
      </c>
      <c r="O122" s="29">
        <f t="shared" si="53"/>
        <v>0.48929410299097509</v>
      </c>
      <c r="P122" s="29">
        <f t="shared" si="54"/>
        <v>0.48846736683616915</v>
      </c>
    </row>
    <row r="123" spans="2:17" x14ac:dyDescent="0.2">
      <c r="B123" t="s">
        <v>483</v>
      </c>
      <c r="C123" t="s">
        <v>1035</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42">
        <f t="shared" si="55"/>
        <v>1</v>
      </c>
      <c r="O123" s="29">
        <f t="shared" si="53"/>
        <v>0.50623316228521964</v>
      </c>
      <c r="P123" s="29">
        <f t="shared" si="54"/>
        <v>0.50534824485982199</v>
      </c>
    </row>
    <row r="124" spans="2:17" x14ac:dyDescent="0.2">
      <c r="B124" t="s">
        <v>484</v>
      </c>
      <c r="C124" t="s">
        <v>1035</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42">
        <f t="shared" si="55"/>
        <v>1</v>
      </c>
      <c r="O124" s="29">
        <f t="shared" si="53"/>
        <v>0.45080489134960033</v>
      </c>
      <c r="P124" s="29">
        <f t="shared" si="54"/>
        <v>0.45042972863964537</v>
      </c>
    </row>
    <row r="125" spans="2:17" x14ac:dyDescent="0.2">
      <c r="B125" t="s">
        <v>485</v>
      </c>
      <c r="C125" t="s">
        <v>1035</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42">
        <f t="shared" si="55"/>
        <v>1</v>
      </c>
      <c r="O125" s="29">
        <f t="shared" si="53"/>
        <v>0.50801497630968862</v>
      </c>
      <c r="P125" s="29">
        <f t="shared" si="54"/>
        <v>0.5075386006188457</v>
      </c>
    </row>
    <row r="126" spans="2:17" x14ac:dyDescent="0.2">
      <c r="B126" t="s">
        <v>486</v>
      </c>
      <c r="C126" t="s">
        <v>1035</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42">
        <f t="shared" si="55"/>
        <v>1</v>
      </c>
      <c r="O126" s="29">
        <f t="shared" si="53"/>
        <v>0.52962528992547164</v>
      </c>
      <c r="P126" s="29">
        <f t="shared" si="54"/>
        <v>0.52910754402753768</v>
      </c>
    </row>
    <row r="127" spans="2:17" x14ac:dyDescent="0.2">
      <c r="B127" t="s">
        <v>487</v>
      </c>
      <c r="C127" t="s">
        <v>1035</v>
      </c>
      <c r="D127" t="s">
        <v>21</v>
      </c>
      <c r="E127">
        <v>1</v>
      </c>
      <c r="F127" s="5">
        <f t="shared" si="51"/>
        <v>9.3079775005482909E-2</v>
      </c>
      <c r="G127" s="5">
        <f t="shared" si="55"/>
        <v>0.303985999761543</v>
      </c>
      <c r="H127" s="4">
        <f t="shared" si="55"/>
        <v>2.5218881134925234E-3</v>
      </c>
      <c r="I127" s="4">
        <f t="shared" si="55"/>
        <v>0</v>
      </c>
      <c r="J127" s="4">
        <f t="shared" si="55"/>
        <v>0</v>
      </c>
      <c r="K127" s="4">
        <f t="shared" si="55"/>
        <v>0</v>
      </c>
      <c r="L127" s="4">
        <f t="shared" si="55"/>
        <v>2.5218881134925234E-3</v>
      </c>
      <c r="M127" s="4">
        <f t="shared" si="55"/>
        <v>-2.3489343442031966E-2</v>
      </c>
      <c r="N127" s="42">
        <f t="shared" si="55"/>
        <v>1</v>
      </c>
      <c r="O127" s="29">
        <f t="shared" si="53"/>
        <v>3.2896251826874727</v>
      </c>
      <c r="P127" s="29">
        <f t="shared" si="54"/>
        <v>3.2625587776315368</v>
      </c>
    </row>
    <row r="128" spans="2:17" x14ac:dyDescent="0.2">
      <c r="B128" t="s">
        <v>488</v>
      </c>
      <c r="C128" t="s">
        <v>1035</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42">
        <f t="shared" si="55"/>
        <v>1</v>
      </c>
      <c r="O128" s="29">
        <f t="shared" si="53"/>
        <v>0.90840158774137081</v>
      </c>
      <c r="P128" s="29">
        <f t="shared" si="54"/>
        <v>0.78402675881804496</v>
      </c>
    </row>
    <row r="129" spans="2:23" x14ac:dyDescent="0.2">
      <c r="B129" t="s">
        <v>489</v>
      </c>
      <c r="C129" t="s">
        <v>1035</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42">
        <f t="shared" si="55"/>
        <v>1</v>
      </c>
      <c r="O129" s="29">
        <f t="shared" si="53"/>
        <v>0.72666084003560216</v>
      </c>
      <c r="P129" s="29">
        <f t="shared" si="54"/>
        <v>0.72666084003560216</v>
      </c>
    </row>
    <row r="130" spans="2:23" x14ac:dyDescent="0.2">
      <c r="B130" t="s">
        <v>490</v>
      </c>
      <c r="C130" t="s">
        <v>1035</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42">
        <f t="shared" si="55"/>
        <v>1</v>
      </c>
      <c r="O130" s="29">
        <f t="shared" si="53"/>
        <v>1.4730031931682706</v>
      </c>
      <c r="P130" s="29">
        <f t="shared" si="54"/>
        <v>1.4730031931682706</v>
      </c>
    </row>
    <row r="131" spans="2:23" x14ac:dyDescent="0.2">
      <c r="B131" t="s">
        <v>491</v>
      </c>
      <c r="C131" t="s">
        <v>1035</v>
      </c>
      <c r="D131" t="s">
        <v>1026</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42">
        <f t="shared" si="57"/>
        <v>1</v>
      </c>
      <c r="O131" s="29">
        <f t="shared" si="53"/>
        <v>0.73917989230142056</v>
      </c>
      <c r="P131" s="29">
        <f t="shared" si="54"/>
        <v>0.6233988834378954</v>
      </c>
    </row>
    <row r="132" spans="2:23" x14ac:dyDescent="0.2">
      <c r="B132" t="s">
        <v>562</v>
      </c>
      <c r="C132" t="s">
        <v>1035</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42">
        <f t="shared" si="57"/>
        <v>1</v>
      </c>
      <c r="O132" s="29">
        <f>N132/G132</f>
        <v>0.59737027650636099</v>
      </c>
      <c r="P132" s="29">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42">
        <f>N115/29.7</f>
        <v>1</v>
      </c>
      <c r="O133" s="29">
        <f t="shared" si="53"/>
        <v>1.2668352691594964</v>
      </c>
      <c r="P133" s="29">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42">
        <f>N116/29.7</f>
        <v>1</v>
      </c>
      <c r="O134" s="29">
        <f t="shared" si="53"/>
        <v>0.64283077198483141</v>
      </c>
      <c r="P134" s="29">
        <f t="shared" si="54"/>
        <v>0.64283077198483141</v>
      </c>
    </row>
    <row r="137" spans="2:23" ht="21" x14ac:dyDescent="0.25">
      <c r="B137" s="62" t="s">
        <v>542</v>
      </c>
      <c r="C137" s="63"/>
      <c r="D137" s="63"/>
      <c r="E137" s="63"/>
      <c r="F137" s="63"/>
      <c r="G137" s="63"/>
      <c r="H137" s="63"/>
      <c r="I137" s="63"/>
      <c r="J137" s="63"/>
      <c r="K137" s="63"/>
      <c r="L137" s="63"/>
      <c r="M137" s="63"/>
      <c r="N137" s="63"/>
      <c r="O137" s="63"/>
      <c r="P137" s="63"/>
      <c r="Q137" s="63"/>
      <c r="R137" s="63"/>
      <c r="S137" s="63"/>
      <c r="T137" s="63"/>
      <c r="U137" s="63"/>
      <c r="V137" s="63"/>
      <c r="W137" s="6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1035</v>
      </c>
      <c r="D141" t="s">
        <v>21</v>
      </c>
      <c r="E141">
        <v>1</v>
      </c>
      <c r="F141" s="42">
        <f>GREET!B95</f>
        <v>4.1856906305826644</v>
      </c>
      <c r="G141" s="43">
        <f t="shared" ref="G141:G146" si="59">F141*R6</f>
        <v>63.799939840324264</v>
      </c>
      <c r="H141" s="5">
        <f>GREET!B96</f>
        <v>6.3592381373341833E-2</v>
      </c>
      <c r="I141" s="5"/>
      <c r="J141" s="5"/>
      <c r="K141" s="5"/>
      <c r="L141" s="5">
        <f>SUM(H141:J141)+(K141*3.6)</f>
        <v>6.3592381373341833E-2</v>
      </c>
      <c r="M141" s="5">
        <f>GREET!B104</f>
        <v>4.165157548837243</v>
      </c>
      <c r="N141">
        <v>29.7</v>
      </c>
      <c r="O141" s="29">
        <f t="shared" ref="O141:O154" si="60">N141/G141</f>
        <v>0.46551768033530877</v>
      </c>
      <c r="P141" s="29">
        <f t="shared" ref="P141:P154" si="61">N141/SUM(G141,L141)</f>
        <v>0.46505413914311239</v>
      </c>
      <c r="Q141" s="5">
        <f>GREET!B106</f>
        <v>-0.37292496697490091</v>
      </c>
      <c r="R141" s="5"/>
      <c r="S141" s="5"/>
      <c r="T141" s="5"/>
      <c r="U141" s="5"/>
    </row>
    <row r="142" spans="2:23" x14ac:dyDescent="0.2">
      <c r="B142" t="s">
        <v>482</v>
      </c>
      <c r="C142" t="s">
        <v>1035</v>
      </c>
      <c r="D142" t="s">
        <v>21</v>
      </c>
      <c r="E142">
        <v>1</v>
      </c>
      <c r="F142" s="42">
        <f>GREET!B469</f>
        <v>4.1856906305826644</v>
      </c>
      <c r="G142" s="43">
        <f t="shared" si="59"/>
        <v>70.344655756664025</v>
      </c>
      <c r="H142" s="5">
        <f>GREET!B470</f>
        <v>0.11905906957120109</v>
      </c>
      <c r="I142" s="5"/>
      <c r="J142" s="5"/>
      <c r="K142" s="5"/>
      <c r="L142" s="5">
        <f t="shared" ref="L142:L154" si="62">SUM(H142:J142)+(K142*3.6)</f>
        <v>0.11905906957120109</v>
      </c>
      <c r="M142" s="5">
        <f>GREET!B478</f>
        <v>4.6217466351233014</v>
      </c>
      <c r="N142">
        <v>29.7</v>
      </c>
      <c r="O142" s="29">
        <f t="shared" si="60"/>
        <v>0.4222069136671609</v>
      </c>
      <c r="P142" s="29">
        <f t="shared" si="61"/>
        <v>0.42149353143303225</v>
      </c>
      <c r="Q142" s="5">
        <f>GREET!B480</f>
        <v>-0.37292496697490091</v>
      </c>
      <c r="R142" s="5"/>
      <c r="S142" s="5"/>
      <c r="T142" s="5"/>
      <c r="U142" s="5"/>
    </row>
    <row r="143" spans="2:23" x14ac:dyDescent="0.2">
      <c r="B143" t="s">
        <v>483</v>
      </c>
      <c r="C143" t="s">
        <v>1035</v>
      </c>
      <c r="D143" t="s">
        <v>21</v>
      </c>
      <c r="E143">
        <v>1</v>
      </c>
      <c r="F143" s="42">
        <f>GREET!B670</f>
        <v>4.1856906305826644</v>
      </c>
      <c r="G143" s="43">
        <f t="shared" si="59"/>
        <v>67.99085441833131</v>
      </c>
      <c r="H143" s="5">
        <f>GREET!B671</f>
        <v>0.11905906957120109</v>
      </c>
      <c r="I143" s="5"/>
      <c r="J143" s="5"/>
      <c r="K143" s="5"/>
      <c r="L143" s="5">
        <f t="shared" si="62"/>
        <v>0.11905906957120109</v>
      </c>
      <c r="M143" s="5">
        <f>GREET!B677</f>
        <v>5.4480709800710896</v>
      </c>
      <c r="N143">
        <v>29.7</v>
      </c>
      <c r="O143" s="29">
        <f t="shared" si="60"/>
        <v>0.43682345594987043</v>
      </c>
      <c r="P143" s="29">
        <f t="shared" si="61"/>
        <v>0.43605986968806276</v>
      </c>
      <c r="Q143" s="5">
        <f>GREET!B679</f>
        <v>-0.37292496697490091</v>
      </c>
      <c r="R143" s="5"/>
      <c r="S143" s="5"/>
      <c r="T143" s="5"/>
      <c r="U143" s="5"/>
    </row>
    <row r="144" spans="2:23" x14ac:dyDescent="0.2">
      <c r="B144" t="s">
        <v>484</v>
      </c>
      <c r="C144" t="s">
        <v>1035</v>
      </c>
      <c r="D144" t="s">
        <v>21</v>
      </c>
      <c r="E144">
        <v>1</v>
      </c>
      <c r="F144" s="42">
        <f>GREET!B849</f>
        <v>4.1856906305826644</v>
      </c>
      <c r="G144" s="43">
        <f t="shared" si="59"/>
        <v>76.350602886368534</v>
      </c>
      <c r="H144" s="5">
        <f>GREET!B850</f>
        <v>6.3592381373341833E-2</v>
      </c>
      <c r="I144" s="5"/>
      <c r="J144" s="5"/>
      <c r="K144" s="5"/>
      <c r="L144" s="5">
        <f t="shared" si="62"/>
        <v>6.3592381373341833E-2</v>
      </c>
      <c r="M144" s="5">
        <f>GREET!B857</f>
        <v>5.6621000413546234</v>
      </c>
      <c r="N144">
        <v>29.7</v>
      </c>
      <c r="O144" s="29">
        <f t="shared" si="60"/>
        <v>0.38899496372284142</v>
      </c>
      <c r="P144" s="29">
        <f t="shared" si="61"/>
        <v>0.38867123962944888</v>
      </c>
      <c r="Q144" s="5">
        <f>GREET!B858</f>
        <v>-0.37292496697490091</v>
      </c>
      <c r="R144" s="5"/>
      <c r="S144" s="5"/>
      <c r="T144" s="5"/>
      <c r="U144" s="5"/>
    </row>
    <row r="145" spans="2:23" x14ac:dyDescent="0.2">
      <c r="B145" t="s">
        <v>485</v>
      </c>
      <c r="C145" t="s">
        <v>1035</v>
      </c>
      <c r="D145" t="s">
        <v>21</v>
      </c>
      <c r="E145">
        <v>1</v>
      </c>
      <c r="F145" s="42">
        <f>GREET!B1051</f>
        <v>4.1856906305826644</v>
      </c>
      <c r="G145" s="43">
        <f t="shared" si="59"/>
        <v>67.752382988181267</v>
      </c>
      <c r="H145" s="5">
        <f>GREET!B1052</f>
        <v>6.3592381373341833E-2</v>
      </c>
      <c r="I145" s="5"/>
      <c r="J145" s="5"/>
      <c r="K145" s="5"/>
      <c r="L145" s="5">
        <f t="shared" si="62"/>
        <v>6.3592381373341833E-2</v>
      </c>
      <c r="M145" s="5">
        <f>GREET!B1060</f>
        <v>5.4486814522613605</v>
      </c>
      <c r="N145">
        <v>29.7</v>
      </c>
      <c r="O145" s="29">
        <f t="shared" si="60"/>
        <v>0.43836096518082429</v>
      </c>
      <c r="P145" s="29">
        <f t="shared" si="61"/>
        <v>0.43794990543383905</v>
      </c>
      <c r="Q145" s="5">
        <f>GREET!B1062</f>
        <v>-0.37292496697490091</v>
      </c>
      <c r="R145" s="5"/>
      <c r="S145" s="5"/>
      <c r="T145" s="5"/>
      <c r="U145" s="5"/>
    </row>
    <row r="146" spans="2:23" x14ac:dyDescent="0.2">
      <c r="B146" t="s">
        <v>486</v>
      </c>
      <c r="C146" t="s">
        <v>1035</v>
      </c>
      <c r="D146" t="s">
        <v>21</v>
      </c>
      <c r="E146">
        <v>1</v>
      </c>
      <c r="F146" s="42">
        <f>GREET!B1363</f>
        <v>4.1856906305826644</v>
      </c>
      <c r="G146" s="43">
        <f t="shared" si="59"/>
        <v>64.987880853479055</v>
      </c>
      <c r="H146" s="5">
        <f>GREET!B1364</f>
        <v>6.3592381373341833E-2</v>
      </c>
      <c r="I146" s="5"/>
      <c r="J146" s="5"/>
      <c r="K146" s="5"/>
      <c r="L146" s="5">
        <f t="shared" si="62"/>
        <v>6.3592381373341833E-2</v>
      </c>
      <c r="M146" s="5">
        <f>GREET!B1372</f>
        <v>5.2717146285422789</v>
      </c>
      <c r="N146">
        <v>29.7</v>
      </c>
      <c r="O146" s="29">
        <f t="shared" si="60"/>
        <v>0.45700828539033739</v>
      </c>
      <c r="P146" s="29">
        <f t="shared" si="61"/>
        <v>0.45656152771168501</v>
      </c>
      <c r="Q146" s="5">
        <f>GREET!B1374</f>
        <v>-0.37292496697490091</v>
      </c>
      <c r="R146" s="5"/>
      <c r="S146" s="5"/>
      <c r="T146" s="5"/>
      <c r="U146" s="5"/>
    </row>
    <row r="147" spans="2:23" x14ac:dyDescent="0.2">
      <c r="B147" t="s">
        <v>487</v>
      </c>
      <c r="C147" t="s">
        <v>1035</v>
      </c>
      <c r="D147" t="s">
        <v>21</v>
      </c>
      <c r="E147">
        <v>1</v>
      </c>
      <c r="F147" s="42">
        <f>GREET!B1552</f>
        <v>3.9118604024137049</v>
      </c>
      <c r="G147" s="43">
        <f>F147*S12</f>
        <v>12.775608828934905</v>
      </c>
      <c r="H147" s="5">
        <f>GREET!B1553</f>
        <v>0.10598730228890306</v>
      </c>
      <c r="I147" s="5"/>
      <c r="J147" s="5"/>
      <c r="K147" s="5"/>
      <c r="L147" s="5">
        <f t="shared" si="62"/>
        <v>0.10598730228890306</v>
      </c>
      <c r="M147" s="5">
        <f>GREET!B1555</f>
        <v>-0.19278142293796985</v>
      </c>
      <c r="N147">
        <v>29.7</v>
      </c>
      <c r="O147" s="29">
        <f t="shared" si="60"/>
        <v>2.324742436754466</v>
      </c>
      <c r="P147" s="29">
        <f t="shared" si="61"/>
        <v>2.3056149018684047</v>
      </c>
      <c r="Q147" s="5">
        <f>GREET!B1557</f>
        <v>-0.97410752972258918</v>
      </c>
      <c r="R147" s="5"/>
      <c r="S147" s="5"/>
      <c r="T147" s="5"/>
      <c r="U147" s="5"/>
    </row>
    <row r="148" spans="2:23" x14ac:dyDescent="0.2">
      <c r="B148" t="s">
        <v>488</v>
      </c>
      <c r="C148" t="s">
        <v>1035</v>
      </c>
      <c r="D148" t="s">
        <v>21</v>
      </c>
      <c r="E148">
        <v>1</v>
      </c>
      <c r="F148" s="42">
        <f>GREET!B1876</f>
        <v>3.0268115202934944</v>
      </c>
      <c r="G148" s="43">
        <f>F148*R13</f>
        <v>40.817466840392449</v>
      </c>
      <c r="H148" s="5"/>
      <c r="I148" s="5">
        <f>GREET!B1877</f>
        <v>5.5915367777548948</v>
      </c>
      <c r="J148" s="5"/>
      <c r="K148" s="5">
        <f>GREET!B1878</f>
        <v>0.24543911391161713</v>
      </c>
      <c r="L148" s="5">
        <f t="shared" si="62"/>
        <v>6.4751175878367162</v>
      </c>
      <c r="M148" s="5">
        <f>GREET!B1884</f>
        <v>2.447635400742926</v>
      </c>
      <c r="N148">
        <v>29.7</v>
      </c>
      <c r="O148" s="29">
        <f t="shared" si="60"/>
        <v>0.72762967178083804</v>
      </c>
      <c r="P148" s="29">
        <f t="shared" si="61"/>
        <v>0.62800543381325402</v>
      </c>
      <c r="Q148" s="5">
        <f>GREET!B1886</f>
        <v>0</v>
      </c>
      <c r="R148" s="5">
        <f>GREET!B1887</f>
        <v>-0.31687157199471599</v>
      </c>
      <c r="S148" s="5"/>
      <c r="T148" s="5"/>
      <c r="U148" s="5"/>
    </row>
    <row r="149" spans="2:23" x14ac:dyDescent="0.2">
      <c r="B149" t="s">
        <v>489</v>
      </c>
      <c r="C149" t="s">
        <v>1035</v>
      </c>
      <c r="D149" t="s">
        <v>21</v>
      </c>
      <c r="E149">
        <v>1</v>
      </c>
      <c r="F149" s="42">
        <f>GREET!B2062</f>
        <v>9.7972278082603648</v>
      </c>
      <c r="G149" s="43">
        <f>F149*S14</f>
        <v>41.706007506190609</v>
      </c>
      <c r="H149" s="5"/>
      <c r="I149" s="5"/>
      <c r="J149" s="5"/>
      <c r="K149" s="5"/>
      <c r="L149" s="5">
        <f t="shared" si="62"/>
        <v>0</v>
      </c>
      <c r="M149" s="5">
        <f>GREET!B2064</f>
        <v>2.3105646309218697</v>
      </c>
      <c r="N149">
        <v>29.7</v>
      </c>
      <c r="O149" s="29">
        <f t="shared" si="60"/>
        <v>0.71212762323488998</v>
      </c>
      <c r="P149" s="29">
        <f t="shared" si="61"/>
        <v>0.71212762323488998</v>
      </c>
      <c r="Q149" s="5">
        <f>GREET!B2066</f>
        <v>-2.8328956406869219</v>
      </c>
      <c r="R149" s="5"/>
      <c r="S149" s="5">
        <f>GREET!B2067</f>
        <v>-1.0295355614266841E-2</v>
      </c>
      <c r="T149" s="5">
        <f>GREET!B2068</f>
        <v>-2.5585487714663145E-2</v>
      </c>
      <c r="U149" s="5">
        <f>GREET!B2069</f>
        <v>0</v>
      </c>
    </row>
    <row r="150" spans="2:23" x14ac:dyDescent="0.2">
      <c r="B150" t="s">
        <v>490</v>
      </c>
      <c r="C150" t="s">
        <v>1035</v>
      </c>
      <c r="D150" t="s">
        <v>21</v>
      </c>
      <c r="E150">
        <v>1</v>
      </c>
      <c r="F150" s="42">
        <f>GREET!B2229</f>
        <v>5.2533943998015999</v>
      </c>
      <c r="G150" s="43">
        <f>F150*S15</f>
        <v>21.564587252543895</v>
      </c>
      <c r="H150" s="5"/>
      <c r="I150" s="5"/>
      <c r="J150" s="5"/>
      <c r="K150" s="5"/>
      <c r="L150" s="5">
        <f t="shared" si="62"/>
        <v>0</v>
      </c>
      <c r="M150" s="5">
        <f>GREET!B2234</f>
        <v>0.27036139143750515</v>
      </c>
      <c r="N150">
        <v>29.7</v>
      </c>
      <c r="O150" s="29">
        <f t="shared" si="60"/>
        <v>1.377257985612333</v>
      </c>
      <c r="P150" s="29">
        <f t="shared" si="61"/>
        <v>1.377257985612333</v>
      </c>
      <c r="Q150" s="5">
        <f>GREET!B2236</f>
        <v>-0.51905151915455749</v>
      </c>
      <c r="R150" s="5"/>
      <c r="S150" s="5"/>
      <c r="T150" s="5"/>
      <c r="U150" s="5"/>
    </row>
    <row r="151" spans="2:23" x14ac:dyDescent="0.2">
      <c r="B151" t="s">
        <v>491</v>
      </c>
      <c r="C151" t="s">
        <v>1035</v>
      </c>
      <c r="D151" t="s">
        <v>1026</v>
      </c>
      <c r="E151">
        <v>1</v>
      </c>
      <c r="F151" s="42">
        <f>GREET!B2452</f>
        <v>2.9948381591636335</v>
      </c>
      <c r="G151" s="43">
        <f>F151*R16</f>
        <v>47.437620300737819</v>
      </c>
      <c r="H151" s="5"/>
      <c r="I151" s="5">
        <f>GREET!B2453</f>
        <v>8.0592744660481888</v>
      </c>
      <c r="J151" s="5"/>
      <c r="K151" s="5">
        <f>GREET!B2454</f>
        <v>0.20863796728352582</v>
      </c>
      <c r="L151" s="5">
        <f t="shared" si="62"/>
        <v>8.8103711482688816</v>
      </c>
      <c r="M151" s="5">
        <f>GREET!B2460</f>
        <v>2.5072795743732721</v>
      </c>
      <c r="N151">
        <v>29.7</v>
      </c>
      <c r="O151" s="29">
        <f t="shared" si="60"/>
        <v>0.62608536877930321</v>
      </c>
      <c r="P151" s="29">
        <f t="shared" si="61"/>
        <v>0.52801885427189732</v>
      </c>
      <c r="Q151" s="5"/>
      <c r="R151" s="5">
        <f>GREET!B2462</f>
        <v>-0.14373294505680315</v>
      </c>
      <c r="S151" s="5"/>
      <c r="T151" s="5"/>
      <c r="U151" s="5"/>
      <c r="V151" s="4">
        <f>GREET!B2463</f>
        <v>-2.8880557910350428E-2</v>
      </c>
    </row>
    <row r="152" spans="2:23" x14ac:dyDescent="0.2">
      <c r="B152" t="s">
        <v>562</v>
      </c>
      <c r="C152" t="s">
        <v>1035</v>
      </c>
      <c r="D152" t="s">
        <v>21</v>
      </c>
      <c r="E152">
        <v>1</v>
      </c>
      <c r="F152" s="42">
        <f>GREET!B2523</f>
        <v>2.9948381591636335</v>
      </c>
      <c r="G152" s="43">
        <f>F152*R17</f>
        <v>58.698827919607218</v>
      </c>
      <c r="H152" s="5"/>
      <c r="I152" s="5">
        <f>GREET!B2524</f>
        <v>8.0592744660481888</v>
      </c>
      <c r="J152" s="5"/>
      <c r="K152" s="5">
        <f>GREET!B2525</f>
        <v>0.39823747471145238</v>
      </c>
      <c r="L152" s="5">
        <f t="shared" si="62"/>
        <v>9.4929293750094175</v>
      </c>
      <c r="M152" s="5">
        <f>GREET!B2531</f>
        <v>6.2681989359331863E-2</v>
      </c>
      <c r="N152">
        <v>29.7</v>
      </c>
      <c r="O152" s="29">
        <f>N152/G152</f>
        <v>0.50597262420088773</v>
      </c>
      <c r="P152" s="29">
        <f t="shared" si="61"/>
        <v>0.43553651025128592</v>
      </c>
      <c r="Q152" s="5"/>
      <c r="R152" s="5">
        <f>GREET!B2533</f>
        <v>-0.14373294505680315</v>
      </c>
      <c r="S152" s="5"/>
      <c r="T152" s="5"/>
      <c r="U152" s="5"/>
      <c r="V152" s="4">
        <f>GREET!B2534</f>
        <v>-2.8880557910350428E-2</v>
      </c>
      <c r="W152" s="5">
        <f>GREET!B2535</f>
        <v>-2.4445975850139403</v>
      </c>
    </row>
    <row r="153" spans="2:23" x14ac:dyDescent="0.2">
      <c r="B153" t="s">
        <v>487</v>
      </c>
      <c r="C153" t="s">
        <v>264</v>
      </c>
      <c r="D153" t="s">
        <v>469</v>
      </c>
      <c r="E153">
        <v>1</v>
      </c>
      <c r="F153" s="42">
        <f>'Pereira et al. 2019'!B138</f>
        <v>4.0164944036844634</v>
      </c>
      <c r="G153" s="43">
        <f>F153*S17</f>
        <v>21.255288384298183</v>
      </c>
      <c r="H153" s="5"/>
      <c r="I153" s="5"/>
      <c r="J153" s="5"/>
      <c r="K153" s="5"/>
      <c r="L153" s="5">
        <f t="shared" si="62"/>
        <v>0</v>
      </c>
      <c r="M153" s="5">
        <f>'Pereira et al. 2019'!B144</f>
        <v>8.9767265776586003E-2</v>
      </c>
      <c r="N153">
        <v>29.7</v>
      </c>
      <c r="O153" s="29">
        <f t="shared" si="60"/>
        <v>1.3972993197278913</v>
      </c>
      <c r="P153" s="29">
        <f t="shared" si="61"/>
        <v>1.3972993197278913</v>
      </c>
      <c r="Q153" s="5">
        <f>'Pereira et al. 2019'!B145</f>
        <v>-0.1048305039361645</v>
      </c>
      <c r="R153" s="5"/>
      <c r="S153" s="5"/>
      <c r="T153" s="5"/>
      <c r="U153" s="5"/>
    </row>
    <row r="154" spans="2:23" x14ac:dyDescent="0.2">
      <c r="B154" t="s">
        <v>492</v>
      </c>
      <c r="C154" t="s">
        <v>264</v>
      </c>
      <c r="D154" t="s">
        <v>469</v>
      </c>
      <c r="E154">
        <v>1</v>
      </c>
      <c r="F154" s="42">
        <f>'Pereira et al. 2019'!B201</f>
        <v>4.4550000000000001</v>
      </c>
      <c r="G154" s="43">
        <f>F154*S18</f>
        <v>62.860050000000008</v>
      </c>
      <c r="H154" s="5"/>
      <c r="I154" s="5"/>
      <c r="J154" s="5"/>
      <c r="K154" s="5"/>
      <c r="L154" s="5">
        <f t="shared" si="62"/>
        <v>0</v>
      </c>
      <c r="M154" s="5">
        <f>'Pereira et al. 2019'!B208</f>
        <v>4.4659609499999995</v>
      </c>
      <c r="N154">
        <v>29.7</v>
      </c>
      <c r="O154" s="29">
        <f t="shared" si="60"/>
        <v>0.47247814788566023</v>
      </c>
      <c r="P154" s="29">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1035</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42">
        <f t="shared" si="63"/>
        <v>1</v>
      </c>
      <c r="O159" s="29">
        <f t="shared" ref="O159:O172" si="64">N159/G159</f>
        <v>0.46551768033530871</v>
      </c>
      <c r="P159" s="29">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1035</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42">
        <f t="shared" si="66"/>
        <v>1</v>
      </c>
      <c r="O160" s="29">
        <f t="shared" si="64"/>
        <v>0.42220691366716084</v>
      </c>
      <c r="P160" s="29">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1035</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42">
        <f t="shared" si="68"/>
        <v>1</v>
      </c>
      <c r="O161" s="29">
        <f t="shared" si="64"/>
        <v>0.43682345594987043</v>
      </c>
      <c r="P161" s="29">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1035</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42">
        <f t="shared" si="69"/>
        <v>1</v>
      </c>
      <c r="O162" s="29">
        <f t="shared" si="64"/>
        <v>0.38899496372284142</v>
      </c>
      <c r="P162" s="29">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1035</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42">
        <f t="shared" si="70"/>
        <v>1</v>
      </c>
      <c r="O163" s="29">
        <f t="shared" si="64"/>
        <v>0.43836096518082429</v>
      </c>
      <c r="P163" s="29">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1035</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42">
        <f t="shared" si="71"/>
        <v>1</v>
      </c>
      <c r="O164" s="29">
        <f t="shared" si="64"/>
        <v>0.45700828539033739</v>
      </c>
      <c r="P164" s="29">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1035</v>
      </c>
      <c r="D165" t="s">
        <v>21</v>
      </c>
      <c r="E165">
        <v>1</v>
      </c>
      <c r="F165" s="5">
        <f t="shared" ref="F165:N165" si="72">F147/29.7</f>
        <v>0.13171247146174092</v>
      </c>
      <c r="G165" s="5">
        <f t="shared" si="72"/>
        <v>0.4301551794254177</v>
      </c>
      <c r="H165" s="4">
        <f t="shared" si="72"/>
        <v>3.5685960366634026E-3</v>
      </c>
      <c r="I165" s="4">
        <f t="shared" si="72"/>
        <v>0</v>
      </c>
      <c r="J165" s="4">
        <f t="shared" si="72"/>
        <v>0</v>
      </c>
      <c r="K165" s="4">
        <f t="shared" si="72"/>
        <v>0</v>
      </c>
      <c r="L165" s="4">
        <f t="shared" si="72"/>
        <v>3.5685960366634026E-3</v>
      </c>
      <c r="M165" s="4">
        <f t="shared" si="72"/>
        <v>-6.4909570012784464E-3</v>
      </c>
      <c r="N165" s="42">
        <f t="shared" si="72"/>
        <v>1</v>
      </c>
      <c r="O165" s="29">
        <f t="shared" si="64"/>
        <v>2.324742436754466</v>
      </c>
      <c r="P165" s="29">
        <f t="shared" si="67"/>
        <v>2.3056149018684042</v>
      </c>
      <c r="Q165" s="4">
        <f t="shared" si="65"/>
        <v>-3.2798233323992905E-2</v>
      </c>
      <c r="R165" s="4">
        <f t="shared" si="65"/>
        <v>0</v>
      </c>
      <c r="S165" s="4">
        <f t="shared" si="65"/>
        <v>0</v>
      </c>
      <c r="T165" s="4">
        <f t="shared" si="65"/>
        <v>0</v>
      </c>
      <c r="U165" s="4">
        <f t="shared" si="65"/>
        <v>0</v>
      </c>
    </row>
    <row r="166" spans="2:23" x14ac:dyDescent="0.2">
      <c r="B166" t="s">
        <v>488</v>
      </c>
      <c r="C166" t="s">
        <v>1035</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42">
        <f t="shared" si="73"/>
        <v>1</v>
      </c>
      <c r="O166" s="29">
        <f t="shared" si="64"/>
        <v>0.72762967178083815</v>
      </c>
      <c r="P166" s="29">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1035</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42">
        <f t="shared" si="74"/>
        <v>1</v>
      </c>
      <c r="O167" s="29">
        <f t="shared" si="64"/>
        <v>0.71212762323488998</v>
      </c>
      <c r="P167" s="29">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1035</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42">
        <f t="shared" si="75"/>
        <v>1</v>
      </c>
      <c r="O168" s="29">
        <f t="shared" si="64"/>
        <v>1.377257985612333</v>
      </c>
      <c r="P168" s="29">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1035</v>
      </c>
      <c r="D169" t="s">
        <v>1026</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42">
        <f t="shared" si="76"/>
        <v>1</v>
      </c>
      <c r="O169" s="29">
        <f t="shared" si="64"/>
        <v>0.62608536877930321</v>
      </c>
      <c r="P169" s="29">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1035</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42">
        <f t="shared" si="76"/>
        <v>1</v>
      </c>
      <c r="O170" s="29">
        <f>N170/G170</f>
        <v>0.50597262420088773</v>
      </c>
      <c r="P170" s="29">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42">
        <f t="shared" si="78"/>
        <v>1</v>
      </c>
      <c r="O171" s="29">
        <f t="shared" si="64"/>
        <v>1.3972993197278913</v>
      </c>
      <c r="P171" s="29">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42">
        <f t="shared" si="80"/>
        <v>1</v>
      </c>
      <c r="O172" s="29">
        <f t="shared" si="64"/>
        <v>0.47247814788566023</v>
      </c>
      <c r="P172" s="29">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8"/>
  <sheetViews>
    <sheetView topLeftCell="A739" zoomScale="131" zoomScaleNormal="78" workbookViewId="0">
      <selection activeCell="B764" sqref="B76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1035</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1039</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1035</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1036</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1036</v>
      </c>
      <c r="D19" t="s">
        <v>8</v>
      </c>
      <c r="F19" t="s">
        <v>20</v>
      </c>
      <c r="H19" t="s">
        <v>43</v>
      </c>
    </row>
    <row r="20" spans="1:8" x14ac:dyDescent="0.2">
      <c r="A20" t="s">
        <v>44</v>
      </c>
      <c r="B20" s="6">
        <f>2.307/1000</f>
        <v>2.307E-3</v>
      </c>
      <c r="C20" t="s">
        <v>1036</v>
      </c>
      <c r="D20" t="s">
        <v>8</v>
      </c>
      <c r="F20" t="s">
        <v>20</v>
      </c>
      <c r="H20" t="s">
        <v>45</v>
      </c>
    </row>
    <row r="21" spans="1:8" x14ac:dyDescent="0.2">
      <c r="A21" t="s">
        <v>46</v>
      </c>
      <c r="B21" s="6">
        <f>3.2/1000</f>
        <v>3.2000000000000002E-3</v>
      </c>
      <c r="C21" t="s">
        <v>1036</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1042</v>
      </c>
      <c r="H24" t="s">
        <v>55</v>
      </c>
    </row>
    <row r="25" spans="1:8" x14ac:dyDescent="0.2">
      <c r="A25" t="s">
        <v>1031</v>
      </c>
      <c r="B25" s="6">
        <f>0.466*(44/12)*0.85</f>
        <v>1.4523666666666668</v>
      </c>
      <c r="D25" t="s">
        <v>8</v>
      </c>
      <c r="E25" t="s">
        <v>1032</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1040</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1041</v>
      </c>
    </row>
    <row r="34" spans="1:8" ht="16" x14ac:dyDescent="0.2">
      <c r="A34" s="1" t="s">
        <v>1</v>
      </c>
      <c r="B34" s="71" t="s">
        <v>380</v>
      </c>
    </row>
    <row r="35" spans="1:8" x14ac:dyDescent="0.2">
      <c r="A35" t="s">
        <v>2</v>
      </c>
      <c r="B35" s="6" t="s">
        <v>1035</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1035</v>
      </c>
      <c r="D45" t="s">
        <v>8</v>
      </c>
      <c r="F45" t="s">
        <v>17</v>
      </c>
      <c r="G45" t="s">
        <v>18</v>
      </c>
      <c r="H45" s="2" t="s">
        <v>381</v>
      </c>
    </row>
    <row r="46" spans="1:8" ht="16" x14ac:dyDescent="0.2">
      <c r="A46" s="2" t="s">
        <v>63</v>
      </c>
      <c r="B46" s="6">
        <f>(1/((Parameters!C23*Parameters!B4*Parameters!B12)/1000))*Parameters!F35</f>
        <v>3.6117899478066171</v>
      </c>
      <c r="C46" t="s">
        <v>1035</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1035</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1035</v>
      </c>
      <c r="D70" t="s">
        <v>8</v>
      </c>
      <c r="F70" t="s">
        <v>17</v>
      </c>
      <c r="G70" t="s">
        <v>18</v>
      </c>
      <c r="H70" s="2" t="s">
        <v>381</v>
      </c>
    </row>
    <row r="71" spans="1:8" ht="16" x14ac:dyDescent="0.2">
      <c r="A71" s="2" t="s">
        <v>63</v>
      </c>
      <c r="B71" s="6">
        <f>(1/((Parameters!C23*Parameters!B4*Parameters!B12)/1000))*Parameters!G35</f>
        <v>3.902331224292801</v>
      </c>
      <c r="C71" t="s">
        <v>1035</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1035</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1035</v>
      </c>
      <c r="D94" t="s">
        <v>8</v>
      </c>
      <c r="F94" t="s">
        <v>17</v>
      </c>
      <c r="G94" t="s">
        <v>18</v>
      </c>
      <c r="H94" s="2" t="s">
        <v>381</v>
      </c>
    </row>
    <row r="95" spans="1:8" ht="16" x14ac:dyDescent="0.2">
      <c r="A95" s="2" t="s">
        <v>63</v>
      </c>
      <c r="B95" s="6">
        <f>(1/((Parameters!C23*Parameters!B4*Parameters!B12)/1000))</f>
        <v>4.1856906305826644</v>
      </c>
      <c r="C95" t="s">
        <v>1035</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9" ht="16" x14ac:dyDescent="0.2">
      <c r="A97" s="2" t="s">
        <v>252</v>
      </c>
      <c r="B97" s="6">
        <f>((346.23/1000)/(Parameters!$B$4*Parameters!$B$12))</f>
        <v>0.11593693336213089</v>
      </c>
      <c r="C97" t="s">
        <v>31</v>
      </c>
      <c r="D97" t="s">
        <v>8</v>
      </c>
      <c r="F97" t="s">
        <v>20</v>
      </c>
      <c r="H97" s="2" t="s">
        <v>253</v>
      </c>
    </row>
    <row r="98" spans="1:9" ht="16" x14ac:dyDescent="0.2">
      <c r="A98" s="2" t="s">
        <v>254</v>
      </c>
      <c r="B98" s="6">
        <f>((41.55/1000)/(Parameters!$B$4*Parameters!$B$12))</f>
        <v>1.3913235656056776E-2</v>
      </c>
      <c r="C98" t="s">
        <v>255</v>
      </c>
      <c r="D98" t="s">
        <v>8</v>
      </c>
      <c r="F98" t="s">
        <v>20</v>
      </c>
      <c r="H98" s="2" t="s">
        <v>256</v>
      </c>
    </row>
    <row r="99" spans="1:9" ht="16" x14ac:dyDescent="0.2">
      <c r="A99" s="2" t="s">
        <v>257</v>
      </c>
      <c r="B99" s="6">
        <f>((20.77/1000)/(Parameters!$B$4*Parameters!$B$12))</f>
        <v>6.9549435517761559E-3</v>
      </c>
      <c r="C99" t="s">
        <v>31</v>
      </c>
      <c r="D99" t="s">
        <v>8</v>
      </c>
      <c r="F99" t="s">
        <v>20</v>
      </c>
      <c r="H99" s="2" t="s">
        <v>414</v>
      </c>
    </row>
    <row r="100" spans="1:9" ht="16" x14ac:dyDescent="0.2">
      <c r="A100" s="2" t="s">
        <v>370</v>
      </c>
      <c r="B100" s="6">
        <f>((76.17/1000)/(Parameters!$B$4*Parameters!$B$12))</f>
        <v>2.5505924426518525E-2</v>
      </c>
      <c r="C100" t="s">
        <v>31</v>
      </c>
      <c r="D100" t="s">
        <v>8</v>
      </c>
      <c r="F100" t="s">
        <v>20</v>
      </c>
      <c r="H100" s="2" t="s">
        <v>371</v>
      </c>
    </row>
    <row r="101" spans="1:9" ht="16" x14ac:dyDescent="0.2">
      <c r="A101" s="2" t="s">
        <v>315</v>
      </c>
      <c r="B101" s="6">
        <f>((106.73/1000)/(Parameters!$B$4*Parameters!$B$12))</f>
        <v>3.5739100880167025E-2</v>
      </c>
      <c r="C101" t="s">
        <v>31</v>
      </c>
      <c r="D101" t="s">
        <v>8</v>
      </c>
      <c r="F101" t="s">
        <v>20</v>
      </c>
      <c r="G101" t="s">
        <v>314</v>
      </c>
      <c r="H101" s="2" t="s">
        <v>316</v>
      </c>
    </row>
    <row r="102" spans="1:9" ht="16" x14ac:dyDescent="0.2">
      <c r="A102" s="2" t="s">
        <v>384</v>
      </c>
      <c r="B102" s="6">
        <f>((26.58/1000)/(Parameters!$B$4*Parameters!$B$12))</f>
        <v>8.9004525568709778E-3</v>
      </c>
      <c r="C102" t="s">
        <v>26</v>
      </c>
      <c r="D102" t="s">
        <v>8</v>
      </c>
      <c r="F102" t="s">
        <v>20</v>
      </c>
      <c r="G102" t="s">
        <v>386</v>
      </c>
      <c r="H102" s="2" t="s">
        <v>385</v>
      </c>
    </row>
    <row r="103" spans="1:9" ht="16" x14ac:dyDescent="0.2">
      <c r="A103" s="2" t="s">
        <v>388</v>
      </c>
      <c r="B103" s="6">
        <f>((117.72/1000)/(Parameters!$B$4*Parameters!$B$12))</f>
        <v>3.9419160082575302E-2</v>
      </c>
      <c r="C103" t="s">
        <v>26</v>
      </c>
      <c r="D103" t="s">
        <v>8</v>
      </c>
      <c r="F103" t="s">
        <v>20</v>
      </c>
      <c r="G103" t="s">
        <v>390</v>
      </c>
      <c r="H103" s="2" t="s">
        <v>389</v>
      </c>
    </row>
    <row r="104" spans="1:9" x14ac:dyDescent="0.2">
      <c r="A104" t="s">
        <v>265</v>
      </c>
      <c r="B104" s="6">
        <f>(B25*B95)-Parameters!$B$15</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Parameters!C22/Parameters!B4*Parameters!B12*-1</f>
        <v>-0.37292496697490091</v>
      </c>
      <c r="C106" t="s">
        <v>1036</v>
      </c>
      <c r="D106" s="35" t="s">
        <v>29</v>
      </c>
      <c r="E106" s="35"/>
      <c r="F106" s="35" t="s">
        <v>20</v>
      </c>
      <c r="G106" s="35" t="s">
        <v>505</v>
      </c>
      <c r="H106" s="35" t="s">
        <v>30</v>
      </c>
      <c r="I106" s="35"/>
    </row>
    <row r="107" spans="1:9" ht="16" x14ac:dyDescent="0.2">
      <c r="A107" s="2"/>
      <c r="H107" s="2"/>
    </row>
    <row r="109" spans="1:9" ht="16" x14ac:dyDescent="0.2">
      <c r="A109" s="1" t="s">
        <v>1</v>
      </c>
      <c r="B109" s="71" t="s">
        <v>1072</v>
      </c>
    </row>
    <row r="110" spans="1:9" x14ac:dyDescent="0.2">
      <c r="A110" t="s">
        <v>2</v>
      </c>
      <c r="B110" s="6" t="s">
        <v>1035</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1075</v>
      </c>
    </row>
    <row r="117" spans="1:8" x14ac:dyDescent="0.2">
      <c r="A117" t="s">
        <v>497</v>
      </c>
      <c r="B117" s="70">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1072</v>
      </c>
      <c r="B120" s="6">
        <v>1</v>
      </c>
      <c r="C120" t="s">
        <v>1035</v>
      </c>
      <c r="D120" t="s">
        <v>8</v>
      </c>
      <c r="F120" t="s">
        <v>17</v>
      </c>
      <c r="G120" t="s">
        <v>18</v>
      </c>
      <c r="H120" s="2" t="s">
        <v>381</v>
      </c>
    </row>
    <row r="121" spans="1:8" ht="16" x14ac:dyDescent="0.2">
      <c r="A121" s="2" t="s">
        <v>63</v>
      </c>
      <c r="B121" s="6">
        <f>(1/((Parameters!C23*Parameters!B4*Parameters!B12)/1000))*Parameters!F35</f>
        <v>3.6117899478066171</v>
      </c>
      <c r="C121" t="s">
        <v>1035</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9" ht="16" x14ac:dyDescent="0.2">
      <c r="A129" s="2" t="s">
        <v>388</v>
      </c>
      <c r="B129" s="6">
        <f>((117.72/1000)/(Parameters!$B$4*Parameters!$B$12))*Parameters!$F$35</f>
        <v>3.4014393012463603E-2</v>
      </c>
      <c r="C129" t="s">
        <v>26</v>
      </c>
      <c r="D129" t="s">
        <v>8</v>
      </c>
      <c r="F129" t="s">
        <v>20</v>
      </c>
      <c r="G129" t="s">
        <v>390</v>
      </c>
      <c r="H129" s="2" t="s">
        <v>389</v>
      </c>
    </row>
    <row r="130" spans="1:9" x14ac:dyDescent="0.2">
      <c r="A130" t="s">
        <v>265</v>
      </c>
      <c r="B130" s="6">
        <f>((B25*B121)-Parameters!$B$15)*(1-0.975)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180/1000*((B25*B121)-Parameters!$B$15)*0.975</f>
        <v>0.58470340392291054</v>
      </c>
      <c r="C132" t="s">
        <v>1036</v>
      </c>
      <c r="D132" s="35" t="s">
        <v>29</v>
      </c>
      <c r="E132" s="35"/>
      <c r="F132" s="35" t="s">
        <v>20</v>
      </c>
      <c r="G132" s="35" t="s">
        <v>505</v>
      </c>
      <c r="H132" s="35" t="s">
        <v>30</v>
      </c>
      <c r="I132" s="35"/>
    </row>
    <row r="133" spans="1:9" ht="16" x14ac:dyDescent="0.2">
      <c r="A133" s="2" t="s">
        <v>1067</v>
      </c>
      <c r="B133" s="6">
        <f>((B25*B121)-Parameters!$B$15)*0.975</f>
        <v>3.2483522440161696</v>
      </c>
      <c r="C133" t="s">
        <v>572</v>
      </c>
      <c r="D133" t="s">
        <v>8</v>
      </c>
      <c r="F133" s="35" t="s">
        <v>20</v>
      </c>
      <c r="G133" s="35" t="s">
        <v>1076</v>
      </c>
      <c r="H133" s="2" t="s">
        <v>1067</v>
      </c>
    </row>
    <row r="134" spans="1:9" ht="16" x14ac:dyDescent="0.2">
      <c r="A134" s="2"/>
      <c r="H134" s="2"/>
    </row>
    <row r="135" spans="1:9" ht="16" x14ac:dyDescent="0.2">
      <c r="A135" s="1" t="s">
        <v>1</v>
      </c>
      <c r="B135" s="71" t="s">
        <v>1073</v>
      </c>
    </row>
    <row r="136" spans="1:9" x14ac:dyDescent="0.2">
      <c r="A136" t="s">
        <v>2</v>
      </c>
      <c r="B136" s="6" t="s">
        <v>1035</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Summary!O121</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1073</v>
      </c>
      <c r="B146" s="6">
        <v>1</v>
      </c>
      <c r="C146" t="s">
        <v>1035</v>
      </c>
      <c r="D146" t="s">
        <v>8</v>
      </c>
      <c r="F146" t="s">
        <v>17</v>
      </c>
      <c r="G146" t="s">
        <v>18</v>
      </c>
      <c r="H146" s="2" t="s">
        <v>381</v>
      </c>
    </row>
    <row r="147" spans="1:9" ht="16" x14ac:dyDescent="0.2">
      <c r="A147" s="2" t="s">
        <v>63</v>
      </c>
      <c r="B147" s="6">
        <f>(1/((Parameters!C23*Parameters!B4*Parameters!B12)/1000))*Parameters!G35</f>
        <v>3.902331224292801</v>
      </c>
      <c r="C147" t="s">
        <v>1035</v>
      </c>
      <c r="D147" t="s">
        <v>8</v>
      </c>
      <c r="F147" t="s">
        <v>20</v>
      </c>
      <c r="G147" t="s">
        <v>18</v>
      </c>
      <c r="H147" s="2" t="s">
        <v>382</v>
      </c>
    </row>
    <row r="148" spans="1:9" ht="16" x14ac:dyDescent="0.2">
      <c r="A148" s="2" t="s">
        <v>221</v>
      </c>
      <c r="B148" s="6">
        <f>(180*Parameters!$B$3)/(Parameters!$B$4*Parameters!$B$12)*Parameters!G35</f>
        <v>5.9287357179998543E-2</v>
      </c>
      <c r="C148" t="s">
        <v>26</v>
      </c>
      <c r="D148" t="s">
        <v>19</v>
      </c>
      <c r="F148" t="s">
        <v>20</v>
      </c>
      <c r="H148" s="2" t="s">
        <v>222</v>
      </c>
    </row>
    <row r="149" spans="1:9" ht="16" x14ac:dyDescent="0.2">
      <c r="A149" s="2" t="s">
        <v>252</v>
      </c>
      <c r="B149" s="6">
        <f>((346.23/1000)/(Parameters!$B$4*Parameters!$B$12))*Parameters!$G$35</f>
        <v>0.10808833118295173</v>
      </c>
      <c r="C149" t="s">
        <v>31</v>
      </c>
      <c r="D149" t="s">
        <v>8</v>
      </c>
      <c r="F149" t="s">
        <v>20</v>
      </c>
      <c r="H149" s="2" t="s">
        <v>253</v>
      </c>
    </row>
    <row r="150" spans="1:9" ht="16" x14ac:dyDescent="0.2">
      <c r="A150" s="2" t="s">
        <v>254</v>
      </c>
      <c r="B150" s="6">
        <f>((41.55/1000)/(Parameters!$B$4*Parameters!$B$12))*Parameters!$G$35</f>
        <v>1.2971348989549271E-2</v>
      </c>
      <c r="C150" t="s">
        <v>255</v>
      </c>
      <c r="D150" t="s">
        <v>8</v>
      </c>
      <c r="F150" t="s">
        <v>20</v>
      </c>
      <c r="H150" s="2" t="s">
        <v>256</v>
      </c>
    </row>
    <row r="151" spans="1:9" ht="16" x14ac:dyDescent="0.2">
      <c r="A151" s="2" t="s">
        <v>257</v>
      </c>
      <c r="B151" s="6">
        <f>((20.77/1000)/(Parameters!$B$4*Parameters!$B$12))*Parameters!$G$35</f>
        <v>6.4841135622849188E-3</v>
      </c>
      <c r="C151" t="s">
        <v>31</v>
      </c>
      <c r="D151" t="s">
        <v>8</v>
      </c>
      <c r="F151" t="s">
        <v>20</v>
      </c>
      <c r="H151" s="2" t="s">
        <v>414</v>
      </c>
    </row>
    <row r="152" spans="1:9" ht="16" x14ac:dyDescent="0.2">
      <c r="A152" s="2" t="s">
        <v>370</v>
      </c>
      <c r="B152" s="6">
        <f>((76.17/1000)/(Parameters!$B$4*Parameters!$B$12))*Parameters!$G$35</f>
        <v>2.3779245548350612E-2</v>
      </c>
      <c r="C152" t="s">
        <v>31</v>
      </c>
      <c r="D152" t="s">
        <v>8</v>
      </c>
      <c r="F152" t="s">
        <v>20</v>
      </c>
      <c r="H152" s="2" t="s">
        <v>371</v>
      </c>
    </row>
    <row r="153" spans="1:9" ht="16" x14ac:dyDescent="0.2">
      <c r="A153" s="2" t="s">
        <v>315</v>
      </c>
      <c r="B153" s="6">
        <f>((106.73/1000)/(Parameters!$B$4*Parameters!$B$12))*Parameters!$G$35</f>
        <v>3.3319664925501653E-2</v>
      </c>
      <c r="C153" t="s">
        <v>31</v>
      </c>
      <c r="D153" t="s">
        <v>8</v>
      </c>
      <c r="F153" t="s">
        <v>20</v>
      </c>
      <c r="G153" t="s">
        <v>314</v>
      </c>
      <c r="H153" s="2" t="s">
        <v>316</v>
      </c>
    </row>
    <row r="154" spans="1:9" ht="16" x14ac:dyDescent="0.2">
      <c r="A154" s="2" t="s">
        <v>384</v>
      </c>
      <c r="B154" s="6">
        <f>((26.58/1000)/(Parameters!$B$4*Parameters!$B$12))*Parameters!$G$35</f>
        <v>8.2979171153362129E-3</v>
      </c>
      <c r="C154" t="s">
        <v>26</v>
      </c>
      <c r="D154" t="s">
        <v>8</v>
      </c>
      <c r="F154" t="s">
        <v>20</v>
      </c>
      <c r="G154" t="s">
        <v>386</v>
      </c>
      <c r="H154" s="2" t="s">
        <v>385</v>
      </c>
    </row>
    <row r="155" spans="1:9" ht="16" x14ac:dyDescent="0.2">
      <c r="A155" s="2" t="s">
        <v>388</v>
      </c>
      <c r="B155" s="6">
        <f>((117.72/1000)/(Parameters!$B$4*Parameters!$B$12))*Parameters!G$35</f>
        <v>3.6750594537899889E-2</v>
      </c>
      <c r="C155" t="s">
        <v>26</v>
      </c>
      <c r="D155" t="s">
        <v>8</v>
      </c>
      <c r="F155" t="s">
        <v>20</v>
      </c>
      <c r="G155" t="s">
        <v>390</v>
      </c>
      <c r="H155" s="2" t="s">
        <v>389</v>
      </c>
    </row>
    <row r="156" spans="1:9" x14ac:dyDescent="0.2">
      <c r="A156" t="s">
        <v>265</v>
      </c>
      <c r="B156" s="6">
        <f>((B25*B147)-Parameters!$B$15)*(1-0.975)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180/1000*((B25*B147)-Parameters!$B$15)*0.975</f>
        <v>0.65875957157592058</v>
      </c>
      <c r="C158" t="s">
        <v>1036</v>
      </c>
      <c r="D158" s="35" t="s">
        <v>29</v>
      </c>
      <c r="E158" s="35"/>
      <c r="F158" s="35" t="s">
        <v>20</v>
      </c>
      <c r="G158" s="35" t="s">
        <v>505</v>
      </c>
      <c r="H158" s="35" t="s">
        <v>30</v>
      </c>
      <c r="I158" s="35"/>
    </row>
    <row r="159" spans="1:9" ht="16" x14ac:dyDescent="0.2">
      <c r="A159" s="2" t="s">
        <v>1067</v>
      </c>
      <c r="B159" s="6">
        <f>((B25*B147)-Parameters!$B$15)*0.975</f>
        <v>3.6597753976440037</v>
      </c>
      <c r="C159" t="s">
        <v>572</v>
      </c>
      <c r="D159" t="s">
        <v>8</v>
      </c>
      <c r="F159" s="35" t="s">
        <v>20</v>
      </c>
      <c r="G159" s="35" t="s">
        <v>1076</v>
      </c>
      <c r="H159" s="2" t="s">
        <v>1067</v>
      </c>
    </row>
    <row r="160" spans="1:9" ht="16" x14ac:dyDescent="0.2">
      <c r="A160" s="2"/>
      <c r="H160" s="2"/>
    </row>
    <row r="161" spans="1:8" ht="16" x14ac:dyDescent="0.2">
      <c r="A161" s="1" t="s">
        <v>1</v>
      </c>
      <c r="B161" s="71" t="s">
        <v>1074</v>
      </c>
    </row>
    <row r="162" spans="1:8" x14ac:dyDescent="0.2">
      <c r="A162" t="s">
        <v>2</v>
      </c>
      <c r="B162" s="6" t="s">
        <v>1035</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1074</v>
      </c>
      <c r="B172" s="6">
        <v>1</v>
      </c>
      <c r="C172" t="s">
        <v>1035</v>
      </c>
      <c r="D172" t="s">
        <v>8</v>
      </c>
      <c r="F172" t="s">
        <v>17</v>
      </c>
      <c r="G172" t="s">
        <v>18</v>
      </c>
      <c r="H172" s="2" t="s">
        <v>381</v>
      </c>
    </row>
    <row r="173" spans="1:8" ht="16" x14ac:dyDescent="0.2">
      <c r="A173" s="2" t="s">
        <v>63</v>
      </c>
      <c r="B173" s="6">
        <f>(1/((Parameters!C23*Parameters!B4*Parameters!B12)/1000))</f>
        <v>4.1856906305826644</v>
      </c>
      <c r="C173" t="s">
        <v>1035</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9" ht="16" x14ac:dyDescent="0.2">
      <c r="A177" s="2" t="s">
        <v>257</v>
      </c>
      <c r="B177" s="6">
        <f>((20.77/1000)/(Parameters!$B$4*Parameters!$B$12))</f>
        <v>6.9549435517761559E-3</v>
      </c>
      <c r="C177" t="s">
        <v>31</v>
      </c>
      <c r="D177" t="s">
        <v>8</v>
      </c>
      <c r="F177" t="s">
        <v>20</v>
      </c>
      <c r="H177" s="2" t="s">
        <v>414</v>
      </c>
    </row>
    <row r="178" spans="1:9" ht="16" x14ac:dyDescent="0.2">
      <c r="A178" s="2" t="s">
        <v>370</v>
      </c>
      <c r="B178" s="6">
        <f>((76.17/1000)/(Parameters!$B$4*Parameters!$B$12))</f>
        <v>2.5505924426518525E-2</v>
      </c>
      <c r="C178" t="s">
        <v>31</v>
      </c>
      <c r="D178" t="s">
        <v>8</v>
      </c>
      <c r="F178" t="s">
        <v>20</v>
      </c>
      <c r="H178" s="2" t="s">
        <v>371</v>
      </c>
    </row>
    <row r="179" spans="1:9" ht="16" x14ac:dyDescent="0.2">
      <c r="A179" s="2" t="s">
        <v>315</v>
      </c>
      <c r="B179" s="6">
        <f>((106.73/1000)/(Parameters!$B$4*Parameters!$B$12))</f>
        <v>3.5739100880167025E-2</v>
      </c>
      <c r="C179" t="s">
        <v>31</v>
      </c>
      <c r="D179" t="s">
        <v>8</v>
      </c>
      <c r="F179" t="s">
        <v>20</v>
      </c>
      <c r="G179" t="s">
        <v>314</v>
      </c>
      <c r="H179" s="2" t="s">
        <v>316</v>
      </c>
    </row>
    <row r="180" spans="1:9" ht="16" x14ac:dyDescent="0.2">
      <c r="A180" s="2" t="s">
        <v>384</v>
      </c>
      <c r="B180" s="6">
        <f>((26.58/1000)/(Parameters!$B$4*Parameters!$B$12))</f>
        <v>8.9004525568709778E-3</v>
      </c>
      <c r="C180" t="s">
        <v>26</v>
      </c>
      <c r="D180" t="s">
        <v>8</v>
      </c>
      <c r="F180" t="s">
        <v>20</v>
      </c>
      <c r="G180" t="s">
        <v>386</v>
      </c>
      <c r="H180" s="2" t="s">
        <v>385</v>
      </c>
    </row>
    <row r="181" spans="1:9" ht="16" x14ac:dyDescent="0.2">
      <c r="A181" s="2" t="s">
        <v>388</v>
      </c>
      <c r="B181" s="6">
        <f>((117.72/1000)/(Parameters!$B$4*Parameters!$B$12))</f>
        <v>3.9419160082575302E-2</v>
      </c>
      <c r="C181" t="s">
        <v>26</v>
      </c>
      <c r="D181" t="s">
        <v>8</v>
      </c>
      <c r="F181" t="s">
        <v>20</v>
      </c>
      <c r="G181" t="s">
        <v>390</v>
      </c>
      <c r="H181" s="2" t="s">
        <v>389</v>
      </c>
    </row>
    <row r="182" spans="1:9" x14ac:dyDescent="0.2">
      <c r="A182" t="s">
        <v>265</v>
      </c>
      <c r="B182" s="6">
        <f>((B25*B173)-Parameters!$B$15)*(1-0.975)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(Parameters!C22/Parameters!B4*Parameters!B12*-1)+(180/1000*((B25*B173)-Parameters!$B$15)*0.975)</f>
        <v>0.3580601828460353</v>
      </c>
      <c r="C184" t="s">
        <v>1036</v>
      </c>
      <c r="D184" s="35" t="s">
        <v>29</v>
      </c>
      <c r="E184" s="35"/>
      <c r="F184" s="35" t="s">
        <v>20</v>
      </c>
      <c r="G184" s="35" t="s">
        <v>505</v>
      </c>
      <c r="H184" s="35" t="s">
        <v>30</v>
      </c>
      <c r="I184" s="35"/>
    </row>
    <row r="185" spans="1:9" ht="16" x14ac:dyDescent="0.2">
      <c r="A185" s="2" t="s">
        <v>1067</v>
      </c>
      <c r="B185" s="6">
        <f>((B25*B173)-Parameters!$B$15)*0.975</f>
        <v>4.0610286101163116</v>
      </c>
      <c r="C185" t="s">
        <v>572</v>
      </c>
      <c r="D185" t="s">
        <v>8</v>
      </c>
      <c r="F185" s="35" t="s">
        <v>20</v>
      </c>
      <c r="G185" s="35" t="s">
        <v>1076</v>
      </c>
      <c r="H185" s="2" t="s">
        <v>1067</v>
      </c>
    </row>
    <row r="186" spans="1:9" ht="16" x14ac:dyDescent="0.2">
      <c r="A186" s="2"/>
      <c r="H186" s="2"/>
    </row>
    <row r="187" spans="1:9" ht="16" x14ac:dyDescent="0.2">
      <c r="A187" s="1" t="s">
        <v>1</v>
      </c>
      <c r="B187" s="71" t="s">
        <v>391</v>
      </c>
    </row>
    <row r="188" spans="1:9" x14ac:dyDescent="0.2">
      <c r="A188" t="s">
        <v>2</v>
      </c>
      <c r="B188" s="6" t="s">
        <v>1035</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1035</v>
      </c>
      <c r="D197" s="35" t="s">
        <v>8</v>
      </c>
      <c r="E197" s="35"/>
      <c r="F197" s="35" t="s">
        <v>17</v>
      </c>
      <c r="G197" s="35"/>
      <c r="H197" s="35"/>
      <c r="I197" s="35" t="s">
        <v>18</v>
      </c>
      <c r="J197" s="35" t="s">
        <v>337</v>
      </c>
    </row>
    <row r="198" spans="1:10" ht="16" x14ac:dyDescent="0.2">
      <c r="A198" s="2" t="s">
        <v>380</v>
      </c>
      <c r="B198" s="6">
        <v>1.00057</v>
      </c>
      <c r="C198" t="s">
        <v>1035</v>
      </c>
      <c r="D198" t="s">
        <v>8</v>
      </c>
      <c r="F198" s="35" t="s">
        <v>20</v>
      </c>
      <c r="G198" t="s">
        <v>18</v>
      </c>
      <c r="I198" s="35"/>
      <c r="J198" s="2" t="s">
        <v>381</v>
      </c>
    </row>
    <row r="199" spans="1:10" x14ac:dyDescent="0.2">
      <c r="A199" s="35" t="s">
        <v>28</v>
      </c>
      <c r="B199" s="36">
        <v>6.7000000000000002E-3</v>
      </c>
      <c r="C199" t="s">
        <v>1036</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1035</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1035</v>
      </c>
      <c r="D220" s="35" t="s">
        <v>8</v>
      </c>
      <c r="E220" s="35"/>
      <c r="F220" s="35" t="s">
        <v>17</v>
      </c>
      <c r="G220" s="35"/>
      <c r="H220" s="35"/>
      <c r="I220" s="35" t="s">
        <v>18</v>
      </c>
      <c r="J220" s="35" t="s">
        <v>337</v>
      </c>
    </row>
    <row r="221" spans="1:10" ht="16" x14ac:dyDescent="0.2">
      <c r="A221" s="2" t="s">
        <v>383</v>
      </c>
      <c r="B221" s="6">
        <v>1.00057</v>
      </c>
      <c r="C221" t="s">
        <v>1035</v>
      </c>
      <c r="D221" t="s">
        <v>8</v>
      </c>
      <c r="F221" s="35" t="s">
        <v>20</v>
      </c>
      <c r="G221" t="s">
        <v>18</v>
      </c>
      <c r="I221" s="35"/>
      <c r="J221" s="2" t="s">
        <v>381</v>
      </c>
    </row>
    <row r="222" spans="1:10" x14ac:dyDescent="0.2">
      <c r="A222" s="35" t="s">
        <v>28</v>
      </c>
      <c r="B222" s="36">
        <v>6.7000000000000002E-3</v>
      </c>
      <c r="C222" t="s">
        <v>1036</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1035</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1035</v>
      </c>
      <c r="D243" s="35" t="s">
        <v>8</v>
      </c>
      <c r="E243" s="35"/>
      <c r="F243" s="35" t="s">
        <v>17</v>
      </c>
      <c r="G243" s="35"/>
      <c r="H243" s="35"/>
      <c r="I243" s="35" t="s">
        <v>18</v>
      </c>
      <c r="J243" s="35" t="s">
        <v>337</v>
      </c>
    </row>
    <row r="244" spans="1:10" ht="16" x14ac:dyDescent="0.2">
      <c r="A244" s="2" t="s">
        <v>503</v>
      </c>
      <c r="B244" s="6">
        <v>1.00057</v>
      </c>
      <c r="C244" t="s">
        <v>1035</v>
      </c>
      <c r="D244" t="s">
        <v>8</v>
      </c>
      <c r="F244" s="35" t="s">
        <v>20</v>
      </c>
      <c r="G244" t="s">
        <v>18</v>
      </c>
      <c r="I244" s="35"/>
      <c r="J244" s="2" t="s">
        <v>381</v>
      </c>
    </row>
    <row r="245" spans="1:10" x14ac:dyDescent="0.2">
      <c r="A245" s="35" t="s">
        <v>28</v>
      </c>
      <c r="B245" s="36">
        <v>6.7000000000000002E-3</v>
      </c>
      <c r="C245" t="s">
        <v>1036</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1077</v>
      </c>
    </row>
    <row r="257" spans="1:10" x14ac:dyDescent="0.2">
      <c r="A257" t="s">
        <v>2</v>
      </c>
      <c r="B257" s="6" t="s">
        <v>1035</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1077</v>
      </c>
      <c r="B266" s="36">
        <v>1</v>
      </c>
      <c r="C266" t="s">
        <v>1035</v>
      </c>
      <c r="D266" s="35" t="s">
        <v>8</v>
      </c>
      <c r="E266" s="35"/>
      <c r="F266" s="35" t="s">
        <v>17</v>
      </c>
      <c r="G266" s="35"/>
      <c r="H266" s="35"/>
      <c r="I266" s="35" t="s">
        <v>18</v>
      </c>
      <c r="J266" s="35" t="s">
        <v>337</v>
      </c>
    </row>
    <row r="267" spans="1:10" ht="16" x14ac:dyDescent="0.2">
      <c r="A267" s="78" t="s">
        <v>1072</v>
      </c>
      <c r="B267" s="6">
        <v>1.00057</v>
      </c>
      <c r="C267" t="s">
        <v>1035</v>
      </c>
      <c r="D267" t="s">
        <v>8</v>
      </c>
      <c r="F267" s="35" t="s">
        <v>20</v>
      </c>
      <c r="G267" t="s">
        <v>18</v>
      </c>
      <c r="I267" s="35"/>
      <c r="J267" s="2" t="s">
        <v>381</v>
      </c>
    </row>
    <row r="268" spans="1:10" x14ac:dyDescent="0.2">
      <c r="A268" s="35" t="s">
        <v>28</v>
      </c>
      <c r="B268" s="36">
        <v>6.7000000000000002E-3</v>
      </c>
      <c r="C268" t="s">
        <v>1036</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1078</v>
      </c>
    </row>
    <row r="280" spans="1:10" x14ac:dyDescent="0.2">
      <c r="A280" t="s">
        <v>2</v>
      </c>
      <c r="B280" s="6" t="s">
        <v>1035</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1078</v>
      </c>
      <c r="B289" s="36">
        <v>1</v>
      </c>
      <c r="C289" t="s">
        <v>1035</v>
      </c>
      <c r="D289" s="35" t="s">
        <v>8</v>
      </c>
      <c r="E289" s="35"/>
      <c r="F289" s="35" t="s">
        <v>17</v>
      </c>
      <c r="G289" s="35"/>
      <c r="H289" s="35"/>
      <c r="I289" s="35" t="s">
        <v>18</v>
      </c>
      <c r="J289" s="35" t="s">
        <v>337</v>
      </c>
    </row>
    <row r="290" spans="1:10" ht="16" x14ac:dyDescent="0.2">
      <c r="A290" s="78" t="s">
        <v>1073</v>
      </c>
      <c r="B290" s="6">
        <v>1.00057</v>
      </c>
      <c r="C290" t="s">
        <v>1035</v>
      </c>
      <c r="D290" t="s">
        <v>8</v>
      </c>
      <c r="F290" s="35" t="s">
        <v>20</v>
      </c>
      <c r="G290" t="s">
        <v>18</v>
      </c>
      <c r="I290" s="35"/>
      <c r="J290" s="2" t="s">
        <v>381</v>
      </c>
    </row>
    <row r="291" spans="1:10" x14ac:dyDescent="0.2">
      <c r="A291" s="35" t="s">
        <v>28</v>
      </c>
      <c r="B291" s="36">
        <v>6.7000000000000002E-3</v>
      </c>
      <c r="C291" t="s">
        <v>1036</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1079</v>
      </c>
    </row>
    <row r="303" spans="1:10" x14ac:dyDescent="0.2">
      <c r="A303" t="s">
        <v>2</v>
      </c>
      <c r="B303" s="6" t="s">
        <v>1035</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1079</v>
      </c>
      <c r="B312" s="36">
        <v>1</v>
      </c>
      <c r="C312" t="s">
        <v>1035</v>
      </c>
      <c r="D312" s="35" t="s">
        <v>8</v>
      </c>
      <c r="E312" s="35"/>
      <c r="F312" s="35" t="s">
        <v>17</v>
      </c>
      <c r="G312" s="35"/>
      <c r="H312" s="35"/>
      <c r="I312" s="35" t="s">
        <v>18</v>
      </c>
      <c r="J312" s="35" t="s">
        <v>337</v>
      </c>
    </row>
    <row r="313" spans="1:10" ht="16" x14ac:dyDescent="0.2">
      <c r="A313" s="78" t="s">
        <v>1074</v>
      </c>
      <c r="B313" s="6">
        <v>1.00057</v>
      </c>
      <c r="C313" t="s">
        <v>1035</v>
      </c>
      <c r="D313" t="s">
        <v>8</v>
      </c>
      <c r="F313" s="35" t="s">
        <v>20</v>
      </c>
      <c r="G313" t="s">
        <v>18</v>
      </c>
      <c r="I313" s="35"/>
      <c r="J313" s="2" t="s">
        <v>381</v>
      </c>
    </row>
    <row r="314" spans="1:10" x14ac:dyDescent="0.2">
      <c r="A314" s="35" t="s">
        <v>28</v>
      </c>
      <c r="B314" s="36">
        <v>6.7000000000000002E-3</v>
      </c>
      <c r="C314" t="s">
        <v>1036</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1035</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1035</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1036</v>
      </c>
      <c r="D340" t="s">
        <v>8</v>
      </c>
      <c r="F340" t="s">
        <v>20</v>
      </c>
      <c r="H340" t="s">
        <v>43</v>
      </c>
    </row>
    <row r="341" spans="1:8" x14ac:dyDescent="0.2">
      <c r="A341" t="s">
        <v>44</v>
      </c>
      <c r="B341" s="6">
        <f>0.591/1000</f>
        <v>5.9099999999999995E-4</v>
      </c>
      <c r="C341" t="s">
        <v>1036</v>
      </c>
      <c r="D341" t="s">
        <v>8</v>
      </c>
      <c r="F341" t="s">
        <v>20</v>
      </c>
      <c r="H341" t="s">
        <v>45</v>
      </c>
    </row>
    <row r="342" spans="1:8" x14ac:dyDescent="0.2">
      <c r="A342" t="s">
        <v>46</v>
      </c>
      <c r="B342" s="6">
        <f>0.5225/1000</f>
        <v>5.2249999999999996E-4</v>
      </c>
      <c r="C342" t="s">
        <v>1036</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985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1031</v>
      </c>
      <c r="B357" s="6">
        <f>0.501*(44/12)*0.85</f>
        <v>1.56145</v>
      </c>
      <c r="D357" t="s">
        <v>8</v>
      </c>
      <c r="E357" t="s">
        <v>1032</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1035</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1035</v>
      </c>
      <c r="D399" t="s">
        <v>8</v>
      </c>
      <c r="F399" t="s">
        <v>17</v>
      </c>
      <c r="G399" t="s">
        <v>18</v>
      </c>
      <c r="H399" s="2" t="s">
        <v>375</v>
      </c>
    </row>
    <row r="400" spans="1:8" ht="16" x14ac:dyDescent="0.2">
      <c r="A400" s="2" t="s">
        <v>64</v>
      </c>
      <c r="B400" s="6">
        <f>(1/((Parameters!C23*Parameters!B4*Parameters!B12)/1000))*Parameters!F35</f>
        <v>3.6117899478066171</v>
      </c>
      <c r="C400" t="s">
        <v>1035</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1035</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1035</v>
      </c>
      <c r="D421" t="s">
        <v>8</v>
      </c>
      <c r="F421" t="s">
        <v>17</v>
      </c>
      <c r="G421" t="s">
        <v>18</v>
      </c>
      <c r="H421" s="2" t="s">
        <v>375</v>
      </c>
    </row>
    <row r="422" spans="1:8" ht="16" x14ac:dyDescent="0.2">
      <c r="A422" s="2" t="s">
        <v>64</v>
      </c>
      <c r="B422" s="6">
        <f>(1/((Parameters!$C$23*Parameters!$B$4*Parameters!$B$12)/1000))*Parameters!$G$35</f>
        <v>3.902331224292801</v>
      </c>
      <c r="C422" t="s">
        <v>1035</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1100</v>
      </c>
    </row>
    <row r="434" spans="1:8" x14ac:dyDescent="0.2">
      <c r="A434" t="s">
        <v>2</v>
      </c>
      <c r="B434" s="6" t="s">
        <v>1035</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1100</v>
      </c>
      <c r="B444" s="6">
        <v>1</v>
      </c>
      <c r="C444" t="s">
        <v>1035</v>
      </c>
      <c r="D444" t="s">
        <v>8</v>
      </c>
      <c r="F444" t="s">
        <v>17</v>
      </c>
      <c r="G444" t="s">
        <v>18</v>
      </c>
      <c r="H444" s="2" t="s">
        <v>375</v>
      </c>
    </row>
    <row r="445" spans="1:8" ht="16" x14ac:dyDescent="0.2">
      <c r="A445" s="2" t="s">
        <v>64</v>
      </c>
      <c r="B445" s="6">
        <f>(1/((Parameters!$C$23*Parameters!$B$4*Parameters!$B$12)/1000))*Parameters!$G$35</f>
        <v>3.902331224292801</v>
      </c>
      <c r="C445" t="s">
        <v>1035</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9" ht="16" x14ac:dyDescent="0.2">
      <c r="A449" s="2" t="s">
        <v>257</v>
      </c>
      <c r="B449" s="6">
        <f>((20.77/1000)/(Parameters!$B$4*Parameters!$B$12))*Parameters!$G$35</f>
        <v>6.4841135622849188E-3</v>
      </c>
      <c r="C449" t="s">
        <v>31</v>
      </c>
      <c r="D449" t="s">
        <v>8</v>
      </c>
      <c r="F449" t="s">
        <v>20</v>
      </c>
      <c r="H449" s="2" t="s">
        <v>414</v>
      </c>
    </row>
    <row r="450" spans="1:9" ht="16" x14ac:dyDescent="0.2">
      <c r="A450" s="2" t="s">
        <v>370</v>
      </c>
      <c r="B450" s="6">
        <f>((76.17/1000)/(Parameters!$B$4*Parameters!$B$12))*Parameters!$G$35</f>
        <v>2.3779245548350612E-2</v>
      </c>
      <c r="C450" t="s">
        <v>31</v>
      </c>
      <c r="D450" t="s">
        <v>8</v>
      </c>
      <c r="F450" t="s">
        <v>20</v>
      </c>
      <c r="H450" s="2" t="s">
        <v>371</v>
      </c>
    </row>
    <row r="451" spans="1:9" ht="16" x14ac:dyDescent="0.2">
      <c r="A451" s="2" t="s">
        <v>388</v>
      </c>
      <c r="B451" s="6">
        <f>((117.72/1000)/(Parameters!$B$4*Parameters!$B$12))*Parameters!$G$35</f>
        <v>3.6750594537899889E-2</v>
      </c>
      <c r="C451" t="s">
        <v>26</v>
      </c>
      <c r="D451" t="s">
        <v>8</v>
      </c>
      <c r="F451" t="s">
        <v>20</v>
      </c>
      <c r="G451" t="s">
        <v>390</v>
      </c>
      <c r="H451" s="2" t="s">
        <v>389</v>
      </c>
    </row>
    <row r="452" spans="1:9" x14ac:dyDescent="0.2">
      <c r="A452" t="s">
        <v>265</v>
      </c>
      <c r="B452" s="6">
        <f>(($B$357*$B$445)-Parameters!$B$15)*(1-0.975)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(($B$357*$B$445)-Parameters!$B$15)*(0.975)*(180/1000)</f>
        <v>0.7334662883251849</v>
      </c>
      <c r="C454" t="s">
        <v>1036</v>
      </c>
      <c r="D454" s="35" t="s">
        <v>29</v>
      </c>
      <c r="E454" s="35"/>
      <c r="F454" s="35" t="s">
        <v>20</v>
      </c>
      <c r="G454" s="35" t="s">
        <v>1101</v>
      </c>
      <c r="H454" s="35" t="s">
        <v>30</v>
      </c>
      <c r="I454" s="35"/>
    </row>
    <row r="455" spans="1:9" x14ac:dyDescent="0.2">
      <c r="A455" t="s">
        <v>1067</v>
      </c>
      <c r="B455" s="6">
        <f>(($B$357*$B$445)-Parameters!$B$15)*(0.975)</f>
        <v>4.0748127129176943</v>
      </c>
      <c r="C455" t="s">
        <v>572</v>
      </c>
      <c r="D455" t="s">
        <v>8</v>
      </c>
      <c r="F455" s="35" t="s">
        <v>20</v>
      </c>
      <c r="H455" t="s">
        <v>1067</v>
      </c>
    </row>
    <row r="456" spans="1:9" ht="16" x14ac:dyDescent="0.2">
      <c r="A456" s="2"/>
      <c r="H456" s="2"/>
    </row>
    <row r="457" spans="1:9" ht="16" x14ac:dyDescent="0.2">
      <c r="A457" s="1" t="s">
        <v>1</v>
      </c>
      <c r="B457" s="71" t="s">
        <v>508</v>
      </c>
    </row>
    <row r="458" spans="1:9" x14ac:dyDescent="0.2">
      <c r="A458" t="s">
        <v>2</v>
      </c>
      <c r="B458" s="6" t="s">
        <v>1035</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Summary!O142</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1035</v>
      </c>
      <c r="D468" t="s">
        <v>8</v>
      </c>
      <c r="F468" t="s">
        <v>17</v>
      </c>
      <c r="G468" t="s">
        <v>18</v>
      </c>
      <c r="H468" s="2" t="s">
        <v>375</v>
      </c>
    </row>
    <row r="469" spans="1:9" ht="16" x14ac:dyDescent="0.2">
      <c r="A469" s="2" t="s">
        <v>64</v>
      </c>
      <c r="B469" s="6">
        <f>(1/((Parameters!C23*Parameters!B4*Parameters!B12)/1000))</f>
        <v>4.1856906305826644</v>
      </c>
      <c r="C469" t="s">
        <v>1035</v>
      </c>
      <c r="D469" t="s">
        <v>8</v>
      </c>
      <c r="F469" t="s">
        <v>20</v>
      </c>
      <c r="G469" t="s">
        <v>18</v>
      </c>
      <c r="H469" s="2" t="s">
        <v>376</v>
      </c>
    </row>
    <row r="470" spans="1:9" ht="16" x14ac:dyDescent="0.2">
      <c r="A470" s="2" t="s">
        <v>221</v>
      </c>
      <c r="B470" s="6">
        <f>(337*Parameters!$B$3)/(Parameters!$B$4*Parameters!$B$12)</f>
        <v>0.11905906957120109</v>
      </c>
      <c r="C470" t="s">
        <v>26</v>
      </c>
      <c r="D470" t="s">
        <v>19</v>
      </c>
      <c r="F470" t="s">
        <v>20</v>
      </c>
      <c r="H470" s="2" t="s">
        <v>222</v>
      </c>
    </row>
    <row r="471" spans="1:9" ht="16" x14ac:dyDescent="0.2">
      <c r="A471" s="2" t="s">
        <v>252</v>
      </c>
      <c r="B471" s="6">
        <f>((346.23/1000)/(Parameters!$B$4*Parameters!$B$12))</f>
        <v>0.11593693336213089</v>
      </c>
      <c r="C471" t="s">
        <v>31</v>
      </c>
      <c r="D471" t="s">
        <v>8</v>
      </c>
      <c r="F471" t="s">
        <v>20</v>
      </c>
      <c r="H471" s="2" t="s">
        <v>253</v>
      </c>
    </row>
    <row r="472" spans="1:9" ht="16" x14ac:dyDescent="0.2">
      <c r="A472" s="2" t="s">
        <v>254</v>
      </c>
      <c r="B472" s="6">
        <f>((41.55/1000)/(Parameters!$B$4*Parameters!$B$12))</f>
        <v>1.3913235656056776E-2</v>
      </c>
      <c r="C472" t="s">
        <v>255</v>
      </c>
      <c r="D472" t="s">
        <v>8</v>
      </c>
      <c r="F472" t="s">
        <v>20</v>
      </c>
      <c r="H472" s="2" t="s">
        <v>256</v>
      </c>
    </row>
    <row r="473" spans="1:9" ht="16" x14ac:dyDescent="0.2">
      <c r="A473" s="2" t="s">
        <v>257</v>
      </c>
      <c r="B473" s="6">
        <f>((20.77/1000)/(Parameters!$B$4*Parameters!$B$12))</f>
        <v>6.9549435517761559E-3</v>
      </c>
      <c r="C473" t="s">
        <v>31</v>
      </c>
      <c r="D473" t="s">
        <v>8</v>
      </c>
      <c r="F473" t="s">
        <v>20</v>
      </c>
      <c r="H473" s="2" t="s">
        <v>414</v>
      </c>
    </row>
    <row r="474" spans="1:9" ht="16" x14ac:dyDescent="0.2">
      <c r="A474" s="2" t="s">
        <v>370</v>
      </c>
      <c r="B474" s="6">
        <f>((76.17/1000)/(Parameters!$B$4*Parameters!$B$12))</f>
        <v>2.5505924426518525E-2</v>
      </c>
      <c r="C474" t="s">
        <v>31</v>
      </c>
      <c r="D474" t="s">
        <v>8</v>
      </c>
      <c r="F474" t="s">
        <v>20</v>
      </c>
      <c r="H474" s="2" t="s">
        <v>371</v>
      </c>
    </row>
    <row r="475" spans="1:9" ht="16" x14ac:dyDescent="0.2">
      <c r="A475" s="2" t="s">
        <v>315</v>
      </c>
      <c r="B475" s="6">
        <f>((106.73/1000)/(Parameters!$B$4*Parameters!$B$12))</f>
        <v>3.5739100880167025E-2</v>
      </c>
      <c r="C475" t="s">
        <v>31</v>
      </c>
      <c r="D475" t="s">
        <v>8</v>
      </c>
      <c r="F475" t="s">
        <v>20</v>
      </c>
      <c r="G475" t="s">
        <v>314</v>
      </c>
      <c r="H475" s="2" t="s">
        <v>316</v>
      </c>
    </row>
    <row r="476" spans="1:9" ht="16" x14ac:dyDescent="0.2">
      <c r="A476" s="2" t="s">
        <v>384</v>
      </c>
      <c r="B476" s="6">
        <f>((26.58/1000)/(Parameters!$B$4*Parameters!$B$12))</f>
        <v>8.9004525568709778E-3</v>
      </c>
      <c r="C476" t="s">
        <v>26</v>
      </c>
      <c r="D476" t="s">
        <v>8</v>
      </c>
      <c r="F476" t="s">
        <v>20</v>
      </c>
      <c r="G476" t="s">
        <v>386</v>
      </c>
      <c r="H476" s="2" t="s">
        <v>385</v>
      </c>
    </row>
    <row r="477" spans="1:9" ht="16" x14ac:dyDescent="0.2">
      <c r="A477" s="2" t="s">
        <v>388</v>
      </c>
      <c r="B477" s="6">
        <f>((117.72/1000)/(Parameters!$B$4*Parameters!$B$12))</f>
        <v>3.9419160082575302E-2</v>
      </c>
      <c r="C477" t="s">
        <v>26</v>
      </c>
      <c r="D477" t="s">
        <v>8</v>
      </c>
      <c r="F477" t="s">
        <v>20</v>
      </c>
      <c r="G477" t="s">
        <v>390</v>
      </c>
      <c r="H477" s="2" t="s">
        <v>389</v>
      </c>
    </row>
    <row r="478" spans="1:9" x14ac:dyDescent="0.2">
      <c r="A478" t="s">
        <v>265</v>
      </c>
      <c r="B478" s="6">
        <f>(B357*B469)-Parameters!$B$15</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Parameters!D22/Parameters!B4*Parameters!B12*-1</f>
        <v>-0.37292496697490091</v>
      </c>
      <c r="C480" t="s">
        <v>1036</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1035</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1035</v>
      </c>
      <c r="D492" s="35" t="s">
        <v>8</v>
      </c>
      <c r="E492" s="35"/>
      <c r="F492" s="35" t="s">
        <v>17</v>
      </c>
      <c r="G492" s="35"/>
      <c r="H492" s="35"/>
      <c r="I492" s="35" t="s">
        <v>18</v>
      </c>
      <c r="J492" s="35" t="s">
        <v>337</v>
      </c>
    </row>
    <row r="493" spans="1:10" ht="16" x14ac:dyDescent="0.2">
      <c r="A493" s="2" t="s">
        <v>374</v>
      </c>
      <c r="B493" s="6">
        <v>1.00057</v>
      </c>
      <c r="C493" t="s">
        <v>1035</v>
      </c>
      <c r="D493" t="s">
        <v>8</v>
      </c>
      <c r="F493" s="35" t="s">
        <v>20</v>
      </c>
      <c r="G493" t="s">
        <v>18</v>
      </c>
      <c r="I493" s="35"/>
      <c r="J493" s="2" t="s">
        <v>375</v>
      </c>
    </row>
    <row r="494" spans="1:10" x14ac:dyDescent="0.2">
      <c r="A494" s="35" t="s">
        <v>28</v>
      </c>
      <c r="B494" s="36">
        <v>6.7000000000000002E-3</v>
      </c>
      <c r="C494" t="s">
        <v>1036</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1035</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1035</v>
      </c>
      <c r="D515" s="35" t="s">
        <v>8</v>
      </c>
      <c r="E515" s="35"/>
      <c r="F515" s="35" t="s">
        <v>17</v>
      </c>
      <c r="G515" s="35"/>
      <c r="H515" s="35"/>
      <c r="I515" s="35" t="s">
        <v>18</v>
      </c>
      <c r="J515" s="35" t="s">
        <v>337</v>
      </c>
    </row>
    <row r="516" spans="1:10" ht="16" x14ac:dyDescent="0.2">
      <c r="A516" s="2" t="s">
        <v>377</v>
      </c>
      <c r="B516" s="6">
        <v>1.00057</v>
      </c>
      <c r="C516" t="s">
        <v>1035</v>
      </c>
      <c r="D516" t="s">
        <v>8</v>
      </c>
      <c r="F516" s="35" t="s">
        <v>20</v>
      </c>
      <c r="G516" t="s">
        <v>18</v>
      </c>
      <c r="I516" s="35"/>
      <c r="J516" s="2" t="s">
        <v>375</v>
      </c>
    </row>
    <row r="517" spans="1:10" x14ac:dyDescent="0.2">
      <c r="A517" s="35" t="s">
        <v>28</v>
      </c>
      <c r="B517" s="36">
        <v>6.7000000000000002E-3</v>
      </c>
      <c r="C517" t="s">
        <v>1036</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1035</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1035</v>
      </c>
      <c r="D538" s="35" t="s">
        <v>8</v>
      </c>
      <c r="E538" s="35"/>
      <c r="F538" s="35" t="s">
        <v>17</v>
      </c>
      <c r="G538" s="35"/>
      <c r="H538" s="35"/>
      <c r="I538" s="35" t="s">
        <v>18</v>
      </c>
      <c r="J538" s="35" t="s">
        <v>337</v>
      </c>
    </row>
    <row r="539" spans="1:10" ht="16" x14ac:dyDescent="0.2">
      <c r="A539" s="2" t="s">
        <v>508</v>
      </c>
      <c r="B539" s="6">
        <v>1.00057</v>
      </c>
      <c r="C539" t="s">
        <v>1035</v>
      </c>
      <c r="D539" t="s">
        <v>8</v>
      </c>
      <c r="F539" s="35" t="s">
        <v>20</v>
      </c>
      <c r="G539" t="s">
        <v>18</v>
      </c>
      <c r="I539" s="35"/>
      <c r="J539" s="2" t="s">
        <v>375</v>
      </c>
    </row>
    <row r="540" spans="1:10" x14ac:dyDescent="0.2">
      <c r="A540" s="35" t="s">
        <v>28</v>
      </c>
      <c r="B540" s="36">
        <v>6.7000000000000002E-3</v>
      </c>
      <c r="C540" t="s">
        <v>1036</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1035</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1035</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1036</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1036</v>
      </c>
      <c r="D567" t="s">
        <v>8</v>
      </c>
      <c r="F567" t="s">
        <v>20</v>
      </c>
      <c r="H567" t="s">
        <v>43</v>
      </c>
    </row>
    <row r="568" spans="1:8" x14ac:dyDescent="0.2">
      <c r="A568" t="s">
        <v>44</v>
      </c>
      <c r="B568" s="6">
        <f>0.65/1000</f>
        <v>6.4999999999999997E-4</v>
      </c>
      <c r="C568" t="s">
        <v>1036</v>
      </c>
      <c r="D568" t="s">
        <v>8</v>
      </c>
      <c r="F568" t="s">
        <v>20</v>
      </c>
      <c r="H568" t="s">
        <v>45</v>
      </c>
    </row>
    <row r="569" spans="1:8" x14ac:dyDescent="0.2">
      <c r="A569" t="s">
        <v>46</v>
      </c>
      <c r="B569" s="6">
        <f>1.002/1000</f>
        <v>1.0020000000000001E-3</v>
      </c>
      <c r="C569" t="s">
        <v>1036</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986</v>
      </c>
    </row>
    <row r="577" spans="1:7" x14ac:dyDescent="0.2">
      <c r="A577" t="s">
        <v>981</v>
      </c>
      <c r="B577" s="6">
        <f>20.36/1000000</f>
        <v>2.0359999999999998E-5</v>
      </c>
      <c r="D577" t="s">
        <v>8</v>
      </c>
      <c r="E577" t="s">
        <v>37</v>
      </c>
      <c r="F577" t="s">
        <v>36</v>
      </c>
      <c r="G577" t="s">
        <v>987</v>
      </c>
    </row>
    <row r="578" spans="1:7" x14ac:dyDescent="0.2">
      <c r="A578" t="s">
        <v>40</v>
      </c>
      <c r="B578" s="6">
        <f>30.436/1000000</f>
        <v>3.0436000000000001E-5</v>
      </c>
      <c r="D578" t="s">
        <v>8</v>
      </c>
      <c r="E578" t="s">
        <v>37</v>
      </c>
      <c r="F578" t="s">
        <v>36</v>
      </c>
      <c r="G578" t="s">
        <v>988</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1031</v>
      </c>
      <c r="B583" s="6">
        <v>1.758866488192</v>
      </c>
      <c r="D583" t="s">
        <v>8</v>
      </c>
      <c r="E583" t="s">
        <v>1032</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1035</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1035</v>
      </c>
      <c r="D625" t="s">
        <v>8</v>
      </c>
      <c r="F625" t="s">
        <v>17</v>
      </c>
      <c r="G625" t="s">
        <v>18</v>
      </c>
      <c r="H625" s="2" t="s">
        <v>219</v>
      </c>
    </row>
    <row r="626" spans="1:8" ht="16" x14ac:dyDescent="0.2">
      <c r="A626" s="2" t="s">
        <v>65</v>
      </c>
      <c r="B626" s="6">
        <f>(1/((Parameters!C23*Parameters!B4*Parameters!B12)/1000))*Parameters!F35</f>
        <v>3.6117899478066171</v>
      </c>
      <c r="C626" t="s">
        <v>1035</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1035</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1035</v>
      </c>
      <c r="D647" t="s">
        <v>8</v>
      </c>
      <c r="F647" t="s">
        <v>17</v>
      </c>
      <c r="G647" t="s">
        <v>18</v>
      </c>
      <c r="H647" s="2" t="s">
        <v>219</v>
      </c>
    </row>
    <row r="648" spans="1:8" ht="16" x14ac:dyDescent="0.2">
      <c r="A648" s="2" t="s">
        <v>65</v>
      </c>
      <c r="B648" s="6">
        <f>(1/((Parameters!$C$23*Parameters!$B$4*Parameters!$B$12)/1000))*Parameters!G35</f>
        <v>3.902331224292801</v>
      </c>
      <c r="C648" t="s">
        <v>1035</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1035</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1035</v>
      </c>
      <c r="D669" t="s">
        <v>8</v>
      </c>
      <c r="F669" t="s">
        <v>17</v>
      </c>
      <c r="G669" t="s">
        <v>18</v>
      </c>
      <c r="H669" s="2" t="s">
        <v>219</v>
      </c>
    </row>
    <row r="670" spans="1:8" ht="16" x14ac:dyDescent="0.2">
      <c r="A670" s="2" t="s">
        <v>65</v>
      </c>
      <c r="B670" s="6">
        <f>(1/((Parameters!$C$23*Parameters!$B$4*Parameters!$B$12)/1000))</f>
        <v>4.1856906305826644</v>
      </c>
      <c r="C670" t="s">
        <v>1035</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9" ht="16" x14ac:dyDescent="0.2">
      <c r="A673" s="2" t="s">
        <v>254</v>
      </c>
      <c r="B673" s="6">
        <f>((41.55/1000)/(Parameters!$B$4*Parameters!$B$12))</f>
        <v>1.3913235656056776E-2</v>
      </c>
      <c r="C673" t="s">
        <v>255</v>
      </c>
      <c r="D673" t="s">
        <v>8</v>
      </c>
      <c r="F673" t="s">
        <v>20</v>
      </c>
      <c r="H673" s="2" t="s">
        <v>256</v>
      </c>
    </row>
    <row r="674" spans="1:9" ht="16" x14ac:dyDescent="0.2">
      <c r="A674" s="2" t="s">
        <v>257</v>
      </c>
      <c r="B674" s="6">
        <f>((20.77/1000)/(Parameters!$B$4*Parameters!$B$12))</f>
        <v>6.9549435517761559E-3</v>
      </c>
      <c r="C674" t="s">
        <v>31</v>
      </c>
      <c r="D674" t="s">
        <v>8</v>
      </c>
      <c r="F674" t="s">
        <v>20</v>
      </c>
      <c r="H674" s="2" t="s">
        <v>414</v>
      </c>
    </row>
    <row r="675" spans="1:9" ht="16" x14ac:dyDescent="0.2">
      <c r="A675" s="2" t="s">
        <v>370</v>
      </c>
      <c r="B675" s="6">
        <f>((76.17/1000)/(Parameters!$B$4*Parameters!$B$12))</f>
        <v>2.5505924426518525E-2</v>
      </c>
      <c r="C675" t="s">
        <v>31</v>
      </c>
      <c r="D675" t="s">
        <v>8</v>
      </c>
      <c r="F675" t="s">
        <v>20</v>
      </c>
      <c r="H675" s="2" t="s">
        <v>371</v>
      </c>
    </row>
    <row r="676" spans="1:9" ht="16" x14ac:dyDescent="0.2">
      <c r="A676" s="2" t="s">
        <v>388</v>
      </c>
      <c r="B676" s="6">
        <f>((117.72/1000)/(Parameters!$B$4*Parameters!$B$12))</f>
        <v>3.9419160082575302E-2</v>
      </c>
      <c r="C676" t="s">
        <v>26</v>
      </c>
      <c r="D676" t="s">
        <v>8</v>
      </c>
      <c r="F676" t="s">
        <v>20</v>
      </c>
      <c r="G676" t="s">
        <v>390</v>
      </c>
      <c r="H676" s="2" t="s">
        <v>389</v>
      </c>
    </row>
    <row r="677" spans="1:9" x14ac:dyDescent="0.2">
      <c r="A677" t="s">
        <v>265</v>
      </c>
      <c r="B677" s="6">
        <f>(B583*B670)-Parameters!$B$15</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Parameters!C22/Parameters!B4*Parameters!B12*-1</f>
        <v>-0.37292496697490091</v>
      </c>
      <c r="C679" t="s">
        <v>1036</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1035</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1035</v>
      </c>
      <c r="D691" s="35" t="s">
        <v>8</v>
      </c>
      <c r="E691" s="35"/>
      <c r="F691" s="35" t="s">
        <v>17</v>
      </c>
      <c r="G691" s="35"/>
      <c r="H691" s="35"/>
      <c r="I691" s="35" t="s">
        <v>18</v>
      </c>
      <c r="J691" s="35" t="s">
        <v>337</v>
      </c>
    </row>
    <row r="692" spans="1:10" ht="16" x14ac:dyDescent="0.2">
      <c r="A692" s="2" t="s">
        <v>369</v>
      </c>
      <c r="B692" s="6">
        <v>1.00057</v>
      </c>
      <c r="C692" t="s">
        <v>1035</v>
      </c>
      <c r="D692" t="s">
        <v>8</v>
      </c>
      <c r="F692" s="35" t="s">
        <v>20</v>
      </c>
      <c r="G692" t="s">
        <v>18</v>
      </c>
      <c r="I692" s="35"/>
      <c r="J692" s="2" t="s">
        <v>219</v>
      </c>
    </row>
    <row r="693" spans="1:10" x14ac:dyDescent="0.2">
      <c r="A693" s="35" t="s">
        <v>28</v>
      </c>
      <c r="B693" s="36">
        <v>6.7000000000000002E-3</v>
      </c>
      <c r="C693" t="s">
        <v>1036</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1035</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1035</v>
      </c>
      <c r="D714" s="35" t="s">
        <v>8</v>
      </c>
      <c r="E714" s="35"/>
      <c r="F714" s="35" t="s">
        <v>17</v>
      </c>
      <c r="G714" s="35"/>
      <c r="H714" s="35"/>
      <c r="I714" s="35" t="s">
        <v>18</v>
      </c>
      <c r="J714" s="35" t="s">
        <v>337</v>
      </c>
    </row>
    <row r="715" spans="1:10" ht="16" x14ac:dyDescent="0.2">
      <c r="A715" s="2" t="s">
        <v>372</v>
      </c>
      <c r="B715" s="6">
        <v>1.00057</v>
      </c>
      <c r="C715" t="s">
        <v>1035</v>
      </c>
      <c r="D715" t="s">
        <v>8</v>
      </c>
      <c r="F715" s="35" t="s">
        <v>20</v>
      </c>
      <c r="G715" t="s">
        <v>18</v>
      </c>
      <c r="I715" s="35"/>
      <c r="J715" s="2" t="s">
        <v>219</v>
      </c>
    </row>
    <row r="716" spans="1:10" x14ac:dyDescent="0.2">
      <c r="A716" s="35" t="s">
        <v>28</v>
      </c>
      <c r="B716" s="36">
        <v>6.7000000000000002E-3</v>
      </c>
      <c r="C716" t="s">
        <v>1036</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1035</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1035</v>
      </c>
      <c r="D737" s="35" t="s">
        <v>8</v>
      </c>
      <c r="E737" s="35"/>
      <c r="F737" s="35" t="s">
        <v>17</v>
      </c>
      <c r="G737" s="35"/>
      <c r="H737" s="35"/>
      <c r="I737" s="35" t="s">
        <v>18</v>
      </c>
      <c r="J737" s="35" t="s">
        <v>337</v>
      </c>
    </row>
    <row r="738" spans="1:10" ht="16" x14ac:dyDescent="0.2">
      <c r="A738" s="2" t="s">
        <v>510</v>
      </c>
      <c r="B738" s="6">
        <v>1.00057</v>
      </c>
      <c r="C738" t="s">
        <v>1035</v>
      </c>
      <c r="D738" t="s">
        <v>8</v>
      </c>
      <c r="F738" s="35" t="s">
        <v>20</v>
      </c>
      <c r="G738" t="s">
        <v>18</v>
      </c>
      <c r="I738" s="35"/>
      <c r="J738" s="2" t="s">
        <v>219</v>
      </c>
    </row>
    <row r="739" spans="1:10" x14ac:dyDescent="0.2">
      <c r="A739" s="35" t="s">
        <v>28</v>
      </c>
      <c r="B739" s="36">
        <v>6.7000000000000002E-3</v>
      </c>
      <c r="C739" t="s">
        <v>1036</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1035</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1035</v>
      </c>
      <c r="D760" t="s">
        <v>8</v>
      </c>
      <c r="F760" t="s">
        <v>17</v>
      </c>
      <c r="G760" t="s">
        <v>18</v>
      </c>
      <c r="H760" s="2" t="s">
        <v>70</v>
      </c>
    </row>
    <row r="761" spans="1:8" ht="16" x14ac:dyDescent="0.2">
      <c r="A761" s="2" t="s">
        <v>69</v>
      </c>
      <c r="B761" s="6">
        <v>0.14000000000000001</v>
      </c>
      <c r="C761" t="s">
        <v>1035</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265</v>
      </c>
      <c r="B764" s="6">
        <v>0.22</v>
      </c>
      <c r="D764" t="s">
        <v>8</v>
      </c>
      <c r="E764" t="s">
        <v>37</v>
      </c>
      <c r="F764" t="s">
        <v>36</v>
      </c>
      <c r="G764" t="s">
        <v>1142</v>
      </c>
    </row>
    <row r="765" spans="1:8" x14ac:dyDescent="0.2">
      <c r="A765" t="s">
        <v>1031</v>
      </c>
      <c r="B765" s="6">
        <v>1.81</v>
      </c>
      <c r="D765" t="s">
        <v>8</v>
      </c>
      <c r="E765" t="s">
        <v>1032</v>
      </c>
      <c r="F765" t="s">
        <v>36</v>
      </c>
      <c r="G765" t="s">
        <v>210</v>
      </c>
    </row>
    <row r="766" spans="1:8" x14ac:dyDescent="0.2">
      <c r="A766" t="s">
        <v>108</v>
      </c>
      <c r="B766" s="6">
        <v>20.399999999999999</v>
      </c>
      <c r="D766" t="s">
        <v>19</v>
      </c>
      <c r="E766" t="s">
        <v>112</v>
      </c>
      <c r="F766" t="s">
        <v>36</v>
      </c>
      <c r="G766" t="s">
        <v>210</v>
      </c>
    </row>
    <row r="767" spans="1:8" x14ac:dyDescent="0.2">
      <c r="A767" t="s">
        <v>211</v>
      </c>
      <c r="B767" s="6">
        <v>2.3256000000000001E-3</v>
      </c>
      <c r="D767" t="s">
        <v>121</v>
      </c>
      <c r="E767" t="s">
        <v>112</v>
      </c>
      <c r="F767" t="s">
        <v>36</v>
      </c>
      <c r="G767" t="s">
        <v>210</v>
      </c>
    </row>
    <row r="769" spans="1:8" ht="16" x14ac:dyDescent="0.2">
      <c r="A769" s="1" t="s">
        <v>1</v>
      </c>
      <c r="B769" s="71" t="s">
        <v>398</v>
      </c>
      <c r="F769" s="6"/>
      <c r="G769" s="6"/>
    </row>
    <row r="770" spans="1:8" x14ac:dyDescent="0.2">
      <c r="A770" t="s">
        <v>2</v>
      </c>
      <c r="B770" s="6" t="s">
        <v>1035</v>
      </c>
    </row>
    <row r="771" spans="1:8" x14ac:dyDescent="0.2">
      <c r="A771" t="s">
        <v>3</v>
      </c>
      <c r="B771" s="6">
        <v>1</v>
      </c>
    </row>
    <row r="772" spans="1:8" ht="16" x14ac:dyDescent="0.2">
      <c r="A772" t="s">
        <v>4</v>
      </c>
      <c r="B772" s="72" t="s">
        <v>399</v>
      </c>
    </row>
    <row r="773" spans="1:8" x14ac:dyDescent="0.2">
      <c r="A773" t="s">
        <v>5</v>
      </c>
      <c r="B773" s="6" t="s">
        <v>6</v>
      </c>
    </row>
    <row r="774" spans="1:8" x14ac:dyDescent="0.2">
      <c r="A774" t="s">
        <v>7</v>
      </c>
      <c r="B774" s="6" t="s">
        <v>8</v>
      </c>
    </row>
    <row r="775" spans="1:8" x14ac:dyDescent="0.2">
      <c r="A775" t="s">
        <v>9</v>
      </c>
      <c r="B775" s="6" t="s">
        <v>10</v>
      </c>
    </row>
    <row r="776" spans="1:8" x14ac:dyDescent="0.2">
      <c r="A776" t="s">
        <v>11</v>
      </c>
      <c r="B776" s="6" t="s">
        <v>230</v>
      </c>
    </row>
    <row r="777" spans="1:8" x14ac:dyDescent="0.2">
      <c r="A777" t="s">
        <v>497</v>
      </c>
      <c r="B777" s="70">
        <f>Summary!O106</f>
        <v>0.45080489134960033</v>
      </c>
    </row>
    <row r="778" spans="1:8" ht="16" x14ac:dyDescent="0.2">
      <c r="A778" s="1" t="s">
        <v>12</v>
      </c>
    </row>
    <row r="779" spans="1:8" x14ac:dyDescent="0.2">
      <c r="A779" t="s">
        <v>13</v>
      </c>
      <c r="B779" s="6" t="s">
        <v>14</v>
      </c>
      <c r="C779" t="s">
        <v>2</v>
      </c>
      <c r="D779" t="s">
        <v>7</v>
      </c>
      <c r="E779" t="s">
        <v>15</v>
      </c>
      <c r="F779" t="s">
        <v>5</v>
      </c>
      <c r="G779" t="s">
        <v>11</v>
      </c>
      <c r="H779" t="s">
        <v>4</v>
      </c>
    </row>
    <row r="780" spans="1:8" ht="16" x14ac:dyDescent="0.2">
      <c r="A780" s="2" t="s">
        <v>398</v>
      </c>
      <c r="B780" s="6">
        <v>1</v>
      </c>
      <c r="C780" t="s">
        <v>1035</v>
      </c>
      <c r="D780" t="s">
        <v>8</v>
      </c>
      <c r="F780" t="s">
        <v>17</v>
      </c>
      <c r="G780" t="s">
        <v>18</v>
      </c>
      <c r="H780" s="2" t="s">
        <v>399</v>
      </c>
    </row>
    <row r="781" spans="1:8" ht="16" x14ac:dyDescent="0.2">
      <c r="A781" s="2" t="s">
        <v>69</v>
      </c>
      <c r="B781" s="6">
        <f>(1/((Parameters!C23*Parameters!B4*Parameters!B12)/1000))*Parameters!F35</f>
        <v>3.6117899478066171</v>
      </c>
      <c r="C781" t="s">
        <v>1035</v>
      </c>
      <c r="D781" t="s">
        <v>8</v>
      </c>
      <c r="F781" t="s">
        <v>20</v>
      </c>
      <c r="G781" t="s">
        <v>18</v>
      </c>
      <c r="H781" s="2" t="s">
        <v>70</v>
      </c>
    </row>
    <row r="782" spans="1:8" ht="16" x14ac:dyDescent="0.2">
      <c r="A782" s="2" t="s">
        <v>221</v>
      </c>
      <c r="B782" s="6">
        <f>(180*Parameters!$B$3)/(Parameters!$B$4*Parameters!$B$12)*Parameters!F35</f>
        <v>5.4873220233514521E-2</v>
      </c>
      <c r="C782" t="s">
        <v>26</v>
      </c>
      <c r="D782" t="s">
        <v>19</v>
      </c>
      <c r="F782" t="s">
        <v>20</v>
      </c>
      <c r="H782" s="2" t="s">
        <v>222</v>
      </c>
    </row>
    <row r="783" spans="1:8" ht="16" x14ac:dyDescent="0.2">
      <c r="A783" s="2" t="s">
        <v>388</v>
      </c>
      <c r="B783" s="6">
        <f>((102.06/1000)/(Parameters!$B$4*Parameters!$B$12))*Parameters!$F$35</f>
        <v>2.948954256585147E-2</v>
      </c>
      <c r="C783" t="s">
        <v>26</v>
      </c>
      <c r="D783" t="s">
        <v>8</v>
      </c>
      <c r="F783" t="s">
        <v>20</v>
      </c>
      <c r="G783" t="s">
        <v>390</v>
      </c>
      <c r="H783" s="2" t="s">
        <v>389</v>
      </c>
    </row>
    <row r="784" spans="1:8" ht="16" x14ac:dyDescent="0.2">
      <c r="A784" s="2" t="s">
        <v>252</v>
      </c>
      <c r="B784" s="6">
        <f>((304.85/1000)/(Parameters!$B$4*Parameters!$B$12))*Parameters!$F$35</f>
        <v>8.8084333247107793E-2</v>
      </c>
      <c r="C784" t="s">
        <v>31</v>
      </c>
      <c r="D784" t="s">
        <v>8</v>
      </c>
      <c r="F784" t="s">
        <v>20</v>
      </c>
      <c r="H784" s="2" t="s">
        <v>253</v>
      </c>
    </row>
    <row r="785" spans="1:8" ht="16" x14ac:dyDescent="0.2">
      <c r="A785" s="2" t="s">
        <v>254</v>
      </c>
      <c r="B785" s="6">
        <f>((47.18/1000)/(Parameters!$B$4*Parameters!$B$12))*Parameters!$F$35</f>
        <v>1.3632339979001295E-2</v>
      </c>
      <c r="C785" t="s">
        <v>255</v>
      </c>
      <c r="D785" t="s">
        <v>8</v>
      </c>
      <c r="F785" t="s">
        <v>20</v>
      </c>
      <c r="H785" s="2" t="s">
        <v>256</v>
      </c>
    </row>
    <row r="786" spans="1:8" ht="16" x14ac:dyDescent="0.2">
      <c r="A786" s="2" t="s">
        <v>257</v>
      </c>
      <c r="B786" s="6">
        <v>0</v>
      </c>
      <c r="C786" t="s">
        <v>31</v>
      </c>
      <c r="D786" t="s">
        <v>8</v>
      </c>
      <c r="F786" t="s">
        <v>20</v>
      </c>
      <c r="H786" s="2" t="s">
        <v>414</v>
      </c>
    </row>
    <row r="787" spans="1:8" ht="16" x14ac:dyDescent="0.2">
      <c r="A787" s="2" t="s">
        <v>370</v>
      </c>
      <c r="B787" s="6">
        <f>((64.82/1000)/(Parameters!$B$4*Parameters!$B$12))*Parameters!$F$35</f>
        <v>1.8729297953345995E-2</v>
      </c>
      <c r="C787" t="s">
        <v>31</v>
      </c>
      <c r="D787" t="s">
        <v>8</v>
      </c>
      <c r="F787" t="s">
        <v>20</v>
      </c>
      <c r="G787" t="s">
        <v>387</v>
      </c>
      <c r="H787" s="2" t="s">
        <v>371</v>
      </c>
    </row>
    <row r="788" spans="1:8" x14ac:dyDescent="0.2">
      <c r="A788" t="s">
        <v>265</v>
      </c>
      <c r="B788" s="6">
        <f>(B765*B781)-Parameters!$B$15</f>
        <v>4.6233398055299775</v>
      </c>
      <c r="D788" t="s">
        <v>8</v>
      </c>
      <c r="E788" t="s">
        <v>37</v>
      </c>
      <c r="F788" t="s">
        <v>36</v>
      </c>
      <c r="G788" t="s">
        <v>428</v>
      </c>
    </row>
    <row r="789" spans="1:8" x14ac:dyDescent="0.2">
      <c r="A789" t="s">
        <v>306</v>
      </c>
      <c r="B789" s="6">
        <f>1/(90000000*20)</f>
        <v>5.5555555555555553E-10</v>
      </c>
      <c r="C789" t="s">
        <v>26</v>
      </c>
      <c r="D789" t="s">
        <v>7</v>
      </c>
      <c r="F789" t="s">
        <v>20</v>
      </c>
      <c r="G789" t="s">
        <v>308</v>
      </c>
      <c r="H789" t="s">
        <v>307</v>
      </c>
    </row>
    <row r="790" spans="1:8" ht="16" x14ac:dyDescent="0.2">
      <c r="A790" s="2"/>
      <c r="H790" s="2"/>
    </row>
    <row r="791" spans="1:8" ht="16" x14ac:dyDescent="0.2">
      <c r="A791" s="1" t="s">
        <v>1</v>
      </c>
      <c r="B791" s="71" t="s">
        <v>400</v>
      </c>
    </row>
    <row r="792" spans="1:8" x14ac:dyDescent="0.2">
      <c r="A792" t="s">
        <v>2</v>
      </c>
      <c r="B792" s="6" t="s">
        <v>1035</v>
      </c>
    </row>
    <row r="793" spans="1:8" x14ac:dyDescent="0.2">
      <c r="A793" t="s">
        <v>3</v>
      </c>
      <c r="B793" s="6">
        <v>1</v>
      </c>
    </row>
    <row r="794" spans="1:8" ht="16" x14ac:dyDescent="0.2">
      <c r="A794" t="s">
        <v>4</v>
      </c>
      <c r="B794" s="72" t="s">
        <v>399</v>
      </c>
    </row>
    <row r="795" spans="1:8" x14ac:dyDescent="0.2">
      <c r="A795" t="s">
        <v>5</v>
      </c>
      <c r="B795" s="6" t="s">
        <v>6</v>
      </c>
    </row>
    <row r="796" spans="1:8" x14ac:dyDescent="0.2">
      <c r="A796" t="s">
        <v>7</v>
      </c>
      <c r="B796" s="6" t="s">
        <v>8</v>
      </c>
    </row>
    <row r="797" spans="1:8" x14ac:dyDescent="0.2">
      <c r="A797" t="s">
        <v>9</v>
      </c>
      <c r="B797" s="6" t="s">
        <v>10</v>
      </c>
    </row>
    <row r="798" spans="1:8" x14ac:dyDescent="0.2">
      <c r="A798" t="s">
        <v>11</v>
      </c>
      <c r="B798" s="6" t="s">
        <v>373</v>
      </c>
    </row>
    <row r="799" spans="1:8" x14ac:dyDescent="0.2">
      <c r="A799" t="s">
        <v>497</v>
      </c>
      <c r="B799" s="70">
        <f>Summary!O37</f>
        <v>0.41724099811481619</v>
      </c>
    </row>
    <row r="800" spans="1:8" ht="16" x14ac:dyDescent="0.2">
      <c r="A800" s="1" t="s">
        <v>12</v>
      </c>
    </row>
    <row r="801" spans="1:8" x14ac:dyDescent="0.2">
      <c r="A801" t="s">
        <v>13</v>
      </c>
      <c r="B801" s="6" t="s">
        <v>14</v>
      </c>
      <c r="C801" t="s">
        <v>2</v>
      </c>
      <c r="D801" t="s">
        <v>7</v>
      </c>
      <c r="E801" t="s">
        <v>15</v>
      </c>
      <c r="F801" t="s">
        <v>5</v>
      </c>
      <c r="G801" t="s">
        <v>11</v>
      </c>
      <c r="H801" t="s">
        <v>4</v>
      </c>
    </row>
    <row r="802" spans="1:8" ht="16" x14ac:dyDescent="0.2">
      <c r="A802" s="2" t="s">
        <v>400</v>
      </c>
      <c r="B802" s="6">
        <v>1</v>
      </c>
      <c r="C802" t="s">
        <v>1035</v>
      </c>
      <c r="D802" t="s">
        <v>8</v>
      </c>
      <c r="F802" t="s">
        <v>17</v>
      </c>
      <c r="G802" t="s">
        <v>18</v>
      </c>
      <c r="H802" s="2" t="s">
        <v>399</v>
      </c>
    </row>
    <row r="803" spans="1:8" ht="16" x14ac:dyDescent="0.2">
      <c r="A803" s="2" t="s">
        <v>69</v>
      </c>
      <c r="B803" s="6">
        <f>(1/((Parameters!$C$23*Parameters!$B$4*Parameters!$B$12)/1000))*Parameters!$G$35</f>
        <v>3.902331224292801</v>
      </c>
      <c r="C803" t="s">
        <v>1035</v>
      </c>
      <c r="D803" t="s">
        <v>8</v>
      </c>
      <c r="F803" t="s">
        <v>20</v>
      </c>
      <c r="G803" t="s">
        <v>18</v>
      </c>
      <c r="H803" s="2" t="s">
        <v>70</v>
      </c>
    </row>
    <row r="804" spans="1:8" ht="16" x14ac:dyDescent="0.2">
      <c r="A804" s="2" t="s">
        <v>221</v>
      </c>
      <c r="B804" s="6">
        <f>(180*Parameters!$B$3)/(Parameters!$B$4*Parameters!$B$12)*Parameters!$G$35</f>
        <v>5.9287357179998543E-2</v>
      </c>
      <c r="C804" t="s">
        <v>26</v>
      </c>
      <c r="D804" t="s">
        <v>19</v>
      </c>
      <c r="F804" t="s">
        <v>20</v>
      </c>
      <c r="H804" s="2" t="s">
        <v>222</v>
      </c>
    </row>
    <row r="805" spans="1:8" ht="16" x14ac:dyDescent="0.2">
      <c r="A805" s="2" t="s">
        <v>388</v>
      </c>
      <c r="B805" s="6">
        <f>((102.06/1000)/(Parameters!$B$4*Parameters!$B$12))*Parameters!$G$35</f>
        <v>3.1861753980105864E-2</v>
      </c>
      <c r="C805" t="s">
        <v>26</v>
      </c>
      <c r="D805" t="s">
        <v>8</v>
      </c>
      <c r="F805" t="s">
        <v>20</v>
      </c>
      <c r="G805" t="s">
        <v>390</v>
      </c>
      <c r="H805" s="2" t="s">
        <v>389</v>
      </c>
    </row>
    <row r="806" spans="1:8" ht="16" x14ac:dyDescent="0.2">
      <c r="A806" s="2" t="s">
        <v>252</v>
      </c>
      <c r="B806" s="6">
        <f>((304.85/1000)/(Parameters!$B$4*Parameters!$B$12))*Parameters!$G$35</f>
        <v>9.5170053898052845E-2</v>
      </c>
      <c r="C806" t="s">
        <v>31</v>
      </c>
      <c r="D806" t="s">
        <v>8</v>
      </c>
      <c r="F806" t="s">
        <v>20</v>
      </c>
      <c r="H806" s="2" t="s">
        <v>253</v>
      </c>
    </row>
    <row r="807" spans="1:8" ht="16" x14ac:dyDescent="0.2">
      <c r="A807" s="2" t="s">
        <v>254</v>
      </c>
      <c r="B807" s="6">
        <f>((47.18/1000)/(Parameters!$B$4*Parameters!$B$12))*Parameters!$G$35</f>
        <v>1.4728958972970748E-2</v>
      </c>
      <c r="C807" t="s">
        <v>255</v>
      </c>
      <c r="D807" t="s">
        <v>8</v>
      </c>
      <c r="F807" t="s">
        <v>20</v>
      </c>
      <c r="H807" s="2" t="s">
        <v>256</v>
      </c>
    </row>
    <row r="808" spans="1:8" ht="16" x14ac:dyDescent="0.2">
      <c r="A808" s="2" t="s">
        <v>257</v>
      </c>
      <c r="B808" s="6">
        <v>0</v>
      </c>
      <c r="C808" t="s">
        <v>31</v>
      </c>
      <c r="D808" t="s">
        <v>8</v>
      </c>
      <c r="F808" t="s">
        <v>20</v>
      </c>
      <c r="H808" s="2" t="s">
        <v>414</v>
      </c>
    </row>
    <row r="809" spans="1:8" ht="16" x14ac:dyDescent="0.2">
      <c r="A809" s="2" t="s">
        <v>370</v>
      </c>
      <c r="B809" s="6">
        <f>((64.82/1000)/(Parameters!$B$4*Parameters!$B$12))*Parameters!$G$35</f>
        <v>2.023592879669275E-2</v>
      </c>
      <c r="C809" t="s">
        <v>31</v>
      </c>
      <c r="D809" t="s">
        <v>8</v>
      </c>
      <c r="F809" t="s">
        <v>20</v>
      </c>
      <c r="G809" t="s">
        <v>387</v>
      </c>
      <c r="H809" s="2" t="s">
        <v>371</v>
      </c>
    </row>
    <row r="810" spans="1:8" x14ac:dyDescent="0.2">
      <c r="A810" t="s">
        <v>306</v>
      </c>
      <c r="B810" s="6">
        <f>1/(90000000*20)</f>
        <v>5.5555555555555553E-10</v>
      </c>
      <c r="C810" t="s">
        <v>26</v>
      </c>
      <c r="D810" t="s">
        <v>7</v>
      </c>
      <c r="F810" t="s">
        <v>20</v>
      </c>
      <c r="G810" t="s">
        <v>308</v>
      </c>
      <c r="H810" t="s">
        <v>307</v>
      </c>
    </row>
    <row r="811" spans="1:8" x14ac:dyDescent="0.2">
      <c r="A811" t="s">
        <v>265</v>
      </c>
      <c r="B811" s="6">
        <f>($B$765*$B$803)-Parameters!$B$15</f>
        <v>5.1492195159699703</v>
      </c>
      <c r="D811" t="s">
        <v>8</v>
      </c>
      <c r="E811" t="s">
        <v>37</v>
      </c>
      <c r="F811" t="s">
        <v>36</v>
      </c>
      <c r="G811" t="s">
        <v>428</v>
      </c>
    </row>
    <row r="812" spans="1:8" ht="16" x14ac:dyDescent="0.2">
      <c r="A812" s="2"/>
      <c r="H812" s="2"/>
    </row>
    <row r="813" spans="1:8" ht="16" x14ac:dyDescent="0.2">
      <c r="A813" s="1" t="s">
        <v>1</v>
      </c>
      <c r="B813" s="71" t="s">
        <v>1097</v>
      </c>
    </row>
    <row r="814" spans="1:8" x14ac:dyDescent="0.2">
      <c r="A814" t="s">
        <v>2</v>
      </c>
      <c r="B814" s="6" t="s">
        <v>1035</v>
      </c>
    </row>
    <row r="815" spans="1:8" x14ac:dyDescent="0.2">
      <c r="A815" t="s">
        <v>3</v>
      </c>
      <c r="B815" s="6">
        <v>1</v>
      </c>
    </row>
    <row r="816" spans="1:8" ht="16" x14ac:dyDescent="0.2">
      <c r="A816" t="s">
        <v>4</v>
      </c>
      <c r="B816" s="72" t="s">
        <v>399</v>
      </c>
    </row>
    <row r="817" spans="1:8" x14ac:dyDescent="0.2">
      <c r="A817" t="s">
        <v>5</v>
      </c>
      <c r="B817" s="6" t="s">
        <v>6</v>
      </c>
    </row>
    <row r="818" spans="1:8" x14ac:dyDescent="0.2">
      <c r="A818" t="s">
        <v>7</v>
      </c>
      <c r="B818" s="6" t="s">
        <v>8</v>
      </c>
    </row>
    <row r="819" spans="1:8" x14ac:dyDescent="0.2">
      <c r="A819" t="s">
        <v>9</v>
      </c>
      <c r="B819" s="6" t="s">
        <v>10</v>
      </c>
    </row>
    <row r="820" spans="1:8" x14ac:dyDescent="0.2">
      <c r="A820" t="s">
        <v>11</v>
      </c>
      <c r="B820" s="6" t="s">
        <v>1098</v>
      </c>
    </row>
    <row r="821" spans="1:8" x14ac:dyDescent="0.2">
      <c r="A821" t="s">
        <v>497</v>
      </c>
      <c r="B821" s="70">
        <f>Summary!O65</f>
        <v>0</v>
      </c>
    </row>
    <row r="822" spans="1:8" ht="16" x14ac:dyDescent="0.2">
      <c r="A822" s="1" t="s">
        <v>12</v>
      </c>
    </row>
    <row r="823" spans="1:8" x14ac:dyDescent="0.2">
      <c r="A823" t="s">
        <v>13</v>
      </c>
      <c r="B823" s="6" t="s">
        <v>14</v>
      </c>
      <c r="C823" t="s">
        <v>2</v>
      </c>
      <c r="D823" t="s">
        <v>7</v>
      </c>
      <c r="E823" t="s">
        <v>15</v>
      </c>
      <c r="F823" t="s">
        <v>5</v>
      </c>
      <c r="G823" t="s">
        <v>11</v>
      </c>
      <c r="H823" t="s">
        <v>4</v>
      </c>
    </row>
    <row r="824" spans="1:8" ht="16" x14ac:dyDescent="0.2">
      <c r="A824" s="2" t="s">
        <v>1097</v>
      </c>
      <c r="B824" s="6">
        <v>1</v>
      </c>
      <c r="C824" t="s">
        <v>1035</v>
      </c>
      <c r="D824" t="s">
        <v>8</v>
      </c>
      <c r="F824" t="s">
        <v>17</v>
      </c>
      <c r="G824" t="s">
        <v>18</v>
      </c>
      <c r="H824" s="2" t="s">
        <v>399</v>
      </c>
    </row>
    <row r="825" spans="1:8" ht="16" x14ac:dyDescent="0.2">
      <c r="A825" s="2" t="s">
        <v>69</v>
      </c>
      <c r="B825" s="6">
        <f>(1/((Parameters!$C$23*Parameters!$B$4*Parameters!$B$12)/1000))*Parameters!$G$35</f>
        <v>3.902331224292801</v>
      </c>
      <c r="C825" t="s">
        <v>1035</v>
      </c>
      <c r="D825" t="s">
        <v>8</v>
      </c>
      <c r="F825" t="s">
        <v>20</v>
      </c>
      <c r="G825" t="s">
        <v>18</v>
      </c>
      <c r="H825" s="2" t="s">
        <v>70</v>
      </c>
    </row>
    <row r="826" spans="1:8" ht="16" x14ac:dyDescent="0.2">
      <c r="A826" s="2" t="s">
        <v>221</v>
      </c>
      <c r="B826" s="6">
        <f>(180*Parameters!$B$3)/(Parameters!$B$4*Parameters!$B$12)*Parameters!$G$35</f>
        <v>5.9287357179998543E-2</v>
      </c>
      <c r="C826" t="s">
        <v>26</v>
      </c>
      <c r="D826" t="s">
        <v>19</v>
      </c>
      <c r="F826" t="s">
        <v>20</v>
      </c>
      <c r="H826" s="2" t="s">
        <v>222</v>
      </c>
    </row>
    <row r="827" spans="1:8" ht="16" x14ac:dyDescent="0.2">
      <c r="A827" s="2" t="s">
        <v>388</v>
      </c>
      <c r="B827" s="6">
        <f>((102.06/1000)/(Parameters!$B$4*Parameters!$B$12))*Parameters!$G$35</f>
        <v>3.1861753980105864E-2</v>
      </c>
      <c r="C827" t="s">
        <v>26</v>
      </c>
      <c r="D827" t="s">
        <v>8</v>
      </c>
      <c r="F827" t="s">
        <v>20</v>
      </c>
      <c r="G827" t="s">
        <v>390</v>
      </c>
      <c r="H827" s="2" t="s">
        <v>389</v>
      </c>
    </row>
    <row r="828" spans="1:8" ht="16" x14ac:dyDescent="0.2">
      <c r="A828" s="2" t="s">
        <v>252</v>
      </c>
      <c r="B828" s="6">
        <f>((304.85/1000)/(Parameters!$B$4*Parameters!$B$12))*Parameters!$G$35</f>
        <v>9.5170053898052845E-2</v>
      </c>
      <c r="C828" t="s">
        <v>31</v>
      </c>
      <c r="D828" t="s">
        <v>8</v>
      </c>
      <c r="F828" t="s">
        <v>20</v>
      </c>
      <c r="H828" s="2" t="s">
        <v>253</v>
      </c>
    </row>
    <row r="829" spans="1:8" ht="16" x14ac:dyDescent="0.2">
      <c r="A829" s="2" t="s">
        <v>254</v>
      </c>
      <c r="B829" s="6">
        <f>((47.18/1000)/(Parameters!$B$4*Parameters!$B$12))*Parameters!$G$35</f>
        <v>1.4728958972970748E-2</v>
      </c>
      <c r="C829" t="s">
        <v>255</v>
      </c>
      <c r="D829" t="s">
        <v>8</v>
      </c>
      <c r="F829" t="s">
        <v>20</v>
      </c>
      <c r="H829" s="2" t="s">
        <v>256</v>
      </c>
    </row>
    <row r="830" spans="1:8" ht="16" x14ac:dyDescent="0.2">
      <c r="A830" s="2" t="s">
        <v>257</v>
      </c>
      <c r="B830" s="6">
        <v>0</v>
      </c>
      <c r="C830" t="s">
        <v>31</v>
      </c>
      <c r="D830" t="s">
        <v>8</v>
      </c>
      <c r="F830" t="s">
        <v>20</v>
      </c>
      <c r="H830" s="2" t="s">
        <v>414</v>
      </c>
    </row>
    <row r="831" spans="1:8" ht="16" x14ac:dyDescent="0.2">
      <c r="A831" s="2" t="s">
        <v>370</v>
      </c>
      <c r="B831" s="6">
        <f>((64.82/1000)/(Parameters!$B$4*Parameters!$B$12))*Parameters!$G$35</f>
        <v>2.023592879669275E-2</v>
      </c>
      <c r="C831" t="s">
        <v>31</v>
      </c>
      <c r="D831" t="s">
        <v>8</v>
      </c>
      <c r="F831" t="s">
        <v>20</v>
      </c>
      <c r="G831" t="s">
        <v>387</v>
      </c>
      <c r="H831" s="2" t="s">
        <v>371</v>
      </c>
    </row>
    <row r="832" spans="1:8" x14ac:dyDescent="0.2">
      <c r="A832" t="s">
        <v>306</v>
      </c>
      <c r="B832" s="6">
        <f>1/(90000000*20)</f>
        <v>5.5555555555555553E-10</v>
      </c>
      <c r="C832" t="s">
        <v>26</v>
      </c>
      <c r="D832" t="s">
        <v>7</v>
      </c>
      <c r="F832" t="s">
        <v>20</v>
      </c>
      <c r="G832" t="s">
        <v>308</v>
      </c>
      <c r="H832" t="s">
        <v>307</v>
      </c>
    </row>
    <row r="833" spans="1:9" x14ac:dyDescent="0.2">
      <c r="A833" t="s">
        <v>265</v>
      </c>
      <c r="B833" s="6">
        <f>(($B$765*$B$803)-Parameters!$B$15)*(1-0.975)</f>
        <v>0.12873048789924937</v>
      </c>
      <c r="D833" t="s">
        <v>8</v>
      </c>
      <c r="E833" t="s">
        <v>37</v>
      </c>
      <c r="F833" t="s">
        <v>36</v>
      </c>
      <c r="G833" t="s">
        <v>428</v>
      </c>
    </row>
    <row r="834" spans="1:9" x14ac:dyDescent="0.2">
      <c r="A834" s="35" t="s">
        <v>28</v>
      </c>
      <c r="B834" s="36">
        <f>(($B$765*$B$803)-Parameters!$B$15)*(0.975)*(180/1000)</f>
        <v>0.90368802505272983</v>
      </c>
      <c r="C834" t="s">
        <v>1036</v>
      </c>
      <c r="D834" s="35" t="s">
        <v>29</v>
      </c>
      <c r="E834" s="35"/>
      <c r="F834" s="35" t="s">
        <v>20</v>
      </c>
      <c r="G834" s="35" t="s">
        <v>505</v>
      </c>
      <c r="H834" s="35" t="s">
        <v>30</v>
      </c>
      <c r="I834" s="35"/>
    </row>
    <row r="835" spans="1:9" x14ac:dyDescent="0.2">
      <c r="A835" t="s">
        <v>1067</v>
      </c>
      <c r="B835" s="6">
        <f>(($B$765*$B$803)-Parameters!$B$15)*(0.975)</f>
        <v>5.0204890280707213</v>
      </c>
      <c r="C835" t="s">
        <v>572</v>
      </c>
      <c r="D835" t="s">
        <v>8</v>
      </c>
      <c r="F835" s="35" t="s">
        <v>20</v>
      </c>
      <c r="H835" t="s">
        <v>1067</v>
      </c>
    </row>
    <row r="836" spans="1:9" ht="16" x14ac:dyDescent="0.2">
      <c r="A836" s="2"/>
      <c r="H836" s="2"/>
    </row>
    <row r="837" spans="1:9" ht="16" x14ac:dyDescent="0.2">
      <c r="A837" s="1" t="s">
        <v>1</v>
      </c>
      <c r="B837" s="71" t="s">
        <v>512</v>
      </c>
    </row>
    <row r="838" spans="1:9" x14ac:dyDescent="0.2">
      <c r="A838" t="s">
        <v>2</v>
      </c>
      <c r="B838" s="6" t="s">
        <v>1035</v>
      </c>
    </row>
    <row r="839" spans="1:9" x14ac:dyDescent="0.2">
      <c r="A839" t="s">
        <v>3</v>
      </c>
      <c r="B839" s="6">
        <v>1</v>
      </c>
    </row>
    <row r="840" spans="1:9" ht="16" x14ac:dyDescent="0.2">
      <c r="A840" t="s">
        <v>4</v>
      </c>
      <c r="B840" s="72" t="s">
        <v>399</v>
      </c>
    </row>
    <row r="841" spans="1:9" x14ac:dyDescent="0.2">
      <c r="A841" t="s">
        <v>5</v>
      </c>
      <c r="B841" s="6" t="s">
        <v>6</v>
      </c>
    </row>
    <row r="842" spans="1:9" x14ac:dyDescent="0.2">
      <c r="A842" t="s">
        <v>7</v>
      </c>
      <c r="B842" s="6" t="s">
        <v>8</v>
      </c>
    </row>
    <row r="843" spans="1:9" x14ac:dyDescent="0.2">
      <c r="A843" t="s">
        <v>9</v>
      </c>
      <c r="B843" s="6" t="s">
        <v>10</v>
      </c>
    </row>
    <row r="844" spans="1:9" x14ac:dyDescent="0.2">
      <c r="A844" t="s">
        <v>11</v>
      </c>
      <c r="B844" s="6" t="s">
        <v>504</v>
      </c>
    </row>
    <row r="845" spans="1:9" x14ac:dyDescent="0.2">
      <c r="A845" t="s">
        <v>497</v>
      </c>
      <c r="B845" s="70">
        <f>Summary!O144</f>
        <v>0.38899496372284142</v>
      </c>
    </row>
    <row r="846" spans="1:9" ht="16" x14ac:dyDescent="0.2">
      <c r="A846" s="1" t="s">
        <v>12</v>
      </c>
    </row>
    <row r="847" spans="1:9" x14ac:dyDescent="0.2">
      <c r="A847" t="s">
        <v>13</v>
      </c>
      <c r="B847" s="6" t="s">
        <v>14</v>
      </c>
      <c r="C847" t="s">
        <v>2</v>
      </c>
      <c r="D847" t="s">
        <v>7</v>
      </c>
      <c r="E847" t="s">
        <v>15</v>
      </c>
      <c r="F847" t="s">
        <v>5</v>
      </c>
      <c r="G847" t="s">
        <v>11</v>
      </c>
      <c r="H847" t="s">
        <v>4</v>
      </c>
    </row>
    <row r="848" spans="1:9" ht="16" x14ac:dyDescent="0.2">
      <c r="A848" s="2" t="s">
        <v>512</v>
      </c>
      <c r="B848" s="6">
        <v>1</v>
      </c>
      <c r="C848" t="s">
        <v>1035</v>
      </c>
      <c r="D848" t="s">
        <v>8</v>
      </c>
      <c r="F848" t="s">
        <v>17</v>
      </c>
      <c r="G848" t="s">
        <v>18</v>
      </c>
      <c r="H848" s="2" t="s">
        <v>399</v>
      </c>
    </row>
    <row r="849" spans="1:9" ht="16" x14ac:dyDescent="0.2">
      <c r="A849" s="2" t="s">
        <v>69</v>
      </c>
      <c r="B849" s="6">
        <f>(1/((Parameters!$C$23*Parameters!$B$4*Parameters!$B$12)/1000))</f>
        <v>4.1856906305826644</v>
      </c>
      <c r="C849" t="s">
        <v>1035</v>
      </c>
      <c r="D849" t="s">
        <v>8</v>
      </c>
      <c r="F849" t="s">
        <v>20</v>
      </c>
      <c r="G849" t="s">
        <v>18</v>
      </c>
      <c r="H849" s="2" t="s">
        <v>70</v>
      </c>
    </row>
    <row r="850" spans="1:9" ht="16" x14ac:dyDescent="0.2">
      <c r="A850" s="2" t="s">
        <v>221</v>
      </c>
      <c r="B850" s="6">
        <f>(180*Parameters!$B$3)/(Parameters!$B$4*Parameters!$B$12)</f>
        <v>6.3592381373341833E-2</v>
      </c>
      <c r="C850" t="s">
        <v>26</v>
      </c>
      <c r="D850" t="s">
        <v>19</v>
      </c>
      <c r="F850" t="s">
        <v>20</v>
      </c>
      <c r="H850" s="2" t="s">
        <v>222</v>
      </c>
    </row>
    <row r="851" spans="1:9" ht="16" x14ac:dyDescent="0.2">
      <c r="A851" s="2" t="s">
        <v>388</v>
      </c>
      <c r="B851" s="6">
        <f>((102.06/1000)/(Parameters!$B$4*Parameters!$B$12))</f>
        <v>3.4175326860581341E-2</v>
      </c>
      <c r="C851" t="s">
        <v>26</v>
      </c>
      <c r="D851" t="s">
        <v>8</v>
      </c>
      <c r="F851" t="s">
        <v>20</v>
      </c>
      <c r="G851" t="s">
        <v>390</v>
      </c>
      <c r="H851" s="2" t="s">
        <v>389</v>
      </c>
    </row>
    <row r="852" spans="1:9" ht="16" x14ac:dyDescent="0.2">
      <c r="A852" s="2" t="s">
        <v>252</v>
      </c>
      <c r="B852" s="6">
        <f>((304.85/1000)/(Parameters!$B$4*Parameters!$B$12))</f>
        <v>0.10208062309865003</v>
      </c>
      <c r="C852" t="s">
        <v>31</v>
      </c>
      <c r="D852" t="s">
        <v>8</v>
      </c>
      <c r="F852" t="s">
        <v>20</v>
      </c>
      <c r="H852" s="2" t="s">
        <v>253</v>
      </c>
    </row>
    <row r="853" spans="1:9" ht="16" x14ac:dyDescent="0.2">
      <c r="A853" s="2" t="s">
        <v>254</v>
      </c>
      <c r="B853" s="6">
        <f>((47.18/1000)/(Parameters!$B$4*Parameters!$B$12))</f>
        <v>1.5798470716071208E-2</v>
      </c>
      <c r="C853" t="s">
        <v>255</v>
      </c>
      <c r="D853" t="s">
        <v>8</v>
      </c>
      <c r="F853" t="s">
        <v>20</v>
      </c>
      <c r="H853" s="2" t="s">
        <v>256</v>
      </c>
    </row>
    <row r="854" spans="1:9" ht="16" x14ac:dyDescent="0.2">
      <c r="A854" s="2" t="s">
        <v>257</v>
      </c>
      <c r="B854" s="6">
        <v>0</v>
      </c>
      <c r="C854" t="s">
        <v>31</v>
      </c>
      <c r="D854" t="s">
        <v>8</v>
      </c>
      <c r="F854" t="s">
        <v>20</v>
      </c>
      <c r="H854" s="2" t="s">
        <v>414</v>
      </c>
    </row>
    <row r="855" spans="1:9" ht="16" x14ac:dyDescent="0.2">
      <c r="A855" s="2" t="s">
        <v>370</v>
      </c>
      <c r="B855" s="6">
        <f>((64.82/1000)/(Parameters!$B$4*Parameters!$B$12))</f>
        <v>2.1705317333949464E-2</v>
      </c>
      <c r="C855" t="s">
        <v>31</v>
      </c>
      <c r="D855" t="s">
        <v>8</v>
      </c>
      <c r="F855" t="s">
        <v>20</v>
      </c>
      <c r="G855" t="s">
        <v>387</v>
      </c>
      <c r="H855" s="2" t="s">
        <v>371</v>
      </c>
    </row>
    <row r="856" spans="1:9" x14ac:dyDescent="0.2">
      <c r="A856" t="s">
        <v>306</v>
      </c>
      <c r="B856" s="6">
        <f>1/(90000000*20)</f>
        <v>5.5555555555555553E-10</v>
      </c>
      <c r="C856" t="s">
        <v>26</v>
      </c>
      <c r="D856" t="s">
        <v>7</v>
      </c>
      <c r="F856" t="s">
        <v>20</v>
      </c>
      <c r="G856" t="s">
        <v>308</v>
      </c>
      <c r="H856" t="s">
        <v>307</v>
      </c>
    </row>
    <row r="857" spans="1:9" x14ac:dyDescent="0.2">
      <c r="A857" t="s">
        <v>265</v>
      </c>
      <c r="B857" s="6">
        <f>(B765*B849)-Parameters!$B$15</f>
        <v>5.6621000413546234</v>
      </c>
      <c r="D857" t="s">
        <v>8</v>
      </c>
      <c r="E857" t="s">
        <v>37</v>
      </c>
      <c r="F857" t="s">
        <v>36</v>
      </c>
      <c r="G857" t="s">
        <v>428</v>
      </c>
    </row>
    <row r="858" spans="1:9" x14ac:dyDescent="0.2">
      <c r="A858" s="35" t="s">
        <v>28</v>
      </c>
      <c r="B858" s="36">
        <f>Parameters!H22/Parameters!B4*Parameters!B12*-1</f>
        <v>-0.37292496697490091</v>
      </c>
      <c r="C858" t="s">
        <v>1036</v>
      </c>
      <c r="D858" s="35" t="s">
        <v>29</v>
      </c>
      <c r="E858" s="35"/>
      <c r="F858" s="35" t="s">
        <v>20</v>
      </c>
      <c r="G858" s="35" t="s">
        <v>505</v>
      </c>
      <c r="H858" s="35" t="s">
        <v>30</v>
      </c>
      <c r="I858" s="35"/>
    </row>
    <row r="859" spans="1:9" ht="16" x14ac:dyDescent="0.2">
      <c r="A859" s="2"/>
      <c r="H859" s="2"/>
    </row>
    <row r="860" spans="1:9" ht="16" x14ac:dyDescent="0.2">
      <c r="A860" s="1" t="s">
        <v>1</v>
      </c>
      <c r="B860" s="71" t="s">
        <v>401</v>
      </c>
    </row>
    <row r="861" spans="1:9" x14ac:dyDescent="0.2">
      <c r="A861" t="s">
        <v>2</v>
      </c>
      <c r="B861" s="6" t="s">
        <v>1035</v>
      </c>
    </row>
    <row r="862" spans="1:9" x14ac:dyDescent="0.2">
      <c r="A862" t="s">
        <v>3</v>
      </c>
      <c r="B862" s="6">
        <v>1</v>
      </c>
    </row>
    <row r="863" spans="1:9" ht="16" x14ac:dyDescent="0.2">
      <c r="A863" t="s">
        <v>4</v>
      </c>
      <c r="B863" s="72" t="s">
        <v>337</v>
      </c>
    </row>
    <row r="864" spans="1:9" x14ac:dyDescent="0.2">
      <c r="A864" t="s">
        <v>5</v>
      </c>
      <c r="B864" s="6" t="s">
        <v>6</v>
      </c>
    </row>
    <row r="865" spans="1:10" x14ac:dyDescent="0.2">
      <c r="A865" t="s">
        <v>7</v>
      </c>
      <c r="B865" s="6" t="s">
        <v>8</v>
      </c>
    </row>
    <row r="866" spans="1:10" x14ac:dyDescent="0.2">
      <c r="A866" t="s">
        <v>9</v>
      </c>
      <c r="B866" s="6" t="s">
        <v>393</v>
      </c>
    </row>
    <row r="867" spans="1:10" x14ac:dyDescent="0.2">
      <c r="A867" t="s">
        <v>11</v>
      </c>
      <c r="B867" s="6" t="s">
        <v>362</v>
      </c>
    </row>
    <row r="868" spans="1:10" ht="16" x14ac:dyDescent="0.2">
      <c r="A868" s="1" t="s">
        <v>12</v>
      </c>
    </row>
    <row r="869" spans="1:10" x14ac:dyDescent="0.2">
      <c r="A869" t="s">
        <v>13</v>
      </c>
      <c r="B869" s="6" t="s">
        <v>14</v>
      </c>
      <c r="C869" t="s">
        <v>2</v>
      </c>
      <c r="D869" t="s">
        <v>7</v>
      </c>
      <c r="E869" t="s">
        <v>15</v>
      </c>
      <c r="F869" t="s">
        <v>5</v>
      </c>
      <c r="G869" t="s">
        <v>338</v>
      </c>
      <c r="H869" t="s">
        <v>339</v>
      </c>
      <c r="I869" t="s">
        <v>11</v>
      </c>
      <c r="J869" t="s">
        <v>4</v>
      </c>
    </row>
    <row r="870" spans="1:10" x14ac:dyDescent="0.2">
      <c r="A870" s="35" t="s">
        <v>401</v>
      </c>
      <c r="B870" s="36">
        <v>1</v>
      </c>
      <c r="C870" t="s">
        <v>1035</v>
      </c>
      <c r="D870" s="35" t="s">
        <v>8</v>
      </c>
      <c r="E870" s="35"/>
      <c r="F870" s="35" t="s">
        <v>17</v>
      </c>
      <c r="G870" s="35"/>
      <c r="H870" s="35"/>
      <c r="I870" s="35" t="s">
        <v>18</v>
      </c>
      <c r="J870" s="35" t="s">
        <v>337</v>
      </c>
    </row>
    <row r="871" spans="1:10" ht="16" x14ac:dyDescent="0.2">
      <c r="A871" s="2" t="s">
        <v>398</v>
      </c>
      <c r="B871" s="6">
        <v>1.00057</v>
      </c>
      <c r="C871" t="s">
        <v>1035</v>
      </c>
      <c r="D871" t="s">
        <v>8</v>
      </c>
      <c r="F871" s="35" t="s">
        <v>20</v>
      </c>
      <c r="G871" t="s">
        <v>18</v>
      </c>
      <c r="I871" s="35"/>
      <c r="J871" s="2" t="s">
        <v>399</v>
      </c>
    </row>
    <row r="872" spans="1:10" x14ac:dyDescent="0.2">
      <c r="A872" s="35" t="s">
        <v>28</v>
      </c>
      <c r="B872" s="36">
        <v>6.7000000000000002E-3</v>
      </c>
      <c r="C872" t="s">
        <v>1036</v>
      </c>
      <c r="D872" s="35" t="s">
        <v>29</v>
      </c>
      <c r="E872" s="35"/>
      <c r="F872" s="35" t="s">
        <v>20</v>
      </c>
      <c r="G872" s="35"/>
      <c r="H872" s="35"/>
      <c r="I872" s="35"/>
      <c r="J872" s="35" t="s">
        <v>30</v>
      </c>
    </row>
    <row r="873" spans="1:10" x14ac:dyDescent="0.2">
      <c r="A873" s="35" t="s">
        <v>340</v>
      </c>
      <c r="B873" s="36">
        <v>-1.6799999999999999E-4</v>
      </c>
      <c r="C873" s="35" t="s">
        <v>31</v>
      </c>
      <c r="D873" s="35" t="s">
        <v>8</v>
      </c>
      <c r="E873" s="35"/>
      <c r="F873" s="35" t="s">
        <v>20</v>
      </c>
      <c r="G873" s="35"/>
      <c r="H873" s="35"/>
      <c r="I873" s="35"/>
      <c r="J873" s="35" t="s">
        <v>341</v>
      </c>
    </row>
    <row r="874" spans="1:10" x14ac:dyDescent="0.2">
      <c r="A874" s="35" t="s">
        <v>342</v>
      </c>
      <c r="B874" s="36">
        <v>5.8399999999999999E-4</v>
      </c>
      <c r="C874" s="35" t="s">
        <v>31</v>
      </c>
      <c r="D874" s="35" t="s">
        <v>19</v>
      </c>
      <c r="E874" s="35"/>
      <c r="F874" s="35" t="s">
        <v>20</v>
      </c>
      <c r="G874" s="35"/>
      <c r="H874" s="35"/>
      <c r="I874" s="35"/>
      <c r="J874" s="35" t="s">
        <v>343</v>
      </c>
    </row>
    <row r="875" spans="1:10" x14ac:dyDescent="0.2">
      <c r="A875" s="35" t="s">
        <v>344</v>
      </c>
      <c r="B875" s="36">
        <v>2.5999999999999998E-10</v>
      </c>
      <c r="C875" s="35" t="s">
        <v>31</v>
      </c>
      <c r="D875" s="35" t="s">
        <v>7</v>
      </c>
      <c r="E875" s="35"/>
      <c r="F875" s="35" t="s">
        <v>20</v>
      </c>
      <c r="G875" s="35"/>
      <c r="H875" s="35"/>
      <c r="I875" s="35"/>
      <c r="J875" s="35" t="s">
        <v>345</v>
      </c>
    </row>
    <row r="876" spans="1:10" x14ac:dyDescent="0.2">
      <c r="A876" s="35" t="s">
        <v>346</v>
      </c>
      <c r="B876" s="36">
        <v>-6.2700000000000001E-6</v>
      </c>
      <c r="C876" s="35" t="s">
        <v>31</v>
      </c>
      <c r="D876" s="35" t="s">
        <v>8</v>
      </c>
      <c r="E876" s="35"/>
      <c r="F876" s="35" t="s">
        <v>20</v>
      </c>
      <c r="G876" s="35"/>
      <c r="H876" s="35"/>
      <c r="I876" s="35"/>
      <c r="J876" s="35" t="s">
        <v>347</v>
      </c>
    </row>
    <row r="877" spans="1:10" x14ac:dyDescent="0.2">
      <c r="A877" s="35" t="s">
        <v>348</v>
      </c>
      <c r="B877" s="36">
        <v>-7.4999999999999993E-5</v>
      </c>
      <c r="C877" s="35" t="s">
        <v>31</v>
      </c>
      <c r="D877" s="35" t="s">
        <v>121</v>
      </c>
      <c r="E877" s="35"/>
      <c r="F877" s="35" t="s">
        <v>20</v>
      </c>
      <c r="G877" s="35"/>
      <c r="H877" s="35"/>
      <c r="I877" s="35"/>
      <c r="J877" s="35" t="s">
        <v>349</v>
      </c>
    </row>
    <row r="878" spans="1:10" x14ac:dyDescent="0.2">
      <c r="A878" s="35" t="s">
        <v>350</v>
      </c>
      <c r="B878" s="36">
        <v>6.8900000000000005E-4</v>
      </c>
      <c r="C878" s="35" t="s">
        <v>31</v>
      </c>
      <c r="D878" s="35" t="s">
        <v>8</v>
      </c>
      <c r="E878" s="35"/>
      <c r="F878" s="35" t="s">
        <v>20</v>
      </c>
      <c r="G878" s="35"/>
      <c r="H878" s="35"/>
      <c r="I878" s="35"/>
      <c r="J878" s="35" t="s">
        <v>351</v>
      </c>
    </row>
    <row r="879" spans="1:10" x14ac:dyDescent="0.2">
      <c r="A879" s="35" t="s">
        <v>100</v>
      </c>
      <c r="B879" s="36">
        <v>3.3599999999999998E-2</v>
      </c>
      <c r="C879" s="35" t="s">
        <v>31</v>
      </c>
      <c r="D879" s="35" t="s">
        <v>41</v>
      </c>
      <c r="E879" s="35"/>
      <c r="F879" s="35" t="s">
        <v>20</v>
      </c>
      <c r="G879" s="35"/>
      <c r="H879" s="35"/>
      <c r="I879" s="35"/>
      <c r="J879" s="35" t="s">
        <v>103</v>
      </c>
    </row>
    <row r="880" spans="1:10" x14ac:dyDescent="0.2">
      <c r="A880" s="35" t="s">
        <v>352</v>
      </c>
      <c r="B880" s="36">
        <v>3.2599999999999997E-2</v>
      </c>
      <c r="C880" s="35" t="s">
        <v>572</v>
      </c>
      <c r="D880" s="35" t="s">
        <v>41</v>
      </c>
      <c r="E880" s="35"/>
      <c r="F880" s="35" t="s">
        <v>20</v>
      </c>
      <c r="G880" s="35"/>
      <c r="H880" s="35"/>
      <c r="I880" s="35"/>
      <c r="J880" s="35" t="s">
        <v>353</v>
      </c>
    </row>
    <row r="881" spans="1:10" x14ac:dyDescent="0.2">
      <c r="A881" s="35" t="s">
        <v>354</v>
      </c>
      <c r="B881" s="36">
        <v>-6.8899999999999999E-7</v>
      </c>
      <c r="C881" s="35" t="s">
        <v>31</v>
      </c>
      <c r="D881" s="35" t="s">
        <v>121</v>
      </c>
      <c r="E881" s="35"/>
      <c r="F881" s="35" t="s">
        <v>20</v>
      </c>
      <c r="G881" s="35"/>
      <c r="H881" s="35"/>
      <c r="I881" s="35"/>
      <c r="J881" s="35" t="s">
        <v>355</v>
      </c>
    </row>
    <row r="883" spans="1:10" ht="16" x14ac:dyDescent="0.2">
      <c r="A883" s="1" t="s">
        <v>1</v>
      </c>
      <c r="B883" s="71" t="s">
        <v>402</v>
      </c>
    </row>
    <row r="884" spans="1:10" x14ac:dyDescent="0.2">
      <c r="A884" t="s">
        <v>2</v>
      </c>
      <c r="B884" s="6" t="s">
        <v>1035</v>
      </c>
    </row>
    <row r="885" spans="1:10" x14ac:dyDescent="0.2">
      <c r="A885" t="s">
        <v>3</v>
      </c>
      <c r="B885" s="6">
        <v>1</v>
      </c>
    </row>
    <row r="886" spans="1:10" ht="16" x14ac:dyDescent="0.2">
      <c r="A886" t="s">
        <v>4</v>
      </c>
      <c r="B886" s="72" t="s">
        <v>337</v>
      </c>
    </row>
    <row r="887" spans="1:10" x14ac:dyDescent="0.2">
      <c r="A887" t="s">
        <v>5</v>
      </c>
      <c r="B887" s="6" t="s">
        <v>6</v>
      </c>
    </row>
    <row r="888" spans="1:10" x14ac:dyDescent="0.2">
      <c r="A888" t="s">
        <v>7</v>
      </c>
      <c r="B888" s="6" t="s">
        <v>8</v>
      </c>
    </row>
    <row r="889" spans="1:10" x14ac:dyDescent="0.2">
      <c r="A889" t="s">
        <v>9</v>
      </c>
      <c r="B889" s="6" t="s">
        <v>393</v>
      </c>
    </row>
    <row r="890" spans="1:10" x14ac:dyDescent="0.2">
      <c r="A890" t="s">
        <v>11</v>
      </c>
      <c r="B890" s="6" t="s">
        <v>361</v>
      </c>
    </row>
    <row r="891" spans="1:10" ht="16" x14ac:dyDescent="0.2">
      <c r="A891" s="1" t="s">
        <v>12</v>
      </c>
    </row>
    <row r="892" spans="1:10" x14ac:dyDescent="0.2">
      <c r="A892" t="s">
        <v>13</v>
      </c>
      <c r="B892" s="6" t="s">
        <v>14</v>
      </c>
      <c r="C892" t="s">
        <v>2</v>
      </c>
      <c r="D892" t="s">
        <v>7</v>
      </c>
      <c r="E892" t="s">
        <v>15</v>
      </c>
      <c r="F892" t="s">
        <v>5</v>
      </c>
      <c r="G892" t="s">
        <v>338</v>
      </c>
      <c r="H892" t="s">
        <v>339</v>
      </c>
      <c r="I892" t="s">
        <v>11</v>
      </c>
      <c r="J892" t="s">
        <v>4</v>
      </c>
    </row>
    <row r="893" spans="1:10" x14ac:dyDescent="0.2">
      <c r="A893" s="35" t="s">
        <v>402</v>
      </c>
      <c r="B893" s="36">
        <v>1</v>
      </c>
      <c r="C893" t="s">
        <v>1035</v>
      </c>
      <c r="D893" s="35" t="s">
        <v>8</v>
      </c>
      <c r="E893" s="35"/>
      <c r="F893" s="35" t="s">
        <v>17</v>
      </c>
      <c r="G893" s="35"/>
      <c r="H893" s="35"/>
      <c r="I893" s="35" t="s">
        <v>18</v>
      </c>
      <c r="J893" s="35" t="s">
        <v>337</v>
      </c>
    </row>
    <row r="894" spans="1:10" ht="16" x14ac:dyDescent="0.2">
      <c r="A894" s="2" t="s">
        <v>400</v>
      </c>
      <c r="B894" s="6">
        <v>1.00057</v>
      </c>
      <c r="C894" t="s">
        <v>1035</v>
      </c>
      <c r="D894" t="s">
        <v>8</v>
      </c>
      <c r="F894" s="35" t="s">
        <v>20</v>
      </c>
      <c r="G894" t="s">
        <v>18</v>
      </c>
      <c r="I894" s="35"/>
      <c r="J894" s="2" t="s">
        <v>399</v>
      </c>
    </row>
    <row r="895" spans="1:10" x14ac:dyDescent="0.2">
      <c r="A895" s="35" t="s">
        <v>28</v>
      </c>
      <c r="B895" s="36">
        <v>6.7000000000000002E-3</v>
      </c>
      <c r="C895" t="s">
        <v>1036</v>
      </c>
      <c r="D895" s="35" t="s">
        <v>29</v>
      </c>
      <c r="E895" s="35"/>
      <c r="F895" s="35" t="s">
        <v>20</v>
      </c>
      <c r="G895" s="35"/>
      <c r="H895" s="35"/>
      <c r="I895" s="35"/>
      <c r="J895" s="35" t="s">
        <v>30</v>
      </c>
    </row>
    <row r="896" spans="1:10" x14ac:dyDescent="0.2">
      <c r="A896" s="35" t="s">
        <v>340</v>
      </c>
      <c r="B896" s="36">
        <v>-1.6799999999999999E-4</v>
      </c>
      <c r="C896" s="35" t="s">
        <v>31</v>
      </c>
      <c r="D896" s="35" t="s">
        <v>8</v>
      </c>
      <c r="E896" s="35"/>
      <c r="F896" s="35" t="s">
        <v>20</v>
      </c>
      <c r="G896" s="35"/>
      <c r="H896" s="35"/>
      <c r="I896" s="35"/>
      <c r="J896" s="35" t="s">
        <v>341</v>
      </c>
    </row>
    <row r="897" spans="1:10" x14ac:dyDescent="0.2">
      <c r="A897" s="35" t="s">
        <v>342</v>
      </c>
      <c r="B897" s="36">
        <v>5.8399999999999999E-4</v>
      </c>
      <c r="C897" s="35" t="s">
        <v>31</v>
      </c>
      <c r="D897" s="35" t="s">
        <v>19</v>
      </c>
      <c r="E897" s="35"/>
      <c r="F897" s="35" t="s">
        <v>20</v>
      </c>
      <c r="G897" s="35"/>
      <c r="H897" s="35"/>
      <c r="I897" s="35"/>
      <c r="J897" s="35" t="s">
        <v>343</v>
      </c>
    </row>
    <row r="898" spans="1:10" x14ac:dyDescent="0.2">
      <c r="A898" s="35" t="s">
        <v>344</v>
      </c>
      <c r="B898" s="36">
        <v>2.5999999999999998E-10</v>
      </c>
      <c r="C898" s="35" t="s">
        <v>31</v>
      </c>
      <c r="D898" s="35" t="s">
        <v>7</v>
      </c>
      <c r="E898" s="35"/>
      <c r="F898" s="35" t="s">
        <v>20</v>
      </c>
      <c r="G898" s="35"/>
      <c r="H898" s="35"/>
      <c r="I898" s="35"/>
      <c r="J898" s="35" t="s">
        <v>345</v>
      </c>
    </row>
    <row r="899" spans="1:10" x14ac:dyDescent="0.2">
      <c r="A899" s="35" t="s">
        <v>346</v>
      </c>
      <c r="B899" s="36">
        <v>-6.2700000000000001E-6</v>
      </c>
      <c r="C899" s="35" t="s">
        <v>31</v>
      </c>
      <c r="D899" s="35" t="s">
        <v>8</v>
      </c>
      <c r="E899" s="35"/>
      <c r="F899" s="35" t="s">
        <v>20</v>
      </c>
      <c r="G899" s="35"/>
      <c r="H899" s="35"/>
      <c r="I899" s="35"/>
      <c r="J899" s="35" t="s">
        <v>347</v>
      </c>
    </row>
    <row r="900" spans="1:10" x14ac:dyDescent="0.2">
      <c r="A900" s="35" t="s">
        <v>348</v>
      </c>
      <c r="B900" s="36">
        <v>-7.4999999999999993E-5</v>
      </c>
      <c r="C900" s="35" t="s">
        <v>31</v>
      </c>
      <c r="D900" s="35" t="s">
        <v>121</v>
      </c>
      <c r="E900" s="35"/>
      <c r="F900" s="35" t="s">
        <v>20</v>
      </c>
      <c r="G900" s="35"/>
      <c r="H900" s="35"/>
      <c r="I900" s="35"/>
      <c r="J900" s="35" t="s">
        <v>349</v>
      </c>
    </row>
    <row r="901" spans="1:10" x14ac:dyDescent="0.2">
      <c r="A901" s="35" t="s">
        <v>350</v>
      </c>
      <c r="B901" s="36">
        <v>6.8900000000000005E-4</v>
      </c>
      <c r="C901" s="35" t="s">
        <v>31</v>
      </c>
      <c r="D901" s="35" t="s">
        <v>8</v>
      </c>
      <c r="E901" s="35"/>
      <c r="F901" s="35" t="s">
        <v>20</v>
      </c>
      <c r="G901" s="35"/>
      <c r="H901" s="35"/>
      <c r="I901" s="35"/>
      <c r="J901" s="35" t="s">
        <v>351</v>
      </c>
    </row>
    <row r="902" spans="1:10" x14ac:dyDescent="0.2">
      <c r="A902" s="35" t="s">
        <v>100</v>
      </c>
      <c r="B902" s="36">
        <v>3.3599999999999998E-2</v>
      </c>
      <c r="C902" s="35" t="s">
        <v>31</v>
      </c>
      <c r="D902" s="35" t="s">
        <v>41</v>
      </c>
      <c r="E902" s="35"/>
      <c r="F902" s="35" t="s">
        <v>20</v>
      </c>
      <c r="G902" s="35"/>
      <c r="H902" s="35"/>
      <c r="I902" s="35"/>
      <c r="J902" s="35" t="s">
        <v>103</v>
      </c>
    </row>
    <row r="903" spans="1:10" x14ac:dyDescent="0.2">
      <c r="A903" s="35" t="s">
        <v>352</v>
      </c>
      <c r="B903" s="36">
        <v>3.2599999999999997E-2</v>
      </c>
      <c r="C903" s="35" t="s">
        <v>572</v>
      </c>
      <c r="D903" s="35" t="s">
        <v>41</v>
      </c>
      <c r="E903" s="35"/>
      <c r="F903" s="35" t="s">
        <v>20</v>
      </c>
      <c r="G903" s="35"/>
      <c r="H903" s="35"/>
      <c r="I903" s="35"/>
      <c r="J903" s="35" t="s">
        <v>353</v>
      </c>
    </row>
    <row r="904" spans="1:10" x14ac:dyDescent="0.2">
      <c r="A904" s="35" t="s">
        <v>354</v>
      </c>
      <c r="B904" s="36">
        <v>-6.8899999999999999E-7</v>
      </c>
      <c r="C904" s="35" t="s">
        <v>31</v>
      </c>
      <c r="D904" s="35" t="s">
        <v>121</v>
      </c>
      <c r="E904" s="35"/>
      <c r="F904" s="35" t="s">
        <v>20</v>
      </c>
      <c r="G904" s="35"/>
      <c r="H904" s="35"/>
      <c r="I904" s="35"/>
      <c r="J904" s="35" t="s">
        <v>355</v>
      </c>
    </row>
    <row r="905" spans="1:10" x14ac:dyDescent="0.2">
      <c r="A905" s="35"/>
      <c r="B905" s="36"/>
      <c r="C905" s="35"/>
      <c r="D905" s="35"/>
      <c r="E905" s="35"/>
      <c r="F905" s="35"/>
      <c r="G905" s="35"/>
      <c r="H905" s="35"/>
      <c r="I905" s="35"/>
      <c r="J905" s="35"/>
    </row>
    <row r="906" spans="1:10" ht="16" x14ac:dyDescent="0.2">
      <c r="A906" s="1" t="s">
        <v>1</v>
      </c>
      <c r="B906" s="71" t="s">
        <v>513</v>
      </c>
    </row>
    <row r="907" spans="1:10" x14ac:dyDescent="0.2">
      <c r="A907" t="s">
        <v>2</v>
      </c>
      <c r="B907" s="6" t="s">
        <v>1035</v>
      </c>
    </row>
    <row r="908" spans="1:10" x14ac:dyDescent="0.2">
      <c r="A908" t="s">
        <v>3</v>
      </c>
      <c r="B908" s="6">
        <v>1</v>
      </c>
    </row>
    <row r="909" spans="1:10" ht="16" x14ac:dyDescent="0.2">
      <c r="A909" t="s">
        <v>4</v>
      </c>
      <c r="B909" s="72" t="s">
        <v>337</v>
      </c>
    </row>
    <row r="910" spans="1:10" x14ac:dyDescent="0.2">
      <c r="A910" t="s">
        <v>5</v>
      </c>
      <c r="B910" s="6" t="s">
        <v>6</v>
      </c>
    </row>
    <row r="911" spans="1:10" x14ac:dyDescent="0.2">
      <c r="A911" t="s">
        <v>7</v>
      </c>
      <c r="B911" s="6" t="s">
        <v>8</v>
      </c>
    </row>
    <row r="912" spans="1:10" x14ac:dyDescent="0.2">
      <c r="A912" t="s">
        <v>9</v>
      </c>
      <c r="B912" s="6" t="s">
        <v>393</v>
      </c>
    </row>
    <row r="913" spans="1:10" x14ac:dyDescent="0.2">
      <c r="A913" t="s">
        <v>11</v>
      </c>
      <c r="B913" s="6" t="s">
        <v>507</v>
      </c>
    </row>
    <row r="914" spans="1:10" ht="16" x14ac:dyDescent="0.2">
      <c r="A914" s="1" t="s">
        <v>12</v>
      </c>
    </row>
    <row r="915" spans="1:10" x14ac:dyDescent="0.2">
      <c r="A915" t="s">
        <v>13</v>
      </c>
      <c r="B915" s="6" t="s">
        <v>14</v>
      </c>
      <c r="C915" t="s">
        <v>2</v>
      </c>
      <c r="D915" t="s">
        <v>7</v>
      </c>
      <c r="E915" t="s">
        <v>15</v>
      </c>
      <c r="F915" t="s">
        <v>5</v>
      </c>
      <c r="G915" t="s">
        <v>338</v>
      </c>
      <c r="H915" t="s">
        <v>339</v>
      </c>
      <c r="I915" t="s">
        <v>11</v>
      </c>
      <c r="J915" t="s">
        <v>4</v>
      </c>
    </row>
    <row r="916" spans="1:10" x14ac:dyDescent="0.2">
      <c r="A916" s="35" t="s">
        <v>513</v>
      </c>
      <c r="B916" s="36">
        <v>1</v>
      </c>
      <c r="C916" t="s">
        <v>1035</v>
      </c>
      <c r="D916" s="35" t="s">
        <v>8</v>
      </c>
      <c r="E916" s="35"/>
      <c r="F916" s="35" t="s">
        <v>17</v>
      </c>
      <c r="G916" s="35"/>
      <c r="H916" s="35"/>
      <c r="I916" s="35" t="s">
        <v>18</v>
      </c>
      <c r="J916" s="35" t="s">
        <v>337</v>
      </c>
    </row>
    <row r="917" spans="1:10" ht="16" x14ac:dyDescent="0.2">
      <c r="A917" s="2" t="s">
        <v>512</v>
      </c>
      <c r="B917" s="6">
        <v>1.00057</v>
      </c>
      <c r="C917" t="s">
        <v>1035</v>
      </c>
      <c r="D917" t="s">
        <v>8</v>
      </c>
      <c r="F917" s="35" t="s">
        <v>20</v>
      </c>
      <c r="G917" t="s">
        <v>18</v>
      </c>
      <c r="I917" s="35"/>
      <c r="J917" s="2" t="s">
        <v>399</v>
      </c>
    </row>
    <row r="918" spans="1:10" x14ac:dyDescent="0.2">
      <c r="A918" s="35" t="s">
        <v>28</v>
      </c>
      <c r="B918" s="36">
        <v>6.7000000000000002E-3</v>
      </c>
      <c r="C918" t="s">
        <v>1036</v>
      </c>
      <c r="D918" s="35" t="s">
        <v>29</v>
      </c>
      <c r="E918" s="35"/>
      <c r="F918" s="35" t="s">
        <v>20</v>
      </c>
      <c r="G918" s="35"/>
      <c r="H918" s="35"/>
      <c r="I918" s="35"/>
      <c r="J918" s="35" t="s">
        <v>30</v>
      </c>
    </row>
    <row r="919" spans="1:10" x14ac:dyDescent="0.2">
      <c r="A919" s="35" t="s">
        <v>340</v>
      </c>
      <c r="B919" s="36">
        <v>-1.6799999999999999E-4</v>
      </c>
      <c r="C919" s="35" t="s">
        <v>31</v>
      </c>
      <c r="D919" s="35" t="s">
        <v>8</v>
      </c>
      <c r="E919" s="35"/>
      <c r="F919" s="35" t="s">
        <v>20</v>
      </c>
      <c r="G919" s="35"/>
      <c r="H919" s="35"/>
      <c r="I919" s="35"/>
      <c r="J919" s="35" t="s">
        <v>341</v>
      </c>
    </row>
    <row r="920" spans="1:10" x14ac:dyDescent="0.2">
      <c r="A920" s="35" t="s">
        <v>342</v>
      </c>
      <c r="B920" s="36">
        <v>5.8399999999999999E-4</v>
      </c>
      <c r="C920" s="35" t="s">
        <v>31</v>
      </c>
      <c r="D920" s="35" t="s">
        <v>19</v>
      </c>
      <c r="E920" s="35"/>
      <c r="F920" s="35" t="s">
        <v>20</v>
      </c>
      <c r="G920" s="35"/>
      <c r="H920" s="35"/>
      <c r="I920" s="35"/>
      <c r="J920" s="35" t="s">
        <v>343</v>
      </c>
    </row>
    <row r="921" spans="1:10" x14ac:dyDescent="0.2">
      <c r="A921" s="35" t="s">
        <v>344</v>
      </c>
      <c r="B921" s="36">
        <v>2.5999999999999998E-10</v>
      </c>
      <c r="C921" s="35" t="s">
        <v>31</v>
      </c>
      <c r="D921" s="35" t="s">
        <v>7</v>
      </c>
      <c r="E921" s="35"/>
      <c r="F921" s="35" t="s">
        <v>20</v>
      </c>
      <c r="G921" s="35"/>
      <c r="H921" s="35"/>
      <c r="I921" s="35"/>
      <c r="J921" s="35" t="s">
        <v>345</v>
      </c>
    </row>
    <row r="922" spans="1:10" x14ac:dyDescent="0.2">
      <c r="A922" s="35" t="s">
        <v>346</v>
      </c>
      <c r="B922" s="36">
        <v>-6.2700000000000001E-6</v>
      </c>
      <c r="C922" s="35" t="s">
        <v>31</v>
      </c>
      <c r="D922" s="35" t="s">
        <v>8</v>
      </c>
      <c r="E922" s="35"/>
      <c r="F922" s="35" t="s">
        <v>20</v>
      </c>
      <c r="G922" s="35"/>
      <c r="H922" s="35"/>
      <c r="I922" s="35"/>
      <c r="J922" s="35" t="s">
        <v>347</v>
      </c>
    </row>
    <row r="923" spans="1:10" x14ac:dyDescent="0.2">
      <c r="A923" s="35" t="s">
        <v>348</v>
      </c>
      <c r="B923" s="36">
        <v>-7.4999999999999993E-5</v>
      </c>
      <c r="C923" s="35" t="s">
        <v>31</v>
      </c>
      <c r="D923" s="35" t="s">
        <v>121</v>
      </c>
      <c r="E923" s="35"/>
      <c r="F923" s="35" t="s">
        <v>20</v>
      </c>
      <c r="G923" s="35"/>
      <c r="H923" s="35"/>
      <c r="I923" s="35"/>
      <c r="J923" s="35" t="s">
        <v>349</v>
      </c>
    </row>
    <row r="924" spans="1:10" x14ac:dyDescent="0.2">
      <c r="A924" s="35" t="s">
        <v>350</v>
      </c>
      <c r="B924" s="36">
        <v>6.8900000000000005E-4</v>
      </c>
      <c r="C924" s="35" t="s">
        <v>31</v>
      </c>
      <c r="D924" s="35" t="s">
        <v>8</v>
      </c>
      <c r="E924" s="35"/>
      <c r="F924" s="35" t="s">
        <v>20</v>
      </c>
      <c r="G924" s="35"/>
      <c r="H924" s="35"/>
      <c r="I924" s="35"/>
      <c r="J924" s="35" t="s">
        <v>351</v>
      </c>
    </row>
    <row r="925" spans="1:10" x14ac:dyDescent="0.2">
      <c r="A925" s="35" t="s">
        <v>100</v>
      </c>
      <c r="B925" s="36">
        <v>3.3599999999999998E-2</v>
      </c>
      <c r="C925" s="35" t="s">
        <v>31</v>
      </c>
      <c r="D925" s="35" t="s">
        <v>41</v>
      </c>
      <c r="E925" s="35"/>
      <c r="F925" s="35" t="s">
        <v>20</v>
      </c>
      <c r="G925" s="35"/>
      <c r="H925" s="35"/>
      <c r="I925" s="35"/>
      <c r="J925" s="35" t="s">
        <v>103</v>
      </c>
    </row>
    <row r="926" spans="1:10" x14ac:dyDescent="0.2">
      <c r="A926" s="35" t="s">
        <v>352</v>
      </c>
      <c r="B926" s="36">
        <v>3.2599999999999997E-2</v>
      </c>
      <c r="C926" s="35" t="s">
        <v>572</v>
      </c>
      <c r="D926" s="35" t="s">
        <v>41</v>
      </c>
      <c r="E926" s="35"/>
      <c r="F926" s="35" t="s">
        <v>20</v>
      </c>
      <c r="G926" s="35"/>
      <c r="H926" s="35"/>
      <c r="I926" s="35"/>
      <c r="J926" s="35" t="s">
        <v>353</v>
      </c>
    </row>
    <row r="927" spans="1:10" x14ac:dyDescent="0.2">
      <c r="A927" s="35" t="s">
        <v>354</v>
      </c>
      <c r="B927" s="36">
        <v>-6.8899999999999999E-7</v>
      </c>
      <c r="C927" s="35" t="s">
        <v>31</v>
      </c>
      <c r="D927" s="35" t="s">
        <v>121</v>
      </c>
      <c r="E927" s="35"/>
      <c r="F927" s="35" t="s">
        <v>20</v>
      </c>
      <c r="G927" s="35"/>
      <c r="H927" s="35"/>
      <c r="I927" s="35"/>
      <c r="J927" s="35" t="s">
        <v>355</v>
      </c>
    </row>
    <row r="928" spans="1:10" x14ac:dyDescent="0.2">
      <c r="A928" s="35"/>
      <c r="B928" s="36"/>
      <c r="C928" s="35"/>
      <c r="D928" s="35"/>
      <c r="E928" s="35"/>
      <c r="F928" s="35"/>
      <c r="G928" s="35"/>
      <c r="H928" s="35"/>
      <c r="I928" s="35"/>
      <c r="J928" s="35"/>
    </row>
    <row r="929" spans="1:8" ht="16" x14ac:dyDescent="0.2">
      <c r="A929" s="1" t="s">
        <v>1</v>
      </c>
      <c r="B929" s="71" t="s">
        <v>66</v>
      </c>
    </row>
    <row r="930" spans="1:8" x14ac:dyDescent="0.2">
      <c r="A930" t="s">
        <v>2</v>
      </c>
      <c r="B930" s="6" t="s">
        <v>1035</v>
      </c>
    </row>
    <row r="931" spans="1:8" x14ac:dyDescent="0.2">
      <c r="A931" t="s">
        <v>3</v>
      </c>
      <c r="B931" s="6">
        <v>1</v>
      </c>
    </row>
    <row r="932" spans="1:8" ht="16" x14ac:dyDescent="0.2">
      <c r="A932" t="s">
        <v>4</v>
      </c>
      <c r="B932" s="72" t="s">
        <v>62</v>
      </c>
    </row>
    <row r="933" spans="1:8" x14ac:dyDescent="0.2">
      <c r="A933" t="s">
        <v>5</v>
      </c>
      <c r="B933" s="6" t="s">
        <v>6</v>
      </c>
    </row>
    <row r="934" spans="1:8" x14ac:dyDescent="0.2">
      <c r="A934" t="s">
        <v>7</v>
      </c>
      <c r="B934" s="6" t="s">
        <v>8</v>
      </c>
    </row>
    <row r="935" spans="1:8" x14ac:dyDescent="0.2">
      <c r="A935" t="s">
        <v>9</v>
      </c>
      <c r="B935" s="6" t="s">
        <v>10</v>
      </c>
    </row>
    <row r="936" spans="1:8" x14ac:dyDescent="0.2">
      <c r="A936" t="s">
        <v>11</v>
      </c>
      <c r="B936" s="6" t="s">
        <v>175</v>
      </c>
    </row>
    <row r="937" spans="1:8" x14ac:dyDescent="0.2">
      <c r="A937" t="s">
        <v>841</v>
      </c>
      <c r="B937" s="5">
        <f>Summary!R10</f>
        <v>16.186667617799998</v>
      </c>
    </row>
    <row r="938" spans="1:8" x14ac:dyDescent="0.2">
      <c r="A938" t="s">
        <v>847</v>
      </c>
      <c r="B938" s="76">
        <f>Summary!Q10</f>
        <v>0.15</v>
      </c>
    </row>
    <row r="939" spans="1:8" ht="16" x14ac:dyDescent="0.2">
      <c r="A939" s="1" t="s">
        <v>12</v>
      </c>
    </row>
    <row r="940" spans="1:8" x14ac:dyDescent="0.2">
      <c r="A940" t="s">
        <v>13</v>
      </c>
      <c r="B940" s="6" t="s">
        <v>14</v>
      </c>
      <c r="C940" t="s">
        <v>2</v>
      </c>
      <c r="D940" t="s">
        <v>7</v>
      </c>
      <c r="E940" t="s">
        <v>15</v>
      </c>
      <c r="F940" t="s">
        <v>5</v>
      </c>
      <c r="G940" t="s">
        <v>11</v>
      </c>
      <c r="H940" t="s">
        <v>4</v>
      </c>
    </row>
    <row r="941" spans="1:8" ht="16" x14ac:dyDescent="0.2">
      <c r="A941" s="2" t="s">
        <v>66</v>
      </c>
      <c r="B941" s="6">
        <v>1</v>
      </c>
      <c r="C941" t="s">
        <v>1035</v>
      </c>
      <c r="D941" t="s">
        <v>8</v>
      </c>
      <c r="F941" t="s">
        <v>17</v>
      </c>
      <c r="G941" t="s">
        <v>18</v>
      </c>
      <c r="H941" s="2" t="s">
        <v>61</v>
      </c>
    </row>
    <row r="942" spans="1:8" x14ac:dyDescent="0.2">
      <c r="A942" t="s">
        <v>22</v>
      </c>
      <c r="B942" s="6">
        <f>47926*Parameters!$B$3/1000</f>
        <v>5.0564609063399997E-2</v>
      </c>
      <c r="C942" t="s">
        <v>26</v>
      </c>
      <c r="D942" t="s">
        <v>19</v>
      </c>
      <c r="F942" t="s">
        <v>20</v>
      </c>
      <c r="G942" t="s">
        <v>60</v>
      </c>
      <c r="H942" t="s">
        <v>23</v>
      </c>
    </row>
    <row r="943" spans="1:8" x14ac:dyDescent="0.2">
      <c r="A943" t="s">
        <v>28</v>
      </c>
      <c r="B943" s="6">
        <f>3718*Parameters!$B$3/1000/3.6</f>
        <v>1.0896382878333333E-3</v>
      </c>
      <c r="C943" t="s">
        <v>1036</v>
      </c>
      <c r="D943" t="s">
        <v>29</v>
      </c>
      <c r="F943" t="s">
        <v>20</v>
      </c>
      <c r="H943" t="s">
        <v>30</v>
      </c>
    </row>
    <row r="944" spans="1:8" x14ac:dyDescent="0.2">
      <c r="A944" t="s">
        <v>352</v>
      </c>
      <c r="B944" s="6">
        <f>37*Parameters!$B$9/1000</f>
        <v>5.9569999999999998E-2</v>
      </c>
      <c r="C944" t="s">
        <v>572</v>
      </c>
      <c r="D944" t="s">
        <v>41</v>
      </c>
      <c r="F944" t="s">
        <v>20</v>
      </c>
      <c r="G944" t="s">
        <v>74</v>
      </c>
      <c r="H944" t="s">
        <v>353</v>
      </c>
    </row>
    <row r="945" spans="1:8" x14ac:dyDescent="0.2">
      <c r="A945" t="s">
        <v>42</v>
      </c>
      <c r="B945" s="6">
        <f>4.641/1000</f>
        <v>4.6410000000000002E-3</v>
      </c>
      <c r="C945" t="s">
        <v>1036</v>
      </c>
      <c r="D945" t="s">
        <v>8</v>
      </c>
      <c r="F945" t="s">
        <v>20</v>
      </c>
      <c r="H945" t="s">
        <v>43</v>
      </c>
    </row>
    <row r="946" spans="1:8" x14ac:dyDescent="0.2">
      <c r="A946" t="s">
        <v>44</v>
      </c>
      <c r="B946" s="6">
        <f>1.047/1000</f>
        <v>1.047E-3</v>
      </c>
      <c r="C946" t="s">
        <v>1036</v>
      </c>
      <c r="D946" t="s">
        <v>8</v>
      </c>
      <c r="F946" t="s">
        <v>20</v>
      </c>
      <c r="H946" t="s">
        <v>45</v>
      </c>
    </row>
    <row r="947" spans="1:8" x14ac:dyDescent="0.2">
      <c r="A947" t="s">
        <v>46</v>
      </c>
      <c r="B947" s="6">
        <f>2.868/1000</f>
        <v>2.8679999999999999E-3</v>
      </c>
      <c r="C947" t="s">
        <v>1036</v>
      </c>
      <c r="D947" t="s">
        <v>8</v>
      </c>
      <c r="F947" t="s">
        <v>20</v>
      </c>
      <c r="H947" t="s">
        <v>47</v>
      </c>
    </row>
    <row r="948" spans="1:8" ht="16" x14ac:dyDescent="0.2">
      <c r="A948" s="7" t="s">
        <v>48</v>
      </c>
      <c r="B948" s="6">
        <f>5.183/1000</f>
        <v>5.1830000000000001E-3</v>
      </c>
      <c r="C948" t="s">
        <v>26</v>
      </c>
      <c r="D948" t="s">
        <v>8</v>
      </c>
      <c r="F948" t="s">
        <v>20</v>
      </c>
      <c r="H948" s="7" t="s">
        <v>49</v>
      </c>
    </row>
    <row r="949" spans="1:8" x14ac:dyDescent="0.2">
      <c r="A949" t="s">
        <v>50</v>
      </c>
      <c r="B949" s="6">
        <f>28.72/1000/1000</f>
        <v>2.8719999999999999E-5</v>
      </c>
      <c r="C949" t="s">
        <v>26</v>
      </c>
      <c r="D949" t="s">
        <v>8</v>
      </c>
      <c r="F949" t="s">
        <v>20</v>
      </c>
      <c r="G949" t="s">
        <v>51</v>
      </c>
      <c r="H949" t="s">
        <v>53</v>
      </c>
    </row>
    <row r="950" spans="1:8" x14ac:dyDescent="0.2">
      <c r="A950" t="s">
        <v>54</v>
      </c>
      <c r="B950" s="6">
        <f>1.86/1000</f>
        <v>1.8600000000000001E-3</v>
      </c>
      <c r="C950" t="s">
        <v>26</v>
      </c>
      <c r="D950" t="s">
        <v>8</v>
      </c>
      <c r="F950" t="s">
        <v>20</v>
      </c>
      <c r="G950" t="s">
        <v>1042</v>
      </c>
      <c r="H950" t="s">
        <v>55</v>
      </c>
    </row>
    <row r="951" spans="1:8" x14ac:dyDescent="0.2">
      <c r="A951" t="s">
        <v>181</v>
      </c>
      <c r="B951" s="6">
        <v>6.4103000000000003E-6</v>
      </c>
      <c r="C951" t="s">
        <v>26</v>
      </c>
      <c r="D951" t="s">
        <v>119</v>
      </c>
      <c r="F951" t="s">
        <v>20</v>
      </c>
      <c r="G951" t="s">
        <v>209</v>
      </c>
      <c r="H951" t="s">
        <v>182</v>
      </c>
    </row>
    <row r="952" spans="1:8" x14ac:dyDescent="0.2">
      <c r="A952" t="s">
        <v>183</v>
      </c>
      <c r="B952" s="6">
        <v>6.0897000000000003E-5</v>
      </c>
      <c r="C952" t="s">
        <v>26</v>
      </c>
      <c r="D952" t="s">
        <v>119</v>
      </c>
      <c r="F952" t="s">
        <v>20</v>
      </c>
      <c r="G952" t="s">
        <v>209</v>
      </c>
      <c r="H952" t="s">
        <v>184</v>
      </c>
    </row>
    <row r="953" spans="1:8" x14ac:dyDescent="0.2">
      <c r="A953" t="s">
        <v>185</v>
      </c>
      <c r="B953" s="6">
        <v>5.4487000000000002E-5</v>
      </c>
      <c r="C953" t="s">
        <v>26</v>
      </c>
      <c r="D953" t="s">
        <v>119</v>
      </c>
      <c r="F953" t="s">
        <v>20</v>
      </c>
      <c r="G953" t="s">
        <v>209</v>
      </c>
      <c r="H953" t="s">
        <v>186</v>
      </c>
    </row>
    <row r="954" spans="1:8" x14ac:dyDescent="0.2">
      <c r="A954" t="s">
        <v>207</v>
      </c>
      <c r="B954" s="6">
        <v>6.4103000000000006E-5</v>
      </c>
      <c r="C954" t="s">
        <v>26</v>
      </c>
      <c r="D954" t="s">
        <v>8</v>
      </c>
      <c r="F954" t="s">
        <v>20</v>
      </c>
      <c r="G954" t="s">
        <v>209</v>
      </c>
      <c r="H954" t="s">
        <v>208</v>
      </c>
    </row>
    <row r="955" spans="1:8" x14ac:dyDescent="0.2">
      <c r="A955" t="s">
        <v>325</v>
      </c>
      <c r="B955" s="6">
        <f>(4.22+1.122)/1000</f>
        <v>5.3419999999999995E-3</v>
      </c>
      <c r="D955" t="s">
        <v>8</v>
      </c>
      <c r="E955" t="s">
        <v>37</v>
      </c>
      <c r="F955" t="s">
        <v>36</v>
      </c>
      <c r="G955" t="s">
        <v>989</v>
      </c>
    </row>
    <row r="956" spans="1:8" x14ac:dyDescent="0.2">
      <c r="A956" t="s">
        <v>981</v>
      </c>
      <c r="B956" s="6">
        <f>73.885/1000000</f>
        <v>7.3885000000000002E-5</v>
      </c>
      <c r="D956" t="s">
        <v>8</v>
      </c>
      <c r="E956" t="s">
        <v>37</v>
      </c>
      <c r="F956" t="s">
        <v>36</v>
      </c>
      <c r="G956" t="s">
        <v>990</v>
      </c>
    </row>
    <row r="957" spans="1:8" x14ac:dyDescent="0.2">
      <c r="A957" t="s">
        <v>40</v>
      </c>
      <c r="B957" s="6">
        <f>109.405/1000000</f>
        <v>1.09405E-4</v>
      </c>
      <c r="D957" t="s">
        <v>8</v>
      </c>
      <c r="E957" t="s">
        <v>37</v>
      </c>
      <c r="F957" t="s">
        <v>36</v>
      </c>
      <c r="G957" t="s">
        <v>991</v>
      </c>
    </row>
    <row r="958" spans="1:8" x14ac:dyDescent="0.2">
      <c r="A958" t="s">
        <v>127</v>
      </c>
      <c r="B958" s="6">
        <v>3.8971000000000003E-6</v>
      </c>
      <c r="D958" t="s">
        <v>8</v>
      </c>
      <c r="E958" t="s">
        <v>169</v>
      </c>
      <c r="F958" t="s">
        <v>36</v>
      </c>
      <c r="G958" t="s">
        <v>209</v>
      </c>
    </row>
    <row r="959" spans="1:8" x14ac:dyDescent="0.2">
      <c r="A959" t="s">
        <v>148</v>
      </c>
      <c r="B959" s="6">
        <v>5.8419000000000002E-8</v>
      </c>
      <c r="D959" t="s">
        <v>8</v>
      </c>
      <c r="E959" t="s">
        <v>170</v>
      </c>
      <c r="F959" t="s">
        <v>36</v>
      </c>
      <c r="G959" t="s">
        <v>209</v>
      </c>
    </row>
    <row r="960" spans="1:8" x14ac:dyDescent="0.2">
      <c r="A960" t="s">
        <v>198</v>
      </c>
      <c r="B960" s="6">
        <v>2.0658E-9</v>
      </c>
      <c r="D960" t="s">
        <v>8</v>
      </c>
      <c r="E960" t="s">
        <v>179</v>
      </c>
      <c r="F960" t="s">
        <v>36</v>
      </c>
      <c r="G960" t="s">
        <v>209</v>
      </c>
    </row>
    <row r="961" spans="1:7" x14ac:dyDescent="0.2">
      <c r="A961" t="s">
        <v>198</v>
      </c>
      <c r="B961" s="6">
        <v>2.0568000000000002E-9</v>
      </c>
      <c r="D961" t="s">
        <v>8</v>
      </c>
      <c r="E961" t="s">
        <v>171</v>
      </c>
      <c r="F961" t="s">
        <v>36</v>
      </c>
      <c r="G961" t="s">
        <v>209</v>
      </c>
    </row>
    <row r="962" spans="1:7" x14ac:dyDescent="0.2">
      <c r="A962" t="s">
        <v>1031</v>
      </c>
      <c r="B962" s="6">
        <v>1.7590123356145999</v>
      </c>
      <c r="D962" t="s">
        <v>8</v>
      </c>
      <c r="E962" t="s">
        <v>1032</v>
      </c>
      <c r="F962" t="s">
        <v>36</v>
      </c>
      <c r="G962" t="s">
        <v>209</v>
      </c>
    </row>
    <row r="963" spans="1:7" x14ac:dyDescent="0.2">
      <c r="A963" t="s">
        <v>145</v>
      </c>
      <c r="B963" s="6">
        <v>-5.2561999999999998E-8</v>
      </c>
      <c r="D963" t="s">
        <v>8</v>
      </c>
      <c r="E963" t="s">
        <v>170</v>
      </c>
      <c r="F963" t="s">
        <v>36</v>
      </c>
      <c r="G963" t="s">
        <v>209</v>
      </c>
    </row>
    <row r="964" spans="1:7" x14ac:dyDescent="0.2">
      <c r="A964" t="s">
        <v>199</v>
      </c>
      <c r="B964" s="6">
        <v>1.04E-6</v>
      </c>
      <c r="D964" t="s">
        <v>8</v>
      </c>
      <c r="E964" t="s">
        <v>179</v>
      </c>
      <c r="F964" t="s">
        <v>36</v>
      </c>
      <c r="G964" t="s">
        <v>209</v>
      </c>
    </row>
    <row r="965" spans="1:7" x14ac:dyDescent="0.2">
      <c r="A965" t="s">
        <v>199</v>
      </c>
      <c r="B965" s="6">
        <v>2.4523999999999999E-7</v>
      </c>
      <c r="D965" t="s">
        <v>8</v>
      </c>
      <c r="E965" t="s">
        <v>171</v>
      </c>
      <c r="F965" t="s">
        <v>36</v>
      </c>
      <c r="G965" t="s">
        <v>209</v>
      </c>
    </row>
    <row r="966" spans="1:7" x14ac:dyDescent="0.2">
      <c r="A966" t="s">
        <v>132</v>
      </c>
      <c r="B966" s="6">
        <v>-1.6024999999999999E-6</v>
      </c>
      <c r="D966" t="s">
        <v>8</v>
      </c>
      <c r="E966" t="s">
        <v>170</v>
      </c>
      <c r="F966" t="s">
        <v>36</v>
      </c>
      <c r="G966" t="s">
        <v>209</v>
      </c>
    </row>
    <row r="967" spans="1:7" x14ac:dyDescent="0.2">
      <c r="A967" t="s">
        <v>200</v>
      </c>
      <c r="B967" s="6">
        <v>1.4422999999999999E-7</v>
      </c>
      <c r="D967" t="s">
        <v>8</v>
      </c>
      <c r="E967" t="s">
        <v>179</v>
      </c>
      <c r="F967" t="s">
        <v>36</v>
      </c>
      <c r="G967" t="s">
        <v>209</v>
      </c>
    </row>
    <row r="968" spans="1:7" x14ac:dyDescent="0.2">
      <c r="A968" t="s">
        <v>200</v>
      </c>
      <c r="B968" s="6">
        <v>1.6703000000000001E-7</v>
      </c>
      <c r="D968" t="s">
        <v>8</v>
      </c>
      <c r="E968" t="s">
        <v>171</v>
      </c>
      <c r="F968" t="s">
        <v>36</v>
      </c>
      <c r="G968" t="s">
        <v>209</v>
      </c>
    </row>
    <row r="969" spans="1:7" x14ac:dyDescent="0.2">
      <c r="A969" t="s">
        <v>108</v>
      </c>
      <c r="B969" s="6">
        <v>19.212</v>
      </c>
      <c r="D969" t="s">
        <v>19</v>
      </c>
      <c r="E969" t="s">
        <v>112</v>
      </c>
      <c r="F969" t="s">
        <v>36</v>
      </c>
      <c r="G969" t="s">
        <v>209</v>
      </c>
    </row>
    <row r="970" spans="1:7" x14ac:dyDescent="0.2">
      <c r="A970" t="s">
        <v>155</v>
      </c>
      <c r="B970" s="6">
        <v>1.1538E-5</v>
      </c>
      <c r="D970" t="s">
        <v>8</v>
      </c>
      <c r="E970" t="s">
        <v>170</v>
      </c>
      <c r="F970" t="s">
        <v>36</v>
      </c>
      <c r="G970" t="s">
        <v>209</v>
      </c>
    </row>
    <row r="971" spans="1:7" x14ac:dyDescent="0.2">
      <c r="A971" t="s">
        <v>168</v>
      </c>
      <c r="B971" s="6">
        <v>7.0325999999999999E-9</v>
      </c>
      <c r="D971" t="s">
        <v>8</v>
      </c>
      <c r="E971" t="s">
        <v>170</v>
      </c>
      <c r="F971" t="s">
        <v>36</v>
      </c>
      <c r="G971" t="s">
        <v>209</v>
      </c>
    </row>
    <row r="972" spans="1:7" x14ac:dyDescent="0.2">
      <c r="A972" t="s">
        <v>168</v>
      </c>
      <c r="B972" s="6">
        <v>2.3085000000000001E-8</v>
      </c>
      <c r="D972" t="s">
        <v>8</v>
      </c>
      <c r="E972" t="s">
        <v>171</v>
      </c>
      <c r="F972" t="s">
        <v>36</v>
      </c>
      <c r="G972" t="s">
        <v>209</v>
      </c>
    </row>
    <row r="973" spans="1:7" x14ac:dyDescent="0.2">
      <c r="A973" t="s">
        <v>168</v>
      </c>
      <c r="B973" s="6">
        <v>3.4243999999999999E-9</v>
      </c>
      <c r="D973" t="s">
        <v>8</v>
      </c>
      <c r="E973" t="s">
        <v>179</v>
      </c>
      <c r="F973" t="s">
        <v>36</v>
      </c>
      <c r="G973" t="s">
        <v>209</v>
      </c>
    </row>
    <row r="974" spans="1:7" x14ac:dyDescent="0.2">
      <c r="A974" t="s">
        <v>201</v>
      </c>
      <c r="B974" s="6">
        <v>5.5528000000000003E-12</v>
      </c>
      <c r="D974" t="s">
        <v>8</v>
      </c>
      <c r="E974" t="s">
        <v>170</v>
      </c>
      <c r="F974" t="s">
        <v>36</v>
      </c>
      <c r="G974" t="s">
        <v>209</v>
      </c>
    </row>
    <row r="975" spans="1:7" x14ac:dyDescent="0.2">
      <c r="A975" t="s">
        <v>201</v>
      </c>
      <c r="B975" s="6">
        <v>2.4134000000000002E-12</v>
      </c>
      <c r="D975" t="s">
        <v>8</v>
      </c>
      <c r="E975" t="s">
        <v>179</v>
      </c>
      <c r="F975" t="s">
        <v>36</v>
      </c>
      <c r="G975" t="s">
        <v>209</v>
      </c>
    </row>
    <row r="976" spans="1:7" x14ac:dyDescent="0.2">
      <c r="A976" t="s">
        <v>201</v>
      </c>
      <c r="B976" s="6">
        <v>3.2340000000000002E-12</v>
      </c>
      <c r="D976" t="s">
        <v>8</v>
      </c>
      <c r="E976" t="s">
        <v>171</v>
      </c>
      <c r="F976" t="s">
        <v>36</v>
      </c>
      <c r="G976" t="s">
        <v>209</v>
      </c>
    </row>
    <row r="977" spans="1:7" x14ac:dyDescent="0.2">
      <c r="A977" t="s">
        <v>138</v>
      </c>
      <c r="B977" s="6">
        <v>-1.0578000000000001E-6</v>
      </c>
      <c r="D977" t="s">
        <v>8</v>
      </c>
      <c r="E977" t="s">
        <v>170</v>
      </c>
      <c r="F977" t="s">
        <v>36</v>
      </c>
      <c r="G977" t="s">
        <v>209</v>
      </c>
    </row>
    <row r="978" spans="1:7" x14ac:dyDescent="0.2">
      <c r="A978" t="s">
        <v>202</v>
      </c>
      <c r="B978" s="6">
        <v>1.1773E-7</v>
      </c>
      <c r="D978" t="s">
        <v>8</v>
      </c>
      <c r="E978" t="s">
        <v>171</v>
      </c>
      <c r="F978" t="s">
        <v>36</v>
      </c>
      <c r="G978" t="s">
        <v>209</v>
      </c>
    </row>
    <row r="979" spans="1:7" x14ac:dyDescent="0.2">
      <c r="A979" t="s">
        <v>172</v>
      </c>
      <c r="B979" s="6">
        <v>8.1581999999999998E-4</v>
      </c>
      <c r="D979" t="s">
        <v>8</v>
      </c>
      <c r="E979" t="s">
        <v>179</v>
      </c>
      <c r="F979" t="s">
        <v>36</v>
      </c>
      <c r="G979" t="s">
        <v>209</v>
      </c>
    </row>
    <row r="980" spans="1:7" x14ac:dyDescent="0.2">
      <c r="A980" t="s">
        <v>38</v>
      </c>
      <c r="B980" s="6">
        <v>1.6519E-6</v>
      </c>
      <c r="D980" t="s">
        <v>8</v>
      </c>
      <c r="E980" t="s">
        <v>169</v>
      </c>
      <c r="F980" t="s">
        <v>36</v>
      </c>
      <c r="G980" t="s">
        <v>209</v>
      </c>
    </row>
    <row r="981" spans="1:7" x14ac:dyDescent="0.2">
      <c r="A981" t="s">
        <v>203</v>
      </c>
      <c r="B981" s="6">
        <v>0.64656000000000002</v>
      </c>
      <c r="D981" t="s">
        <v>113</v>
      </c>
      <c r="E981" t="s">
        <v>114</v>
      </c>
      <c r="F981" t="s">
        <v>36</v>
      </c>
      <c r="G981" t="s">
        <v>209</v>
      </c>
    </row>
    <row r="982" spans="1:7" x14ac:dyDescent="0.2">
      <c r="A982" t="s">
        <v>174</v>
      </c>
      <c r="B982" s="6">
        <v>1.3869999999999999E-5</v>
      </c>
      <c r="D982" t="s">
        <v>8</v>
      </c>
      <c r="E982" t="s">
        <v>179</v>
      </c>
      <c r="F982" t="s">
        <v>36</v>
      </c>
      <c r="G982" t="s">
        <v>209</v>
      </c>
    </row>
    <row r="983" spans="1:7" x14ac:dyDescent="0.2">
      <c r="A983" t="s">
        <v>174</v>
      </c>
      <c r="B983" s="6">
        <v>5.397E-5</v>
      </c>
      <c r="D983" t="s">
        <v>8</v>
      </c>
      <c r="E983" t="s">
        <v>171</v>
      </c>
      <c r="F983" t="s">
        <v>36</v>
      </c>
      <c r="G983" t="s">
        <v>209</v>
      </c>
    </row>
    <row r="984" spans="1:7" x14ac:dyDescent="0.2">
      <c r="A984" t="s">
        <v>173</v>
      </c>
      <c r="B984" s="6">
        <v>1.2741E-5</v>
      </c>
      <c r="D984" t="s">
        <v>8</v>
      </c>
      <c r="E984" t="s">
        <v>171</v>
      </c>
      <c r="F984" t="s">
        <v>36</v>
      </c>
      <c r="G984" t="s">
        <v>209</v>
      </c>
    </row>
    <row r="985" spans="1:7" x14ac:dyDescent="0.2">
      <c r="A985" t="s">
        <v>204</v>
      </c>
      <c r="B985" s="6">
        <v>3.3654000000000003E-2</v>
      </c>
      <c r="D985" t="s">
        <v>115</v>
      </c>
      <c r="E985" t="s">
        <v>114</v>
      </c>
      <c r="F985" t="s">
        <v>36</v>
      </c>
      <c r="G985" t="s">
        <v>209</v>
      </c>
    </row>
    <row r="986" spans="1:7" x14ac:dyDescent="0.2">
      <c r="A986" t="s">
        <v>205</v>
      </c>
      <c r="B986" s="6">
        <v>3.3654000000000003E-2</v>
      </c>
      <c r="D986" t="s">
        <v>115</v>
      </c>
      <c r="E986" t="s">
        <v>114</v>
      </c>
      <c r="F986" t="s">
        <v>36</v>
      </c>
      <c r="G986" t="s">
        <v>209</v>
      </c>
    </row>
    <row r="987" spans="1:7" x14ac:dyDescent="0.2">
      <c r="A987" t="s">
        <v>142</v>
      </c>
      <c r="B987" s="6">
        <v>-3.9254000000000001E-5</v>
      </c>
      <c r="D987" t="s">
        <v>8</v>
      </c>
      <c r="E987" t="s">
        <v>170</v>
      </c>
      <c r="F987" t="s">
        <v>36</v>
      </c>
      <c r="G987" t="s">
        <v>209</v>
      </c>
    </row>
    <row r="988" spans="1:7" x14ac:dyDescent="0.2">
      <c r="A988" t="s">
        <v>206</v>
      </c>
      <c r="B988" s="6">
        <v>7.0345000000000002E-7</v>
      </c>
      <c r="D988" t="s">
        <v>8</v>
      </c>
      <c r="E988" t="s">
        <v>179</v>
      </c>
      <c r="F988" t="s">
        <v>36</v>
      </c>
      <c r="G988" t="s">
        <v>209</v>
      </c>
    </row>
    <row r="989" spans="1:7" x14ac:dyDescent="0.2">
      <c r="A989" t="s">
        <v>206</v>
      </c>
      <c r="B989" s="6">
        <v>2.1932000000000001E-7</v>
      </c>
      <c r="D989" t="s">
        <v>8</v>
      </c>
      <c r="E989" t="s">
        <v>171</v>
      </c>
      <c r="F989" t="s">
        <v>36</v>
      </c>
      <c r="G989" t="s">
        <v>209</v>
      </c>
    </row>
    <row r="991" spans="1:7" ht="16" x14ac:dyDescent="0.2">
      <c r="A991" s="1" t="s">
        <v>1</v>
      </c>
      <c r="B991" s="71" t="s">
        <v>403</v>
      </c>
    </row>
    <row r="992" spans="1:7" x14ac:dyDescent="0.2">
      <c r="A992" t="s">
        <v>2</v>
      </c>
      <c r="B992" s="6" t="s">
        <v>1035</v>
      </c>
    </row>
    <row r="993" spans="1:8" x14ac:dyDescent="0.2">
      <c r="A993" t="s">
        <v>3</v>
      </c>
      <c r="B993" s="6">
        <v>1</v>
      </c>
    </row>
    <row r="994" spans="1:8" ht="16" x14ac:dyDescent="0.2">
      <c r="A994" t="s">
        <v>4</v>
      </c>
      <c r="B994" s="72" t="s">
        <v>404</v>
      </c>
    </row>
    <row r="995" spans="1:8" x14ac:dyDescent="0.2">
      <c r="A995" t="s">
        <v>5</v>
      </c>
      <c r="B995" s="6" t="s">
        <v>6</v>
      </c>
    </row>
    <row r="996" spans="1:8" x14ac:dyDescent="0.2">
      <c r="A996" t="s">
        <v>7</v>
      </c>
      <c r="B996" s="6" t="s">
        <v>8</v>
      </c>
    </row>
    <row r="997" spans="1:8" x14ac:dyDescent="0.2">
      <c r="A997" t="s">
        <v>9</v>
      </c>
      <c r="B997" s="6" t="s">
        <v>10</v>
      </c>
    </row>
    <row r="998" spans="1:8" x14ac:dyDescent="0.2">
      <c r="A998" t="s">
        <v>11</v>
      </c>
      <c r="B998" s="6" t="s">
        <v>230</v>
      </c>
    </row>
    <row r="999" spans="1:8" x14ac:dyDescent="0.2">
      <c r="A999" t="s">
        <v>497</v>
      </c>
      <c r="B999" s="70">
        <f>Summary!O107</f>
        <v>0.5080149763096885</v>
      </c>
    </row>
    <row r="1000" spans="1:8" ht="16" x14ac:dyDescent="0.2">
      <c r="A1000" s="1" t="s">
        <v>12</v>
      </c>
    </row>
    <row r="1001" spans="1:8" x14ac:dyDescent="0.2">
      <c r="A1001" t="s">
        <v>13</v>
      </c>
      <c r="B1001" s="6" t="s">
        <v>14</v>
      </c>
      <c r="C1001" t="s">
        <v>2</v>
      </c>
      <c r="D1001" t="s">
        <v>7</v>
      </c>
      <c r="E1001" t="s">
        <v>15</v>
      </c>
      <c r="F1001" t="s">
        <v>5</v>
      </c>
      <c r="G1001" t="s">
        <v>11</v>
      </c>
      <c r="H1001" t="s">
        <v>4</v>
      </c>
    </row>
    <row r="1002" spans="1:8" ht="16" x14ac:dyDescent="0.2">
      <c r="A1002" s="2" t="s">
        <v>403</v>
      </c>
      <c r="B1002" s="6">
        <v>1</v>
      </c>
      <c r="C1002" t="s">
        <v>1035</v>
      </c>
      <c r="D1002" t="s">
        <v>8</v>
      </c>
      <c r="F1002" t="s">
        <v>17</v>
      </c>
      <c r="G1002" t="s">
        <v>18</v>
      </c>
      <c r="H1002" s="2" t="s">
        <v>404</v>
      </c>
    </row>
    <row r="1003" spans="1:8" ht="16" x14ac:dyDescent="0.2">
      <c r="A1003" s="2" t="s">
        <v>66</v>
      </c>
      <c r="B1003" s="6">
        <f>(1/((Parameters!$C$23*Parameters!$B$4*Parameters!$B$12)/1000))*Parameters!F35</f>
        <v>3.6117899478066171</v>
      </c>
      <c r="C1003" t="s">
        <v>1035</v>
      </c>
      <c r="D1003" t="s">
        <v>8</v>
      </c>
      <c r="F1003" t="s">
        <v>20</v>
      </c>
      <c r="G1003" t="s">
        <v>18</v>
      </c>
      <c r="H1003" s="2" t="s">
        <v>405</v>
      </c>
    </row>
    <row r="1004" spans="1:8" ht="16" x14ac:dyDescent="0.2">
      <c r="A1004" s="2" t="s">
        <v>221</v>
      </c>
      <c r="B1004" s="6">
        <f>(180*Parameters!$B$3)/(Parameters!$B$4*Parameters!$B$12)*Parameters!F35</f>
        <v>5.4873220233514521E-2</v>
      </c>
      <c r="C1004" t="s">
        <v>26</v>
      </c>
      <c r="D1004" t="s">
        <v>19</v>
      </c>
      <c r="F1004" t="s">
        <v>20</v>
      </c>
      <c r="H1004" s="2" t="s">
        <v>222</v>
      </c>
    </row>
    <row r="1005" spans="1:8" ht="16" x14ac:dyDescent="0.2">
      <c r="A1005" s="2" t="s">
        <v>252</v>
      </c>
      <c r="B1005" s="6">
        <f>((346.23/1000)/(Parameters!$B$4*Parameters!$B$12))*Parameters!$F$35</f>
        <v>0.10004080269032682</v>
      </c>
      <c r="C1005" t="s">
        <v>31</v>
      </c>
      <c r="D1005" t="s">
        <v>8</v>
      </c>
      <c r="F1005" t="s">
        <v>20</v>
      </c>
      <c r="H1005" s="2" t="s">
        <v>253</v>
      </c>
    </row>
    <row r="1006" spans="1:8" ht="16" x14ac:dyDescent="0.2">
      <c r="A1006" s="2" t="s">
        <v>254</v>
      </c>
      <c r="B1006" s="6">
        <f>((41.55/1000)/(Parameters!$B$4*Parameters!$B$12))*Parameters!$F$35</f>
        <v>1.2005589786509195E-2</v>
      </c>
      <c r="C1006" t="s">
        <v>255</v>
      </c>
      <c r="D1006" t="s">
        <v>8</v>
      </c>
      <c r="F1006" t="s">
        <v>20</v>
      </c>
      <c r="H1006" s="2" t="s">
        <v>256</v>
      </c>
    </row>
    <row r="1007" spans="1:8" ht="16" x14ac:dyDescent="0.2">
      <c r="A1007" s="2" t="s">
        <v>257</v>
      </c>
      <c r="B1007" s="6">
        <f>((20.77/1000)/(Parameters!$B$4*Parameters!$B$12))*Parameters!$F$35</f>
        <v>6.0013501772754755E-3</v>
      </c>
      <c r="C1007" t="s">
        <v>31</v>
      </c>
      <c r="D1007" t="s">
        <v>8</v>
      </c>
      <c r="F1007" t="s">
        <v>20</v>
      </c>
      <c r="H1007" s="2" t="s">
        <v>414</v>
      </c>
    </row>
    <row r="1008" spans="1:8" ht="16" x14ac:dyDescent="0.2">
      <c r="A1008" s="2" t="s">
        <v>370</v>
      </c>
      <c r="B1008" s="6">
        <f>((76.17/1000)/(Parameters!$B$4*Parameters!$B$12))*Parameters!$F$35</f>
        <v>2.2008803225954405E-2</v>
      </c>
      <c r="C1008" t="s">
        <v>31</v>
      </c>
      <c r="D1008" t="s">
        <v>8</v>
      </c>
      <c r="F1008" t="s">
        <v>20</v>
      </c>
      <c r="G1008" t="s">
        <v>387</v>
      </c>
      <c r="H1008" s="2" t="s">
        <v>371</v>
      </c>
    </row>
    <row r="1009" spans="1:8" ht="16" x14ac:dyDescent="0.2">
      <c r="A1009" s="2" t="s">
        <v>315</v>
      </c>
      <c r="B1009" s="6">
        <f>((106.73/1000)/(Parameters!$B$4*Parameters!$B$12))*Parameters!$F$35</f>
        <v>3.0838907290352022E-2</v>
      </c>
      <c r="C1009" t="s">
        <v>31</v>
      </c>
      <c r="D1009" t="s">
        <v>8</v>
      </c>
      <c r="F1009" t="s">
        <v>20</v>
      </c>
      <c r="G1009" t="s">
        <v>314</v>
      </c>
      <c r="H1009" s="2" t="s">
        <v>316</v>
      </c>
    </row>
    <row r="1010" spans="1:8" ht="16" x14ac:dyDescent="0.2">
      <c r="A1010" s="2" t="s">
        <v>384</v>
      </c>
      <c r="B1010" s="6">
        <f>((26.58/1000)/(Parameters!$B$4*Parameters!$B$12))*Parameters!$F$35</f>
        <v>7.6801101450159909E-3</v>
      </c>
      <c r="C1010" t="s">
        <v>26</v>
      </c>
      <c r="D1010" t="s">
        <v>8</v>
      </c>
      <c r="F1010" t="s">
        <v>20</v>
      </c>
      <c r="G1010" t="s">
        <v>386</v>
      </c>
      <c r="H1010" s="2" t="s">
        <v>385</v>
      </c>
    </row>
    <row r="1011" spans="1:8" ht="16" x14ac:dyDescent="0.2">
      <c r="A1011" s="2" t="s">
        <v>388</v>
      </c>
      <c r="B1011" s="6">
        <f>((117.72/1000)/(Parameters!$B$4*Parameters!$B$12))*Parameters!$F$35</f>
        <v>3.4014393012463603E-2</v>
      </c>
      <c r="C1011" t="s">
        <v>26</v>
      </c>
      <c r="D1011" t="s">
        <v>8</v>
      </c>
      <c r="F1011" t="s">
        <v>20</v>
      </c>
      <c r="G1011" t="s">
        <v>390</v>
      </c>
      <c r="H1011" s="2" t="s">
        <v>389</v>
      </c>
    </row>
    <row r="1012" spans="1:8" x14ac:dyDescent="0.2">
      <c r="A1012" t="s">
        <v>265</v>
      </c>
      <c r="B1012" s="6">
        <f>(B962*B1003)-Parameters!$B$15</f>
        <v>4.4391830718406515</v>
      </c>
      <c r="D1012" t="s">
        <v>8</v>
      </c>
      <c r="E1012" t="s">
        <v>37</v>
      </c>
      <c r="F1012" t="s">
        <v>36</v>
      </c>
      <c r="G1012" t="s">
        <v>428</v>
      </c>
    </row>
    <row r="1013" spans="1:8" x14ac:dyDescent="0.2">
      <c r="A1013" t="s">
        <v>306</v>
      </c>
      <c r="B1013" s="6">
        <f>1/(90000000*20)</f>
        <v>5.5555555555555553E-10</v>
      </c>
      <c r="C1013" t="s">
        <v>26</v>
      </c>
      <c r="D1013" t="s">
        <v>7</v>
      </c>
      <c r="F1013" t="s">
        <v>20</v>
      </c>
      <c r="G1013" t="s">
        <v>308</v>
      </c>
      <c r="H1013" t="s">
        <v>307</v>
      </c>
    </row>
    <row r="1014" spans="1:8" ht="16" x14ac:dyDescent="0.2">
      <c r="A1014" s="2"/>
      <c r="H1014" s="2"/>
    </row>
    <row r="1015" spans="1:8" ht="16" x14ac:dyDescent="0.2">
      <c r="A1015" s="1" t="s">
        <v>1</v>
      </c>
      <c r="B1015" s="71" t="s">
        <v>406</v>
      </c>
    </row>
    <row r="1016" spans="1:8" x14ac:dyDescent="0.2">
      <c r="A1016" t="s">
        <v>2</v>
      </c>
      <c r="B1016" s="6" t="s">
        <v>1035</v>
      </c>
    </row>
    <row r="1017" spans="1:8" x14ac:dyDescent="0.2">
      <c r="A1017" t="s">
        <v>3</v>
      </c>
      <c r="B1017" s="6">
        <v>1</v>
      </c>
    </row>
    <row r="1018" spans="1:8" ht="16" x14ac:dyDescent="0.2">
      <c r="A1018" t="s">
        <v>4</v>
      </c>
      <c r="B1018" s="72" t="s">
        <v>404</v>
      </c>
    </row>
    <row r="1019" spans="1:8" x14ac:dyDescent="0.2">
      <c r="A1019" t="s">
        <v>5</v>
      </c>
      <c r="B1019" s="6" t="s">
        <v>6</v>
      </c>
    </row>
    <row r="1020" spans="1:8" x14ac:dyDescent="0.2">
      <c r="A1020" t="s">
        <v>7</v>
      </c>
      <c r="B1020" s="6" t="s">
        <v>8</v>
      </c>
    </row>
    <row r="1021" spans="1:8" x14ac:dyDescent="0.2">
      <c r="A1021" t="s">
        <v>9</v>
      </c>
      <c r="B1021" s="6" t="s">
        <v>10</v>
      </c>
    </row>
    <row r="1022" spans="1:8" x14ac:dyDescent="0.2">
      <c r="A1022" t="s">
        <v>11</v>
      </c>
      <c r="B1022" s="6" t="s">
        <v>373</v>
      </c>
    </row>
    <row r="1023" spans="1:8" x14ac:dyDescent="0.2">
      <c r="A1023" t="s">
        <v>497</v>
      </c>
      <c r="B1023" s="70">
        <f>Summary!O38</f>
        <v>0.47019160581456509</v>
      </c>
    </row>
    <row r="1024" spans="1:8" ht="16" x14ac:dyDescent="0.2">
      <c r="A1024" s="1" t="s">
        <v>12</v>
      </c>
    </row>
    <row r="1025" spans="1:8" x14ac:dyDescent="0.2">
      <c r="A1025" t="s">
        <v>13</v>
      </c>
      <c r="B1025" s="6" t="s">
        <v>14</v>
      </c>
      <c r="C1025" t="s">
        <v>2</v>
      </c>
      <c r="D1025" t="s">
        <v>7</v>
      </c>
      <c r="E1025" t="s">
        <v>15</v>
      </c>
      <c r="F1025" t="s">
        <v>5</v>
      </c>
      <c r="G1025" t="s">
        <v>11</v>
      </c>
      <c r="H1025" t="s">
        <v>4</v>
      </c>
    </row>
    <row r="1026" spans="1:8" ht="16" x14ac:dyDescent="0.2">
      <c r="A1026" s="2" t="s">
        <v>406</v>
      </c>
      <c r="B1026" s="6">
        <v>1</v>
      </c>
      <c r="C1026" t="s">
        <v>1035</v>
      </c>
      <c r="D1026" t="s">
        <v>8</v>
      </c>
      <c r="F1026" t="s">
        <v>17</v>
      </c>
      <c r="G1026" t="s">
        <v>18</v>
      </c>
      <c r="H1026" s="2" t="s">
        <v>404</v>
      </c>
    </row>
    <row r="1027" spans="1:8" ht="16" x14ac:dyDescent="0.2">
      <c r="A1027" s="2" t="s">
        <v>66</v>
      </c>
      <c r="B1027" s="6">
        <f>(1/((Parameters!C23*Parameters!B4*Parameters!B12)/1000))*Parameters!G35</f>
        <v>3.902331224292801</v>
      </c>
      <c r="C1027" t="s">
        <v>1035</v>
      </c>
      <c r="D1027" t="s">
        <v>8</v>
      </c>
      <c r="F1027" t="s">
        <v>20</v>
      </c>
      <c r="G1027" t="s">
        <v>18</v>
      </c>
      <c r="H1027" s="2" t="s">
        <v>405</v>
      </c>
    </row>
    <row r="1028" spans="1:8" ht="16" x14ac:dyDescent="0.2">
      <c r="A1028" s="2" t="s">
        <v>221</v>
      </c>
      <c r="B1028" s="6">
        <f>(180*Parameters!$B$3)/(Parameters!$B$4*Parameters!$B$12)*Parameters!G35</f>
        <v>5.9287357179998543E-2</v>
      </c>
      <c r="C1028" t="s">
        <v>26</v>
      </c>
      <c r="D1028" t="s">
        <v>19</v>
      </c>
      <c r="F1028" t="s">
        <v>20</v>
      </c>
      <c r="H1028" s="2" t="s">
        <v>222</v>
      </c>
    </row>
    <row r="1029" spans="1:8" ht="16" x14ac:dyDescent="0.2">
      <c r="A1029" s="2" t="s">
        <v>252</v>
      </c>
      <c r="B1029" s="6">
        <f>((346.23/1000)/(Parameters!$B$4*Parameters!$B$12))*Parameters!$G$35</f>
        <v>0.10808833118295173</v>
      </c>
      <c r="C1029" t="s">
        <v>31</v>
      </c>
      <c r="D1029" t="s">
        <v>8</v>
      </c>
      <c r="F1029" t="s">
        <v>20</v>
      </c>
      <c r="H1029" s="2" t="s">
        <v>253</v>
      </c>
    </row>
    <row r="1030" spans="1:8" ht="16" x14ac:dyDescent="0.2">
      <c r="A1030" s="2" t="s">
        <v>254</v>
      </c>
      <c r="B1030" s="6">
        <f>((41.55/1000)/(Parameters!$B$4*Parameters!$B$12))*Parameters!$G$35</f>
        <v>1.2971348989549271E-2</v>
      </c>
      <c r="C1030" t="s">
        <v>255</v>
      </c>
      <c r="D1030" t="s">
        <v>8</v>
      </c>
      <c r="F1030" t="s">
        <v>20</v>
      </c>
      <c r="H1030" s="2" t="s">
        <v>256</v>
      </c>
    </row>
    <row r="1031" spans="1:8" ht="16" x14ac:dyDescent="0.2">
      <c r="A1031" s="2" t="s">
        <v>257</v>
      </c>
      <c r="B1031" s="6">
        <f>((20.77/1000)/(Parameters!$B$4*Parameters!$B$12))*Parameters!$G$35</f>
        <v>6.4841135622849188E-3</v>
      </c>
      <c r="C1031" t="s">
        <v>31</v>
      </c>
      <c r="D1031" t="s">
        <v>8</v>
      </c>
      <c r="F1031" t="s">
        <v>20</v>
      </c>
      <c r="H1031" s="2" t="s">
        <v>414</v>
      </c>
    </row>
    <row r="1032" spans="1:8" ht="16" x14ac:dyDescent="0.2">
      <c r="A1032" s="2" t="s">
        <v>370</v>
      </c>
      <c r="B1032" s="6">
        <f>((76.17/1000)/(Parameters!$B$4*Parameters!$B$12))*Parameters!$G$35</f>
        <v>2.3779245548350612E-2</v>
      </c>
      <c r="C1032" t="s">
        <v>31</v>
      </c>
      <c r="D1032" t="s">
        <v>8</v>
      </c>
      <c r="F1032" t="s">
        <v>20</v>
      </c>
      <c r="H1032" s="2" t="s">
        <v>371</v>
      </c>
    </row>
    <row r="1033" spans="1:8" ht="16" x14ac:dyDescent="0.2">
      <c r="A1033" s="2" t="s">
        <v>315</v>
      </c>
      <c r="B1033" s="6">
        <f>((106.73/1000)/(Parameters!$B$4*Parameters!$B$12))*Parameters!$G$35</f>
        <v>3.3319664925501653E-2</v>
      </c>
      <c r="C1033" t="s">
        <v>31</v>
      </c>
      <c r="D1033" t="s">
        <v>8</v>
      </c>
      <c r="F1033" t="s">
        <v>20</v>
      </c>
      <c r="G1033" t="s">
        <v>314</v>
      </c>
      <c r="H1033" s="2" t="s">
        <v>316</v>
      </c>
    </row>
    <row r="1034" spans="1:8" ht="16" x14ac:dyDescent="0.2">
      <c r="A1034" s="2" t="s">
        <v>384</v>
      </c>
      <c r="B1034" s="6">
        <f>((26.58/1000)/(Parameters!$B$4*Parameters!$B$12))*Parameters!$G$35</f>
        <v>8.2979171153362129E-3</v>
      </c>
      <c r="C1034" t="s">
        <v>26</v>
      </c>
      <c r="D1034" t="s">
        <v>8</v>
      </c>
      <c r="F1034" t="s">
        <v>20</v>
      </c>
      <c r="G1034" t="s">
        <v>386</v>
      </c>
      <c r="H1034" s="2" t="s">
        <v>385</v>
      </c>
    </row>
    <row r="1035" spans="1:8" ht="16" x14ac:dyDescent="0.2">
      <c r="A1035" s="2" t="s">
        <v>388</v>
      </c>
      <c r="B1035" s="6">
        <f>((117.72/1000)/(Parameters!$B$4*Parameters!$B$12))*Parameters!G$35</f>
        <v>3.6750594537899889E-2</v>
      </c>
      <c r="C1035" t="s">
        <v>26</v>
      </c>
      <c r="D1035" t="s">
        <v>8</v>
      </c>
      <c r="F1035" t="s">
        <v>20</v>
      </c>
      <c r="G1035" t="s">
        <v>390</v>
      </c>
      <c r="H1035" s="2" t="s">
        <v>389</v>
      </c>
    </row>
    <row r="1036" spans="1:8" x14ac:dyDescent="0.2">
      <c r="A1036" t="s">
        <v>265</v>
      </c>
      <c r="B1036" s="6">
        <f>(B962*B1027)-Parameters!$B$15</f>
        <v>4.950248761185061</v>
      </c>
      <c r="D1036" t="s">
        <v>8</v>
      </c>
      <c r="E1036" t="s">
        <v>37</v>
      </c>
      <c r="F1036" t="s">
        <v>36</v>
      </c>
      <c r="G1036" t="s">
        <v>428</v>
      </c>
    </row>
    <row r="1037" spans="1:8" x14ac:dyDescent="0.2">
      <c r="A1037" t="s">
        <v>306</v>
      </c>
      <c r="B1037" s="6">
        <f>1/(90000000*20)</f>
        <v>5.5555555555555553E-10</v>
      </c>
      <c r="C1037" t="s">
        <v>26</v>
      </c>
      <c r="D1037" t="s">
        <v>7</v>
      </c>
      <c r="F1037" t="s">
        <v>20</v>
      </c>
      <c r="G1037" t="s">
        <v>308</v>
      </c>
      <c r="H1037" t="s">
        <v>307</v>
      </c>
    </row>
    <row r="1038" spans="1:8" ht="16" x14ac:dyDescent="0.2">
      <c r="A1038" s="2"/>
      <c r="H1038" s="2"/>
    </row>
    <row r="1039" spans="1:8" ht="16" x14ac:dyDescent="0.2">
      <c r="A1039" s="1" t="s">
        <v>1</v>
      </c>
      <c r="B1039" s="71" t="s">
        <v>514</v>
      </c>
    </row>
    <row r="1040" spans="1:8" x14ac:dyDescent="0.2">
      <c r="A1040" t="s">
        <v>2</v>
      </c>
      <c r="B1040" s="6" t="s">
        <v>1035</v>
      </c>
    </row>
    <row r="1041" spans="1:8" x14ac:dyDescent="0.2">
      <c r="A1041" t="s">
        <v>3</v>
      </c>
      <c r="B1041" s="6">
        <v>1</v>
      </c>
    </row>
    <row r="1042" spans="1:8" ht="16" x14ac:dyDescent="0.2">
      <c r="A1042" t="s">
        <v>4</v>
      </c>
      <c r="B1042" s="72" t="s">
        <v>404</v>
      </c>
    </row>
    <row r="1043" spans="1:8" x14ac:dyDescent="0.2">
      <c r="A1043" t="s">
        <v>5</v>
      </c>
      <c r="B1043" s="6" t="s">
        <v>6</v>
      </c>
    </row>
    <row r="1044" spans="1:8" x14ac:dyDescent="0.2">
      <c r="A1044" t="s">
        <v>7</v>
      </c>
      <c r="B1044" s="6" t="s">
        <v>8</v>
      </c>
    </row>
    <row r="1045" spans="1:8" x14ac:dyDescent="0.2">
      <c r="A1045" t="s">
        <v>9</v>
      </c>
      <c r="B1045" s="6" t="s">
        <v>10</v>
      </c>
    </row>
    <row r="1046" spans="1:8" x14ac:dyDescent="0.2">
      <c r="A1046" t="s">
        <v>11</v>
      </c>
      <c r="B1046" s="6" t="s">
        <v>504</v>
      </c>
    </row>
    <row r="1047" spans="1:8" x14ac:dyDescent="0.2">
      <c r="A1047" t="s">
        <v>497</v>
      </c>
      <c r="B1047" s="70">
        <f>Summary!O145</f>
        <v>0.43836096518082429</v>
      </c>
    </row>
    <row r="1048" spans="1:8" ht="16" x14ac:dyDescent="0.2">
      <c r="A1048" s="1" t="s">
        <v>12</v>
      </c>
    </row>
    <row r="1049" spans="1:8" x14ac:dyDescent="0.2">
      <c r="A1049" t="s">
        <v>13</v>
      </c>
      <c r="B1049" s="6" t="s">
        <v>14</v>
      </c>
      <c r="C1049" t="s">
        <v>2</v>
      </c>
      <c r="D1049" t="s">
        <v>7</v>
      </c>
      <c r="E1049" t="s">
        <v>15</v>
      </c>
      <c r="F1049" t="s">
        <v>5</v>
      </c>
      <c r="G1049" t="s">
        <v>11</v>
      </c>
      <c r="H1049" t="s">
        <v>4</v>
      </c>
    </row>
    <row r="1050" spans="1:8" ht="16" x14ac:dyDescent="0.2">
      <c r="A1050" s="2" t="s">
        <v>514</v>
      </c>
      <c r="B1050" s="6">
        <v>1</v>
      </c>
      <c r="C1050" t="s">
        <v>1035</v>
      </c>
      <c r="D1050" t="s">
        <v>8</v>
      </c>
      <c r="F1050" t="s">
        <v>17</v>
      </c>
      <c r="G1050" t="s">
        <v>18</v>
      </c>
      <c r="H1050" s="2" t="s">
        <v>404</v>
      </c>
    </row>
    <row r="1051" spans="1:8" ht="16" x14ac:dyDescent="0.2">
      <c r="A1051" s="2" t="s">
        <v>66</v>
      </c>
      <c r="B1051" s="6">
        <f>(1/((Parameters!C23*Parameters!B4*Parameters!B12)/1000))</f>
        <v>4.1856906305826644</v>
      </c>
      <c r="C1051" t="s">
        <v>1035</v>
      </c>
      <c r="D1051" t="s">
        <v>8</v>
      </c>
      <c r="F1051" t="s">
        <v>20</v>
      </c>
      <c r="G1051" t="s">
        <v>18</v>
      </c>
      <c r="H1051" s="2" t="s">
        <v>405</v>
      </c>
    </row>
    <row r="1052" spans="1:8" ht="16" x14ac:dyDescent="0.2">
      <c r="A1052" s="2" t="s">
        <v>221</v>
      </c>
      <c r="B1052" s="6">
        <f>(180*Parameters!$B$3)/(Parameters!$B$4*Parameters!$B$12)</f>
        <v>6.3592381373341833E-2</v>
      </c>
      <c r="C1052" t="s">
        <v>26</v>
      </c>
      <c r="D1052" t="s">
        <v>19</v>
      </c>
      <c r="F1052" t="s">
        <v>20</v>
      </c>
      <c r="H1052" s="2" t="s">
        <v>222</v>
      </c>
    </row>
    <row r="1053" spans="1:8" ht="16" x14ac:dyDescent="0.2">
      <c r="A1053" s="2" t="s">
        <v>252</v>
      </c>
      <c r="B1053" s="6">
        <f>((346.23/1000)/(Parameters!$B$4*Parameters!$B$12))</f>
        <v>0.11593693336213089</v>
      </c>
      <c r="C1053" t="s">
        <v>31</v>
      </c>
      <c r="D1053" t="s">
        <v>8</v>
      </c>
      <c r="F1053" t="s">
        <v>20</v>
      </c>
      <c r="H1053" s="2" t="s">
        <v>253</v>
      </c>
    </row>
    <row r="1054" spans="1:8" ht="16" x14ac:dyDescent="0.2">
      <c r="A1054" s="2" t="s">
        <v>254</v>
      </c>
      <c r="B1054" s="6">
        <f>((41.55/1000)/(Parameters!$B$4*Parameters!$B$12))</f>
        <v>1.3913235656056776E-2</v>
      </c>
      <c r="C1054" t="s">
        <v>255</v>
      </c>
      <c r="D1054" t="s">
        <v>8</v>
      </c>
      <c r="F1054" t="s">
        <v>20</v>
      </c>
      <c r="H1054" s="2" t="s">
        <v>256</v>
      </c>
    </row>
    <row r="1055" spans="1:8" ht="16" x14ac:dyDescent="0.2">
      <c r="A1055" s="2" t="s">
        <v>257</v>
      </c>
      <c r="B1055" s="6">
        <f>((20.77/1000)/(Parameters!$B$4*Parameters!$B$12))</f>
        <v>6.9549435517761559E-3</v>
      </c>
      <c r="C1055" t="s">
        <v>31</v>
      </c>
      <c r="D1055" t="s">
        <v>8</v>
      </c>
      <c r="F1055" t="s">
        <v>20</v>
      </c>
      <c r="H1055" s="2" t="s">
        <v>414</v>
      </c>
    </row>
    <row r="1056" spans="1:8" ht="16" x14ac:dyDescent="0.2">
      <c r="A1056" s="2" t="s">
        <v>370</v>
      </c>
      <c r="B1056" s="6">
        <f>((76.17/1000)/(Parameters!$B$4*Parameters!$B$12))</f>
        <v>2.5505924426518525E-2</v>
      </c>
      <c r="C1056" t="s">
        <v>31</v>
      </c>
      <c r="D1056" t="s">
        <v>8</v>
      </c>
      <c r="F1056" t="s">
        <v>20</v>
      </c>
      <c r="H1056" s="2" t="s">
        <v>371</v>
      </c>
    </row>
    <row r="1057" spans="1:9" ht="16" x14ac:dyDescent="0.2">
      <c r="A1057" s="2" t="s">
        <v>315</v>
      </c>
      <c r="B1057" s="6">
        <f>((106.73/1000)/(Parameters!$B$4*Parameters!$B$12))</f>
        <v>3.5739100880167025E-2</v>
      </c>
      <c r="C1057" t="s">
        <v>31</v>
      </c>
      <c r="D1057" t="s">
        <v>8</v>
      </c>
      <c r="F1057" t="s">
        <v>20</v>
      </c>
      <c r="G1057" t="s">
        <v>314</v>
      </c>
      <c r="H1057" s="2" t="s">
        <v>316</v>
      </c>
    </row>
    <row r="1058" spans="1:9" ht="16" x14ac:dyDescent="0.2">
      <c r="A1058" s="2" t="s">
        <v>384</v>
      </c>
      <c r="B1058" s="6">
        <f>((26.58/1000)/(Parameters!$B$4*Parameters!$B$12))</f>
        <v>8.9004525568709778E-3</v>
      </c>
      <c r="C1058" t="s">
        <v>26</v>
      </c>
      <c r="D1058" t="s">
        <v>8</v>
      </c>
      <c r="F1058" t="s">
        <v>20</v>
      </c>
      <c r="G1058" t="s">
        <v>386</v>
      </c>
      <c r="H1058" s="2" t="s">
        <v>385</v>
      </c>
    </row>
    <row r="1059" spans="1:9" ht="16" x14ac:dyDescent="0.2">
      <c r="A1059" s="2" t="s">
        <v>388</v>
      </c>
      <c r="B1059" s="6">
        <f>((117.72/1000)/(Parameters!$B$4*Parameters!$B$12))</f>
        <v>3.9419160082575302E-2</v>
      </c>
      <c r="C1059" t="s">
        <v>26</v>
      </c>
      <c r="D1059" t="s">
        <v>8</v>
      </c>
      <c r="F1059" t="s">
        <v>20</v>
      </c>
      <c r="G1059" t="s">
        <v>390</v>
      </c>
      <c r="H1059" s="2" t="s">
        <v>389</v>
      </c>
    </row>
    <row r="1060" spans="1:9" x14ac:dyDescent="0.2">
      <c r="A1060" t="s">
        <v>265</v>
      </c>
      <c r="B1060" s="6">
        <f>(B962*B1051)-Parameters!$B$15</f>
        <v>5.4486814522613605</v>
      </c>
      <c r="D1060" t="s">
        <v>8</v>
      </c>
      <c r="E1060" t="s">
        <v>37</v>
      </c>
      <c r="F1060" t="s">
        <v>36</v>
      </c>
      <c r="G1060" t="s">
        <v>428</v>
      </c>
    </row>
    <row r="1061" spans="1:9" x14ac:dyDescent="0.2">
      <c r="A1061" t="s">
        <v>306</v>
      </c>
      <c r="B1061" s="6">
        <f>1/(90000000*20)</f>
        <v>5.5555555555555553E-10</v>
      </c>
      <c r="C1061" t="s">
        <v>26</v>
      </c>
      <c r="D1061" t="s">
        <v>7</v>
      </c>
      <c r="F1061" t="s">
        <v>20</v>
      </c>
      <c r="G1061" t="s">
        <v>308</v>
      </c>
      <c r="H1061" t="s">
        <v>307</v>
      </c>
    </row>
    <row r="1062" spans="1:9" x14ac:dyDescent="0.2">
      <c r="A1062" s="35" t="s">
        <v>28</v>
      </c>
      <c r="B1062" s="36">
        <f>Parameters!H22/Parameters!B4*Parameters!B12*-1</f>
        <v>-0.37292496697490091</v>
      </c>
      <c r="C1062" t="s">
        <v>1036</v>
      </c>
      <c r="D1062" s="35" t="s">
        <v>29</v>
      </c>
      <c r="E1062" s="35"/>
      <c r="F1062" s="35" t="s">
        <v>20</v>
      </c>
      <c r="G1062" s="35" t="s">
        <v>505</v>
      </c>
      <c r="H1062" s="35" t="s">
        <v>30</v>
      </c>
      <c r="I1062" s="35"/>
    </row>
    <row r="1063" spans="1:9" ht="16" x14ac:dyDescent="0.2">
      <c r="A1063" s="2"/>
      <c r="H1063" s="2"/>
    </row>
    <row r="1065" spans="1:9" ht="16" x14ac:dyDescent="0.2">
      <c r="A1065" s="1" t="s">
        <v>1</v>
      </c>
      <c r="B1065" s="71" t="s">
        <v>1080</v>
      </c>
    </row>
    <row r="1066" spans="1:9" x14ac:dyDescent="0.2">
      <c r="A1066" t="s">
        <v>2</v>
      </c>
      <c r="B1066" s="6" t="s">
        <v>1035</v>
      </c>
    </row>
    <row r="1067" spans="1:9" x14ac:dyDescent="0.2">
      <c r="A1067" t="s">
        <v>3</v>
      </c>
      <c r="B1067" s="6">
        <v>1</v>
      </c>
    </row>
    <row r="1068" spans="1:9" ht="16" x14ac:dyDescent="0.2">
      <c r="A1068" t="s">
        <v>4</v>
      </c>
      <c r="B1068" s="72" t="s">
        <v>404</v>
      </c>
    </row>
    <row r="1069" spans="1:9" x14ac:dyDescent="0.2">
      <c r="A1069" t="s">
        <v>5</v>
      </c>
      <c r="B1069" s="6" t="s">
        <v>6</v>
      </c>
    </row>
    <row r="1070" spans="1:9" x14ac:dyDescent="0.2">
      <c r="A1070" t="s">
        <v>7</v>
      </c>
      <c r="B1070" s="6" t="s">
        <v>8</v>
      </c>
    </row>
    <row r="1071" spans="1:9" x14ac:dyDescent="0.2">
      <c r="A1071" t="s">
        <v>9</v>
      </c>
      <c r="B1071" s="6" t="s">
        <v>10</v>
      </c>
    </row>
    <row r="1072" spans="1:9" x14ac:dyDescent="0.2">
      <c r="A1072" t="s">
        <v>11</v>
      </c>
      <c r="B1072" s="6" t="s">
        <v>230</v>
      </c>
    </row>
    <row r="1073" spans="1:9" x14ac:dyDescent="0.2">
      <c r="A1073" t="s">
        <v>497</v>
      </c>
      <c r="B1073" s="70">
        <f>Summary!O181</f>
        <v>0</v>
      </c>
    </row>
    <row r="1074" spans="1:9" ht="16" x14ac:dyDescent="0.2">
      <c r="A1074" s="1" t="s">
        <v>12</v>
      </c>
    </row>
    <row r="1075" spans="1:9" x14ac:dyDescent="0.2">
      <c r="A1075" t="s">
        <v>13</v>
      </c>
      <c r="B1075" s="6" t="s">
        <v>14</v>
      </c>
      <c r="C1075" t="s">
        <v>2</v>
      </c>
      <c r="D1075" t="s">
        <v>7</v>
      </c>
      <c r="E1075" t="s">
        <v>15</v>
      </c>
      <c r="F1075" t="s">
        <v>5</v>
      </c>
      <c r="G1075" t="s">
        <v>11</v>
      </c>
      <c r="H1075" t="s">
        <v>4</v>
      </c>
    </row>
    <row r="1076" spans="1:9" ht="16" x14ac:dyDescent="0.2">
      <c r="A1076" s="2" t="s">
        <v>1080</v>
      </c>
      <c r="B1076" s="6">
        <v>1</v>
      </c>
      <c r="C1076" t="s">
        <v>1035</v>
      </c>
      <c r="D1076" t="s">
        <v>8</v>
      </c>
      <c r="F1076" t="s">
        <v>17</v>
      </c>
      <c r="G1076" t="s">
        <v>18</v>
      </c>
      <c r="H1076" s="2" t="s">
        <v>404</v>
      </c>
    </row>
    <row r="1077" spans="1:9" ht="16" x14ac:dyDescent="0.2">
      <c r="A1077" s="2" t="s">
        <v>66</v>
      </c>
      <c r="B1077" s="6">
        <f>(1/((Parameters!$C$23*Parameters!$B$4*Parameters!$B$12)/1000))*Parameters!F35</f>
        <v>3.6117899478066171</v>
      </c>
      <c r="C1077" t="s">
        <v>1035</v>
      </c>
      <c r="D1077" t="s">
        <v>8</v>
      </c>
      <c r="F1077" t="s">
        <v>20</v>
      </c>
      <c r="G1077" t="s">
        <v>18</v>
      </c>
      <c r="H1077" s="2" t="s">
        <v>405</v>
      </c>
    </row>
    <row r="1078" spans="1:9" ht="16" x14ac:dyDescent="0.2">
      <c r="A1078" s="2" t="s">
        <v>221</v>
      </c>
      <c r="B1078" s="6">
        <f>(180*Parameters!$B$3)/(Parameters!$B$4*Parameters!$B$12)*Parameters!F35</f>
        <v>5.4873220233514521E-2</v>
      </c>
      <c r="C1078" t="s">
        <v>26</v>
      </c>
      <c r="D1078" t="s">
        <v>19</v>
      </c>
      <c r="F1078" t="s">
        <v>20</v>
      </c>
      <c r="H1078" s="2" t="s">
        <v>222</v>
      </c>
    </row>
    <row r="1079" spans="1:9" ht="16" x14ac:dyDescent="0.2">
      <c r="A1079" s="2" t="s">
        <v>252</v>
      </c>
      <c r="B1079" s="6">
        <f>((346.23/1000)/(Parameters!$B$4*Parameters!$B$12))*Parameters!$F$35</f>
        <v>0.10004080269032682</v>
      </c>
      <c r="C1079" t="s">
        <v>31</v>
      </c>
      <c r="D1079" t="s">
        <v>8</v>
      </c>
      <c r="F1079" t="s">
        <v>20</v>
      </c>
      <c r="H1079" s="2" t="s">
        <v>253</v>
      </c>
    </row>
    <row r="1080" spans="1:9" ht="16" x14ac:dyDescent="0.2">
      <c r="A1080" s="2" t="s">
        <v>254</v>
      </c>
      <c r="B1080" s="6">
        <f>((41.55/1000)/(Parameters!$B$4*Parameters!$B$12))*Parameters!$F$35</f>
        <v>1.2005589786509195E-2</v>
      </c>
      <c r="C1080" t="s">
        <v>255</v>
      </c>
      <c r="D1080" t="s">
        <v>8</v>
      </c>
      <c r="F1080" t="s">
        <v>20</v>
      </c>
      <c r="H1080" s="2" t="s">
        <v>256</v>
      </c>
    </row>
    <row r="1081" spans="1:9" ht="16" x14ac:dyDescent="0.2">
      <c r="A1081" s="2" t="s">
        <v>257</v>
      </c>
      <c r="B1081" s="6">
        <f>((20.77/1000)/(Parameters!$B$4*Parameters!$B$12))*Parameters!$F$35</f>
        <v>6.0013501772754755E-3</v>
      </c>
      <c r="C1081" t="s">
        <v>31</v>
      </c>
      <c r="D1081" t="s">
        <v>8</v>
      </c>
      <c r="F1081" t="s">
        <v>20</v>
      </c>
      <c r="H1081" s="2" t="s">
        <v>414</v>
      </c>
    </row>
    <row r="1082" spans="1:9" ht="16" x14ac:dyDescent="0.2">
      <c r="A1082" s="2" t="s">
        <v>370</v>
      </c>
      <c r="B1082" s="6">
        <f>((76.17/1000)/(Parameters!$B$4*Parameters!$B$12))*Parameters!$F$35</f>
        <v>2.2008803225954405E-2</v>
      </c>
      <c r="C1082" t="s">
        <v>31</v>
      </c>
      <c r="D1082" t="s">
        <v>8</v>
      </c>
      <c r="F1082" t="s">
        <v>20</v>
      </c>
      <c r="G1082" t="s">
        <v>387</v>
      </c>
      <c r="H1082" s="2" t="s">
        <v>371</v>
      </c>
    </row>
    <row r="1083" spans="1:9" ht="16" x14ac:dyDescent="0.2">
      <c r="A1083" s="2" t="s">
        <v>315</v>
      </c>
      <c r="B1083" s="6">
        <f>((106.73/1000)/(Parameters!$B$4*Parameters!$B$12))*Parameters!$F$35</f>
        <v>3.0838907290352022E-2</v>
      </c>
      <c r="C1083" t="s">
        <v>31</v>
      </c>
      <c r="D1083" t="s">
        <v>8</v>
      </c>
      <c r="F1083" t="s">
        <v>20</v>
      </c>
      <c r="G1083" t="s">
        <v>314</v>
      </c>
      <c r="H1083" s="2" t="s">
        <v>316</v>
      </c>
    </row>
    <row r="1084" spans="1:9" ht="16" x14ac:dyDescent="0.2">
      <c r="A1084" s="2" t="s">
        <v>384</v>
      </c>
      <c r="B1084" s="6">
        <f>((26.58/1000)/(Parameters!$B$4*Parameters!$B$12))*Parameters!$F$35</f>
        <v>7.6801101450159909E-3</v>
      </c>
      <c r="C1084" t="s">
        <v>26</v>
      </c>
      <c r="D1084" t="s">
        <v>8</v>
      </c>
      <c r="F1084" t="s">
        <v>20</v>
      </c>
      <c r="G1084" t="s">
        <v>386</v>
      </c>
      <c r="H1084" s="2" t="s">
        <v>385</v>
      </c>
    </row>
    <row r="1085" spans="1:9" ht="16" x14ac:dyDescent="0.2">
      <c r="A1085" s="2" t="s">
        <v>388</v>
      </c>
      <c r="B1085" s="6">
        <f>((117.72/1000)/(Parameters!$B$4*Parameters!$B$12))*Parameters!$F$35</f>
        <v>3.4014393012463603E-2</v>
      </c>
      <c r="C1085" t="s">
        <v>26</v>
      </c>
      <c r="D1085" t="s">
        <v>8</v>
      </c>
      <c r="F1085" t="s">
        <v>20</v>
      </c>
      <c r="G1085" t="s">
        <v>390</v>
      </c>
      <c r="H1085" s="2" t="s">
        <v>389</v>
      </c>
    </row>
    <row r="1086" spans="1:9" x14ac:dyDescent="0.2">
      <c r="A1086" t="s">
        <v>265</v>
      </c>
      <c r="B1086" s="6">
        <f>((B962*B1077)-Parameters!$B$15)*(1-0.975)</f>
        <v>0.11097957679601639</v>
      </c>
      <c r="D1086" t="s">
        <v>8</v>
      </c>
      <c r="E1086" t="s">
        <v>37</v>
      </c>
      <c r="F1086" t="s">
        <v>36</v>
      </c>
      <c r="G1086" t="s">
        <v>428</v>
      </c>
    </row>
    <row r="1087" spans="1:9" x14ac:dyDescent="0.2">
      <c r="A1087" t="s">
        <v>306</v>
      </c>
      <c r="B1087" s="6">
        <f>1/(90000000*20)</f>
        <v>5.5555555555555553E-10</v>
      </c>
      <c r="C1087" t="s">
        <v>26</v>
      </c>
      <c r="D1087" t="s">
        <v>7</v>
      </c>
      <c r="F1087" t="s">
        <v>20</v>
      </c>
      <c r="G1087" t="s">
        <v>308</v>
      </c>
      <c r="H1087" t="s">
        <v>307</v>
      </c>
    </row>
    <row r="1088" spans="1:9" x14ac:dyDescent="0.2">
      <c r="A1088" s="35" t="s">
        <v>28</v>
      </c>
      <c r="B1088" s="36">
        <f>((B962*B1077)-Parameters!$B$15)*0.975*(180/1000)</f>
        <v>0.77907662910803421</v>
      </c>
      <c r="C1088" t="s">
        <v>1036</v>
      </c>
      <c r="D1088" s="35" t="s">
        <v>29</v>
      </c>
      <c r="E1088" s="35"/>
      <c r="F1088" s="35" t="s">
        <v>20</v>
      </c>
      <c r="G1088" s="35" t="s">
        <v>505</v>
      </c>
      <c r="H1088" s="35" t="s">
        <v>30</v>
      </c>
      <c r="I1088" s="35"/>
    </row>
    <row r="1089" spans="1:9" x14ac:dyDescent="0.2">
      <c r="A1089" s="35" t="s">
        <v>1067</v>
      </c>
      <c r="B1089" s="36">
        <f>((B962*B1077)-Parameters!$B$15)*0.975</f>
        <v>4.3282034950446349</v>
      </c>
      <c r="C1089" t="s">
        <v>572</v>
      </c>
      <c r="D1089" t="s">
        <v>8</v>
      </c>
      <c r="E1089" s="35"/>
      <c r="F1089" s="35" t="s">
        <v>20</v>
      </c>
      <c r="H1089" t="s">
        <v>1067</v>
      </c>
      <c r="I1089" s="35"/>
    </row>
    <row r="1090" spans="1:9" ht="16" x14ac:dyDescent="0.2">
      <c r="A1090" s="2"/>
      <c r="H1090" s="2"/>
    </row>
    <row r="1091" spans="1:9" ht="16" x14ac:dyDescent="0.2">
      <c r="A1091" s="1" t="s">
        <v>1</v>
      </c>
      <c r="B1091" s="71" t="s">
        <v>1081</v>
      </c>
    </row>
    <row r="1092" spans="1:9" x14ac:dyDescent="0.2">
      <c r="A1092" t="s">
        <v>2</v>
      </c>
      <c r="B1092" s="6" t="s">
        <v>1035</v>
      </c>
    </row>
    <row r="1093" spans="1:9" x14ac:dyDescent="0.2">
      <c r="A1093" t="s">
        <v>3</v>
      </c>
      <c r="B1093" s="6">
        <v>1</v>
      </c>
    </row>
    <row r="1094" spans="1:9" ht="16" x14ac:dyDescent="0.2">
      <c r="A1094" t="s">
        <v>4</v>
      </c>
      <c r="B1094" s="72" t="s">
        <v>404</v>
      </c>
    </row>
    <row r="1095" spans="1:9" x14ac:dyDescent="0.2">
      <c r="A1095" t="s">
        <v>5</v>
      </c>
      <c r="B1095" s="6" t="s">
        <v>6</v>
      </c>
    </row>
    <row r="1096" spans="1:9" x14ac:dyDescent="0.2">
      <c r="A1096" t="s">
        <v>7</v>
      </c>
      <c r="B1096" s="6" t="s">
        <v>8</v>
      </c>
    </row>
    <row r="1097" spans="1:9" x14ac:dyDescent="0.2">
      <c r="A1097" t="s">
        <v>9</v>
      </c>
      <c r="B1097" s="6" t="s">
        <v>10</v>
      </c>
    </row>
    <row r="1098" spans="1:9" x14ac:dyDescent="0.2">
      <c r="A1098" t="s">
        <v>11</v>
      </c>
      <c r="B1098" s="6" t="s">
        <v>373</v>
      </c>
    </row>
    <row r="1099" spans="1:9" x14ac:dyDescent="0.2">
      <c r="A1099" t="s">
        <v>497</v>
      </c>
      <c r="B1099" s="70">
        <f>Summary!O124</f>
        <v>0.45080489134960033</v>
      </c>
    </row>
    <row r="1100" spans="1:9" ht="16" x14ac:dyDescent="0.2">
      <c r="A1100" s="1" t="s">
        <v>12</v>
      </c>
    </row>
    <row r="1101" spans="1:9" x14ac:dyDescent="0.2">
      <c r="A1101" t="s">
        <v>13</v>
      </c>
      <c r="B1101" s="6" t="s">
        <v>14</v>
      </c>
      <c r="C1101" t="s">
        <v>2</v>
      </c>
      <c r="D1101" t="s">
        <v>7</v>
      </c>
      <c r="E1101" t="s">
        <v>15</v>
      </c>
      <c r="F1101" t="s">
        <v>5</v>
      </c>
      <c r="G1101" t="s">
        <v>11</v>
      </c>
      <c r="H1101" t="s">
        <v>4</v>
      </c>
    </row>
    <row r="1102" spans="1:9" ht="16" x14ac:dyDescent="0.2">
      <c r="A1102" s="2" t="s">
        <v>1081</v>
      </c>
      <c r="B1102" s="6">
        <v>1</v>
      </c>
      <c r="C1102" t="s">
        <v>1035</v>
      </c>
      <c r="D1102" t="s">
        <v>8</v>
      </c>
      <c r="F1102" t="s">
        <v>17</v>
      </c>
      <c r="G1102" t="s">
        <v>18</v>
      </c>
      <c r="H1102" s="2" t="s">
        <v>404</v>
      </c>
    </row>
    <row r="1103" spans="1:9" ht="16" x14ac:dyDescent="0.2">
      <c r="A1103" s="2" t="s">
        <v>66</v>
      </c>
      <c r="B1103" s="6">
        <f>(1/((Parameters!C23*Parameters!B4*Parameters!B12)/1000))*Parameters!G35</f>
        <v>3.902331224292801</v>
      </c>
      <c r="C1103" t="s">
        <v>1035</v>
      </c>
      <c r="D1103" t="s">
        <v>8</v>
      </c>
      <c r="F1103" t="s">
        <v>20</v>
      </c>
      <c r="G1103" t="s">
        <v>18</v>
      </c>
      <c r="H1103" s="2" t="s">
        <v>405</v>
      </c>
    </row>
    <row r="1104" spans="1:9" ht="16" x14ac:dyDescent="0.2">
      <c r="A1104" s="2" t="s">
        <v>221</v>
      </c>
      <c r="B1104" s="6">
        <f>(180*Parameters!$B$3)/(Parameters!$B$4*Parameters!$B$12)*Parameters!G35</f>
        <v>5.9287357179998543E-2</v>
      </c>
      <c r="C1104" t="s">
        <v>26</v>
      </c>
      <c r="D1104" t="s">
        <v>19</v>
      </c>
      <c r="F1104" t="s">
        <v>20</v>
      </c>
      <c r="H1104" s="2" t="s">
        <v>222</v>
      </c>
    </row>
    <row r="1105" spans="1:9" ht="16" x14ac:dyDescent="0.2">
      <c r="A1105" s="2" t="s">
        <v>252</v>
      </c>
      <c r="B1105" s="6">
        <f>((346.23/1000)/(Parameters!$B$4*Parameters!$B$12))*Parameters!$G$35</f>
        <v>0.10808833118295173</v>
      </c>
      <c r="C1105" t="s">
        <v>31</v>
      </c>
      <c r="D1105" t="s">
        <v>8</v>
      </c>
      <c r="F1105" t="s">
        <v>20</v>
      </c>
      <c r="H1105" s="2" t="s">
        <v>253</v>
      </c>
    </row>
    <row r="1106" spans="1:9" ht="16" x14ac:dyDescent="0.2">
      <c r="A1106" s="2" t="s">
        <v>254</v>
      </c>
      <c r="B1106" s="6">
        <f>((41.55/1000)/(Parameters!$B$4*Parameters!$B$12))*Parameters!$G$35</f>
        <v>1.2971348989549271E-2</v>
      </c>
      <c r="C1106" t="s">
        <v>255</v>
      </c>
      <c r="D1106" t="s">
        <v>8</v>
      </c>
      <c r="F1106" t="s">
        <v>20</v>
      </c>
      <c r="H1106" s="2" t="s">
        <v>256</v>
      </c>
    </row>
    <row r="1107" spans="1:9" ht="16" x14ac:dyDescent="0.2">
      <c r="A1107" s="2" t="s">
        <v>257</v>
      </c>
      <c r="B1107" s="6">
        <f>((20.77/1000)/(Parameters!$B$4*Parameters!$B$12))*Parameters!$G$35</f>
        <v>6.4841135622849188E-3</v>
      </c>
      <c r="C1107" t="s">
        <v>31</v>
      </c>
      <c r="D1107" t="s">
        <v>8</v>
      </c>
      <c r="F1107" t="s">
        <v>20</v>
      </c>
      <c r="H1107" s="2" t="s">
        <v>414</v>
      </c>
    </row>
    <row r="1108" spans="1:9" ht="16" x14ac:dyDescent="0.2">
      <c r="A1108" s="2" t="s">
        <v>370</v>
      </c>
      <c r="B1108" s="6">
        <f>((76.17/1000)/(Parameters!$B$4*Parameters!$B$12))*Parameters!$G$35</f>
        <v>2.3779245548350612E-2</v>
      </c>
      <c r="C1108" t="s">
        <v>31</v>
      </c>
      <c r="D1108" t="s">
        <v>8</v>
      </c>
      <c r="F1108" t="s">
        <v>20</v>
      </c>
      <c r="H1108" s="2" t="s">
        <v>371</v>
      </c>
    </row>
    <row r="1109" spans="1:9" ht="16" x14ac:dyDescent="0.2">
      <c r="A1109" s="2" t="s">
        <v>315</v>
      </c>
      <c r="B1109" s="6">
        <f>((106.73/1000)/(Parameters!$B$4*Parameters!$B$12))*Parameters!$G$35</f>
        <v>3.3319664925501653E-2</v>
      </c>
      <c r="C1109" t="s">
        <v>31</v>
      </c>
      <c r="D1109" t="s">
        <v>8</v>
      </c>
      <c r="F1109" t="s">
        <v>20</v>
      </c>
      <c r="G1109" t="s">
        <v>314</v>
      </c>
      <c r="H1109" s="2" t="s">
        <v>316</v>
      </c>
    </row>
    <row r="1110" spans="1:9" ht="16" x14ac:dyDescent="0.2">
      <c r="A1110" s="2" t="s">
        <v>384</v>
      </c>
      <c r="B1110" s="6">
        <f>((26.58/1000)/(Parameters!$B$4*Parameters!$B$12))*Parameters!$G$35</f>
        <v>8.2979171153362129E-3</v>
      </c>
      <c r="C1110" t="s">
        <v>26</v>
      </c>
      <c r="D1110" t="s">
        <v>8</v>
      </c>
      <c r="F1110" t="s">
        <v>20</v>
      </c>
      <c r="G1110" t="s">
        <v>386</v>
      </c>
      <c r="H1110" s="2" t="s">
        <v>385</v>
      </c>
    </row>
    <row r="1111" spans="1:9" ht="16" x14ac:dyDescent="0.2">
      <c r="A1111" s="2" t="s">
        <v>388</v>
      </c>
      <c r="B1111" s="6">
        <f>((117.72/1000)/(Parameters!$B$4*Parameters!$B$12))*Parameters!G$35</f>
        <v>3.6750594537899889E-2</v>
      </c>
      <c r="C1111" t="s">
        <v>26</v>
      </c>
      <c r="D1111" t="s">
        <v>8</v>
      </c>
      <c r="F1111" t="s">
        <v>20</v>
      </c>
      <c r="G1111" t="s">
        <v>390</v>
      </c>
      <c r="H1111" s="2" t="s">
        <v>389</v>
      </c>
    </row>
    <row r="1112" spans="1:9" x14ac:dyDescent="0.2">
      <c r="A1112" t="s">
        <v>265</v>
      </c>
      <c r="B1112" s="6">
        <f>((B962*B1103)-Parameters!$B$15)*(1-0.975)</f>
        <v>0.12375621902962664</v>
      </c>
      <c r="D1112" t="s">
        <v>8</v>
      </c>
      <c r="E1112" t="s">
        <v>37</v>
      </c>
      <c r="F1112" t="s">
        <v>36</v>
      </c>
      <c r="G1112" t="s">
        <v>428</v>
      </c>
    </row>
    <row r="1113" spans="1:9" x14ac:dyDescent="0.2">
      <c r="A1113" t="s">
        <v>306</v>
      </c>
      <c r="B1113" s="6">
        <f>1/(90000000*20)</f>
        <v>5.5555555555555553E-10</v>
      </c>
      <c r="C1113" t="s">
        <v>26</v>
      </c>
      <c r="D1113" t="s">
        <v>7</v>
      </c>
      <c r="F1113" t="s">
        <v>20</v>
      </c>
      <c r="G1113" t="s">
        <v>308</v>
      </c>
      <c r="H1113" t="s">
        <v>307</v>
      </c>
    </row>
    <row r="1114" spans="1:9" x14ac:dyDescent="0.2">
      <c r="A1114" s="35" t="s">
        <v>28</v>
      </c>
      <c r="B1114" s="36">
        <f>((B962*B1103)-Parameters!$B$15)*0.975*(180/1000)</f>
        <v>0.86876865758797817</v>
      </c>
      <c r="C1114" t="s">
        <v>1036</v>
      </c>
      <c r="D1114" s="35" t="s">
        <v>29</v>
      </c>
      <c r="E1114" s="35"/>
      <c r="F1114" s="35" t="s">
        <v>20</v>
      </c>
      <c r="G1114" s="35" t="s">
        <v>505</v>
      </c>
      <c r="H1114" s="35" t="s">
        <v>30</v>
      </c>
      <c r="I1114" s="35"/>
    </row>
    <row r="1115" spans="1:9" x14ac:dyDescent="0.2">
      <c r="A1115" s="35" t="s">
        <v>1067</v>
      </c>
      <c r="B1115" s="36">
        <f>((B962*B1103)-Parameters!$B$15)*0.975</f>
        <v>4.8264925421554343</v>
      </c>
      <c r="C1115" t="s">
        <v>572</v>
      </c>
      <c r="D1115" t="s">
        <v>8</v>
      </c>
      <c r="E1115" s="35"/>
      <c r="F1115" s="35" t="s">
        <v>20</v>
      </c>
      <c r="H1115" t="s">
        <v>1067</v>
      </c>
      <c r="I1115" s="35"/>
    </row>
    <row r="1116" spans="1:9" ht="16" x14ac:dyDescent="0.2">
      <c r="A1116" s="2"/>
      <c r="H1116" s="2"/>
    </row>
    <row r="1117" spans="1:9" ht="16" x14ac:dyDescent="0.2">
      <c r="A1117" s="1" t="s">
        <v>1</v>
      </c>
      <c r="B1117" s="71" t="s">
        <v>1082</v>
      </c>
    </row>
    <row r="1118" spans="1:9" x14ac:dyDescent="0.2">
      <c r="A1118" t="s">
        <v>2</v>
      </c>
      <c r="B1118" s="6" t="s">
        <v>1035</v>
      </c>
    </row>
    <row r="1119" spans="1:9" x14ac:dyDescent="0.2">
      <c r="A1119" t="s">
        <v>3</v>
      </c>
      <c r="B1119" s="6">
        <v>1</v>
      </c>
    </row>
    <row r="1120" spans="1:9" ht="16" x14ac:dyDescent="0.2">
      <c r="A1120" t="s">
        <v>4</v>
      </c>
      <c r="B1120" s="72" t="s">
        <v>404</v>
      </c>
    </row>
    <row r="1121" spans="1:8" x14ac:dyDescent="0.2">
      <c r="A1121" t="s">
        <v>5</v>
      </c>
      <c r="B1121" s="6" t="s">
        <v>6</v>
      </c>
    </row>
    <row r="1122" spans="1:8" x14ac:dyDescent="0.2">
      <c r="A1122" t="s">
        <v>7</v>
      </c>
      <c r="B1122" s="6" t="s">
        <v>8</v>
      </c>
    </row>
    <row r="1123" spans="1:8" x14ac:dyDescent="0.2">
      <c r="A1123" t="s">
        <v>9</v>
      </c>
      <c r="B1123" s="6" t="s">
        <v>10</v>
      </c>
    </row>
    <row r="1124" spans="1:8" x14ac:dyDescent="0.2">
      <c r="A1124" t="s">
        <v>11</v>
      </c>
      <c r="B1124" s="6" t="s">
        <v>504</v>
      </c>
    </row>
    <row r="1125" spans="1:8" x14ac:dyDescent="0.2">
      <c r="A1125" t="s">
        <v>497</v>
      </c>
      <c r="B1125" s="70">
        <f>Summary!O219</f>
        <v>0</v>
      </c>
    </row>
    <row r="1126" spans="1:8" ht="16" x14ac:dyDescent="0.2">
      <c r="A1126" s="1" t="s">
        <v>12</v>
      </c>
    </row>
    <row r="1127" spans="1:8" x14ac:dyDescent="0.2">
      <c r="A1127" t="s">
        <v>13</v>
      </c>
      <c r="B1127" s="6" t="s">
        <v>14</v>
      </c>
      <c r="C1127" t="s">
        <v>2</v>
      </c>
      <c r="D1127" t="s">
        <v>7</v>
      </c>
      <c r="E1127" t="s">
        <v>15</v>
      </c>
      <c r="F1127" t="s">
        <v>5</v>
      </c>
      <c r="G1127" t="s">
        <v>11</v>
      </c>
      <c r="H1127" t="s">
        <v>4</v>
      </c>
    </row>
    <row r="1128" spans="1:8" ht="16" x14ac:dyDescent="0.2">
      <c r="A1128" s="2" t="s">
        <v>1082</v>
      </c>
      <c r="B1128" s="6">
        <v>1</v>
      </c>
      <c r="C1128" t="s">
        <v>1035</v>
      </c>
      <c r="D1128" t="s">
        <v>8</v>
      </c>
      <c r="F1128" t="s">
        <v>17</v>
      </c>
      <c r="G1128" t="s">
        <v>18</v>
      </c>
      <c r="H1128" s="2" t="s">
        <v>404</v>
      </c>
    </row>
    <row r="1129" spans="1:8" ht="16" x14ac:dyDescent="0.2">
      <c r="A1129" s="2" t="s">
        <v>66</v>
      </c>
      <c r="B1129" s="6">
        <f>(1/((Parameters!C23*Parameters!B4*Parameters!B12)/1000))</f>
        <v>4.1856906305826644</v>
      </c>
      <c r="C1129" t="s">
        <v>1035</v>
      </c>
      <c r="D1129" t="s">
        <v>8</v>
      </c>
      <c r="F1129" t="s">
        <v>20</v>
      </c>
      <c r="G1129" t="s">
        <v>18</v>
      </c>
      <c r="H1129" s="2" t="s">
        <v>405</v>
      </c>
    </row>
    <row r="1130" spans="1:8" ht="16" x14ac:dyDescent="0.2">
      <c r="A1130" s="2" t="s">
        <v>221</v>
      </c>
      <c r="B1130" s="6">
        <f>(180*Parameters!$B$3)/(Parameters!$B$4*Parameters!$B$12)</f>
        <v>6.3592381373341833E-2</v>
      </c>
      <c r="C1130" t="s">
        <v>26</v>
      </c>
      <c r="D1130" t="s">
        <v>19</v>
      </c>
      <c r="F1130" t="s">
        <v>20</v>
      </c>
      <c r="H1130" s="2" t="s">
        <v>222</v>
      </c>
    </row>
    <row r="1131" spans="1:8" ht="16" x14ac:dyDescent="0.2">
      <c r="A1131" s="2" t="s">
        <v>252</v>
      </c>
      <c r="B1131" s="6">
        <f>((346.23/1000)/(Parameters!$B$4*Parameters!$B$12))</f>
        <v>0.11593693336213089</v>
      </c>
      <c r="C1131" t="s">
        <v>31</v>
      </c>
      <c r="D1131" t="s">
        <v>8</v>
      </c>
      <c r="F1131" t="s">
        <v>20</v>
      </c>
      <c r="H1131" s="2" t="s">
        <v>253</v>
      </c>
    </row>
    <row r="1132" spans="1:8" ht="16" x14ac:dyDescent="0.2">
      <c r="A1132" s="2" t="s">
        <v>254</v>
      </c>
      <c r="B1132" s="6">
        <f>((41.55/1000)/(Parameters!$B$4*Parameters!$B$12))</f>
        <v>1.3913235656056776E-2</v>
      </c>
      <c r="C1132" t="s">
        <v>255</v>
      </c>
      <c r="D1132" t="s">
        <v>8</v>
      </c>
      <c r="F1132" t="s">
        <v>20</v>
      </c>
      <c r="H1132" s="2" t="s">
        <v>256</v>
      </c>
    </row>
    <row r="1133" spans="1:8" ht="16" x14ac:dyDescent="0.2">
      <c r="A1133" s="2" t="s">
        <v>257</v>
      </c>
      <c r="B1133" s="6">
        <f>((20.77/1000)/(Parameters!$B$4*Parameters!$B$12))</f>
        <v>6.9549435517761559E-3</v>
      </c>
      <c r="C1133" t="s">
        <v>31</v>
      </c>
      <c r="D1133" t="s">
        <v>8</v>
      </c>
      <c r="F1133" t="s">
        <v>20</v>
      </c>
      <c r="H1133" s="2" t="s">
        <v>414</v>
      </c>
    </row>
    <row r="1134" spans="1:8" ht="16" x14ac:dyDescent="0.2">
      <c r="A1134" s="2" t="s">
        <v>370</v>
      </c>
      <c r="B1134" s="6">
        <f>((76.17/1000)/(Parameters!$B$4*Parameters!$B$12))</f>
        <v>2.5505924426518525E-2</v>
      </c>
      <c r="C1134" t="s">
        <v>31</v>
      </c>
      <c r="D1134" t="s">
        <v>8</v>
      </c>
      <c r="F1134" t="s">
        <v>20</v>
      </c>
      <c r="H1134" s="2" t="s">
        <v>371</v>
      </c>
    </row>
    <row r="1135" spans="1:8" ht="16" x14ac:dyDescent="0.2">
      <c r="A1135" s="2" t="s">
        <v>315</v>
      </c>
      <c r="B1135" s="6">
        <f>((106.73/1000)/(Parameters!$B$4*Parameters!$B$12))</f>
        <v>3.5739100880167025E-2</v>
      </c>
      <c r="C1135" t="s">
        <v>31</v>
      </c>
      <c r="D1135" t="s">
        <v>8</v>
      </c>
      <c r="F1135" t="s">
        <v>20</v>
      </c>
      <c r="G1135" t="s">
        <v>314</v>
      </c>
      <c r="H1135" s="2" t="s">
        <v>316</v>
      </c>
    </row>
    <row r="1136" spans="1:8" ht="16" x14ac:dyDescent="0.2">
      <c r="A1136" s="2" t="s">
        <v>384</v>
      </c>
      <c r="B1136" s="6">
        <f>((26.58/1000)/(Parameters!$B$4*Parameters!$B$12))</f>
        <v>8.9004525568709778E-3</v>
      </c>
      <c r="C1136" t="s">
        <v>26</v>
      </c>
      <c r="D1136" t="s">
        <v>8</v>
      </c>
      <c r="F1136" t="s">
        <v>20</v>
      </c>
      <c r="G1136" t="s">
        <v>386</v>
      </c>
      <c r="H1136" s="2" t="s">
        <v>385</v>
      </c>
    </row>
    <row r="1137" spans="1:10" ht="16" x14ac:dyDescent="0.2">
      <c r="A1137" s="2" t="s">
        <v>388</v>
      </c>
      <c r="B1137" s="6">
        <f>((117.72/1000)/(Parameters!$B$4*Parameters!$B$12))</f>
        <v>3.9419160082575302E-2</v>
      </c>
      <c r="C1137" t="s">
        <v>26</v>
      </c>
      <c r="D1137" t="s">
        <v>8</v>
      </c>
      <c r="F1137" t="s">
        <v>20</v>
      </c>
      <c r="G1137" t="s">
        <v>390</v>
      </c>
      <c r="H1137" s="2" t="s">
        <v>389</v>
      </c>
    </row>
    <row r="1138" spans="1:10" x14ac:dyDescent="0.2">
      <c r="A1138" t="s">
        <v>265</v>
      </c>
      <c r="B1138" s="6">
        <f>((B962*B1129)-Parameters!$B$15)*(1-0.975)</f>
        <v>0.13621703630653414</v>
      </c>
      <c r="D1138" t="s">
        <v>8</v>
      </c>
      <c r="E1138" t="s">
        <v>37</v>
      </c>
      <c r="F1138" t="s">
        <v>36</v>
      </c>
      <c r="G1138" t="s">
        <v>428</v>
      </c>
    </row>
    <row r="1139" spans="1:10" x14ac:dyDescent="0.2">
      <c r="A1139" t="s">
        <v>306</v>
      </c>
      <c r="B1139" s="6">
        <f>1/(90000000*20)</f>
        <v>5.5555555555555553E-10</v>
      </c>
      <c r="C1139" t="s">
        <v>26</v>
      </c>
      <c r="D1139" t="s">
        <v>7</v>
      </c>
      <c r="F1139" t="s">
        <v>20</v>
      </c>
      <c r="G1139" t="s">
        <v>308</v>
      </c>
      <c r="H1139" t="s">
        <v>307</v>
      </c>
    </row>
    <row r="1140" spans="1:10" x14ac:dyDescent="0.2">
      <c r="A1140" s="35" t="s">
        <v>28</v>
      </c>
      <c r="B1140" s="36">
        <f>(Parameters!H22/Parameters!B4*Parameters!B12*-1)+(((B962*B1129)-Parameters!$B$15)*0.975*(180/1000))</f>
        <v>0.58331862789696776</v>
      </c>
      <c r="C1140" t="s">
        <v>1036</v>
      </c>
      <c r="D1140" s="35" t="s">
        <v>29</v>
      </c>
      <c r="E1140" s="35"/>
      <c r="F1140" s="35" t="s">
        <v>20</v>
      </c>
      <c r="G1140" s="35" t="s">
        <v>505</v>
      </c>
      <c r="H1140" s="35" t="s">
        <v>30</v>
      </c>
      <c r="I1140" s="35"/>
    </row>
    <row r="1141" spans="1:10" x14ac:dyDescent="0.2">
      <c r="A1141" s="35" t="s">
        <v>1067</v>
      </c>
      <c r="B1141" s="36">
        <f>((B962*B1129)-Parameters!$B$15)*0.975</f>
        <v>5.3124644159548264</v>
      </c>
      <c r="C1141" t="s">
        <v>572</v>
      </c>
      <c r="D1141" t="s">
        <v>8</v>
      </c>
      <c r="E1141" s="35"/>
      <c r="F1141" s="35" t="s">
        <v>20</v>
      </c>
      <c r="H1141" t="s">
        <v>1067</v>
      </c>
      <c r="I1141" s="35"/>
    </row>
    <row r="1142" spans="1:10" ht="16" x14ac:dyDescent="0.2">
      <c r="A1142" s="2"/>
      <c r="H1142" s="2"/>
    </row>
    <row r="1143" spans="1:10" ht="16" x14ac:dyDescent="0.2">
      <c r="A1143" s="1" t="s">
        <v>1</v>
      </c>
      <c r="B1143" s="71" t="s">
        <v>407</v>
      </c>
    </row>
    <row r="1144" spans="1:10" x14ac:dyDescent="0.2">
      <c r="A1144" t="s">
        <v>2</v>
      </c>
      <c r="B1144" s="6" t="s">
        <v>1035</v>
      </c>
    </row>
    <row r="1145" spans="1:10" x14ac:dyDescent="0.2">
      <c r="A1145" t="s">
        <v>3</v>
      </c>
      <c r="B1145" s="6">
        <v>1</v>
      </c>
    </row>
    <row r="1146" spans="1:10" ht="16" x14ac:dyDescent="0.2">
      <c r="A1146" t="s">
        <v>4</v>
      </c>
      <c r="B1146" s="72" t="s">
        <v>337</v>
      </c>
    </row>
    <row r="1147" spans="1:10" x14ac:dyDescent="0.2">
      <c r="A1147" t="s">
        <v>5</v>
      </c>
      <c r="B1147" s="6" t="s">
        <v>6</v>
      </c>
    </row>
    <row r="1148" spans="1:10" x14ac:dyDescent="0.2">
      <c r="A1148" t="s">
        <v>7</v>
      </c>
      <c r="B1148" s="6" t="s">
        <v>8</v>
      </c>
    </row>
    <row r="1149" spans="1:10" x14ac:dyDescent="0.2">
      <c r="A1149" t="s">
        <v>9</v>
      </c>
      <c r="B1149" s="6" t="s">
        <v>393</v>
      </c>
    </row>
    <row r="1150" spans="1:10" x14ac:dyDescent="0.2">
      <c r="A1150" t="s">
        <v>11</v>
      </c>
      <c r="B1150" s="6" t="s">
        <v>362</v>
      </c>
    </row>
    <row r="1151" spans="1:10" ht="16" x14ac:dyDescent="0.2">
      <c r="A1151" s="1" t="s">
        <v>12</v>
      </c>
    </row>
    <row r="1152" spans="1:10" x14ac:dyDescent="0.2">
      <c r="A1152" t="s">
        <v>13</v>
      </c>
      <c r="B1152" s="6" t="s">
        <v>14</v>
      </c>
      <c r="C1152" t="s">
        <v>2</v>
      </c>
      <c r="D1152" t="s">
        <v>7</v>
      </c>
      <c r="E1152" t="s">
        <v>15</v>
      </c>
      <c r="F1152" t="s">
        <v>5</v>
      </c>
      <c r="G1152" t="s">
        <v>338</v>
      </c>
      <c r="H1152" t="s">
        <v>339</v>
      </c>
      <c r="I1152" t="s">
        <v>11</v>
      </c>
      <c r="J1152" t="s">
        <v>4</v>
      </c>
    </row>
    <row r="1153" spans="1:10" x14ac:dyDescent="0.2">
      <c r="A1153" s="35" t="s">
        <v>407</v>
      </c>
      <c r="B1153" s="36">
        <v>1</v>
      </c>
      <c r="C1153" t="s">
        <v>1035</v>
      </c>
      <c r="D1153" s="35" t="s">
        <v>8</v>
      </c>
      <c r="E1153" s="35"/>
      <c r="F1153" s="35" t="s">
        <v>17</v>
      </c>
      <c r="G1153" s="35"/>
      <c r="H1153" s="35"/>
      <c r="I1153" s="35" t="s">
        <v>18</v>
      </c>
      <c r="J1153" s="35" t="s">
        <v>337</v>
      </c>
    </row>
    <row r="1154" spans="1:10" ht="16" x14ac:dyDescent="0.2">
      <c r="A1154" s="2" t="s">
        <v>403</v>
      </c>
      <c r="B1154" s="6">
        <v>1.00057</v>
      </c>
      <c r="C1154" t="s">
        <v>1035</v>
      </c>
      <c r="D1154" t="s">
        <v>8</v>
      </c>
      <c r="F1154" s="35" t="s">
        <v>20</v>
      </c>
      <c r="G1154" t="s">
        <v>18</v>
      </c>
      <c r="I1154" s="35"/>
      <c r="J1154" s="2" t="s">
        <v>404</v>
      </c>
    </row>
    <row r="1155" spans="1:10" x14ac:dyDescent="0.2">
      <c r="A1155" s="35" t="s">
        <v>28</v>
      </c>
      <c r="B1155" s="36">
        <v>6.7000000000000002E-3</v>
      </c>
      <c r="C1155" t="s">
        <v>1036</v>
      </c>
      <c r="D1155" s="35" t="s">
        <v>29</v>
      </c>
      <c r="E1155" s="35"/>
      <c r="F1155" s="35" t="s">
        <v>20</v>
      </c>
      <c r="G1155" s="35"/>
      <c r="H1155" s="35"/>
      <c r="I1155" s="35"/>
      <c r="J1155" s="35" t="s">
        <v>30</v>
      </c>
    </row>
    <row r="1156" spans="1:10" x14ac:dyDescent="0.2">
      <c r="A1156" s="35" t="s">
        <v>340</v>
      </c>
      <c r="B1156" s="36">
        <v>-1.6799999999999999E-4</v>
      </c>
      <c r="C1156" s="35" t="s">
        <v>31</v>
      </c>
      <c r="D1156" s="35" t="s">
        <v>8</v>
      </c>
      <c r="E1156" s="35"/>
      <c r="F1156" s="35" t="s">
        <v>20</v>
      </c>
      <c r="G1156" s="35"/>
      <c r="H1156" s="35"/>
      <c r="I1156" s="35"/>
      <c r="J1156" s="35" t="s">
        <v>341</v>
      </c>
    </row>
    <row r="1157" spans="1:10" x14ac:dyDescent="0.2">
      <c r="A1157" s="35" t="s">
        <v>342</v>
      </c>
      <c r="B1157" s="36">
        <v>5.8399999999999999E-4</v>
      </c>
      <c r="C1157" s="35" t="s">
        <v>31</v>
      </c>
      <c r="D1157" s="35" t="s">
        <v>19</v>
      </c>
      <c r="E1157" s="35"/>
      <c r="F1157" s="35" t="s">
        <v>20</v>
      </c>
      <c r="G1157" s="35"/>
      <c r="H1157" s="35"/>
      <c r="I1157" s="35"/>
      <c r="J1157" s="35" t="s">
        <v>343</v>
      </c>
    </row>
    <row r="1158" spans="1:10" x14ac:dyDescent="0.2">
      <c r="A1158" s="35" t="s">
        <v>344</v>
      </c>
      <c r="B1158" s="36">
        <v>2.5999999999999998E-10</v>
      </c>
      <c r="C1158" s="35" t="s">
        <v>31</v>
      </c>
      <c r="D1158" s="35" t="s">
        <v>7</v>
      </c>
      <c r="E1158" s="35"/>
      <c r="F1158" s="35" t="s">
        <v>20</v>
      </c>
      <c r="G1158" s="35"/>
      <c r="H1158" s="35"/>
      <c r="I1158" s="35"/>
      <c r="J1158" s="35" t="s">
        <v>345</v>
      </c>
    </row>
    <row r="1159" spans="1:10" x14ac:dyDescent="0.2">
      <c r="A1159" s="35" t="s">
        <v>346</v>
      </c>
      <c r="B1159" s="36">
        <v>-6.2700000000000001E-6</v>
      </c>
      <c r="C1159" s="35" t="s">
        <v>31</v>
      </c>
      <c r="D1159" s="35" t="s">
        <v>8</v>
      </c>
      <c r="E1159" s="35"/>
      <c r="F1159" s="35" t="s">
        <v>20</v>
      </c>
      <c r="G1159" s="35"/>
      <c r="H1159" s="35"/>
      <c r="I1159" s="35"/>
      <c r="J1159" s="35" t="s">
        <v>347</v>
      </c>
    </row>
    <row r="1160" spans="1:10" x14ac:dyDescent="0.2">
      <c r="A1160" s="35" t="s">
        <v>348</v>
      </c>
      <c r="B1160" s="36">
        <v>-7.4999999999999993E-5</v>
      </c>
      <c r="C1160" s="35" t="s">
        <v>31</v>
      </c>
      <c r="D1160" s="35" t="s">
        <v>121</v>
      </c>
      <c r="E1160" s="35"/>
      <c r="F1160" s="35" t="s">
        <v>20</v>
      </c>
      <c r="G1160" s="35"/>
      <c r="H1160" s="35"/>
      <c r="I1160" s="35"/>
      <c r="J1160" s="35" t="s">
        <v>349</v>
      </c>
    </row>
    <row r="1161" spans="1:10" x14ac:dyDescent="0.2">
      <c r="A1161" s="35" t="s">
        <v>350</v>
      </c>
      <c r="B1161" s="36">
        <v>6.8900000000000005E-4</v>
      </c>
      <c r="C1161" s="35" t="s">
        <v>31</v>
      </c>
      <c r="D1161" s="35" t="s">
        <v>8</v>
      </c>
      <c r="E1161" s="35"/>
      <c r="F1161" s="35" t="s">
        <v>20</v>
      </c>
      <c r="G1161" s="35"/>
      <c r="H1161" s="35"/>
      <c r="I1161" s="35"/>
      <c r="J1161" s="35" t="s">
        <v>351</v>
      </c>
    </row>
    <row r="1162" spans="1:10" x14ac:dyDescent="0.2">
      <c r="A1162" s="35" t="s">
        <v>100</v>
      </c>
      <c r="B1162" s="36">
        <v>3.3599999999999998E-2</v>
      </c>
      <c r="C1162" s="35" t="s">
        <v>31</v>
      </c>
      <c r="D1162" s="35" t="s">
        <v>41</v>
      </c>
      <c r="E1162" s="35"/>
      <c r="F1162" s="35" t="s">
        <v>20</v>
      </c>
      <c r="G1162" s="35"/>
      <c r="H1162" s="35"/>
      <c r="I1162" s="35"/>
      <c r="J1162" s="35" t="s">
        <v>103</v>
      </c>
    </row>
    <row r="1163" spans="1:10" x14ac:dyDescent="0.2">
      <c r="A1163" s="35" t="s">
        <v>352</v>
      </c>
      <c r="B1163" s="36">
        <v>3.2599999999999997E-2</v>
      </c>
      <c r="C1163" s="35" t="s">
        <v>572</v>
      </c>
      <c r="D1163" s="35" t="s">
        <v>41</v>
      </c>
      <c r="E1163" s="35"/>
      <c r="F1163" s="35" t="s">
        <v>20</v>
      </c>
      <c r="G1163" s="35"/>
      <c r="H1163" s="35"/>
      <c r="I1163" s="35"/>
      <c r="J1163" s="35" t="s">
        <v>353</v>
      </c>
    </row>
    <row r="1164" spans="1:10" x14ac:dyDescent="0.2">
      <c r="A1164" s="35" t="s">
        <v>354</v>
      </c>
      <c r="B1164" s="36">
        <v>-6.8899999999999999E-7</v>
      </c>
      <c r="C1164" s="35" t="s">
        <v>31</v>
      </c>
      <c r="D1164" s="35" t="s">
        <v>121</v>
      </c>
      <c r="E1164" s="35"/>
      <c r="F1164" s="35" t="s">
        <v>20</v>
      </c>
      <c r="G1164" s="35"/>
      <c r="H1164" s="35"/>
      <c r="I1164" s="35"/>
      <c r="J1164" s="35" t="s">
        <v>355</v>
      </c>
    </row>
    <row r="1166" spans="1:10" ht="16" x14ac:dyDescent="0.2">
      <c r="A1166" s="1" t="s">
        <v>1</v>
      </c>
      <c r="B1166" s="71" t="s">
        <v>408</v>
      </c>
    </row>
    <row r="1167" spans="1:10" x14ac:dyDescent="0.2">
      <c r="A1167" t="s">
        <v>2</v>
      </c>
      <c r="B1167" s="6" t="s">
        <v>1035</v>
      </c>
    </row>
    <row r="1168" spans="1:10" x14ac:dyDescent="0.2">
      <c r="A1168" t="s">
        <v>3</v>
      </c>
      <c r="B1168" s="6">
        <v>1</v>
      </c>
    </row>
    <row r="1169" spans="1:10" ht="16" x14ac:dyDescent="0.2">
      <c r="A1169" t="s">
        <v>4</v>
      </c>
      <c r="B1169" s="72" t="s">
        <v>337</v>
      </c>
    </row>
    <row r="1170" spans="1:10" x14ac:dyDescent="0.2">
      <c r="A1170" t="s">
        <v>5</v>
      </c>
      <c r="B1170" s="6" t="s">
        <v>6</v>
      </c>
    </row>
    <row r="1171" spans="1:10" x14ac:dyDescent="0.2">
      <c r="A1171" t="s">
        <v>7</v>
      </c>
      <c r="B1171" s="6" t="s">
        <v>8</v>
      </c>
    </row>
    <row r="1172" spans="1:10" x14ac:dyDescent="0.2">
      <c r="A1172" t="s">
        <v>9</v>
      </c>
      <c r="B1172" s="6" t="s">
        <v>393</v>
      </c>
    </row>
    <row r="1173" spans="1:10" x14ac:dyDescent="0.2">
      <c r="A1173" t="s">
        <v>11</v>
      </c>
      <c r="B1173" s="6" t="s">
        <v>361</v>
      </c>
    </row>
    <row r="1174" spans="1:10" ht="16" x14ac:dyDescent="0.2">
      <c r="A1174" s="1" t="s">
        <v>12</v>
      </c>
    </row>
    <row r="1175" spans="1:10" x14ac:dyDescent="0.2">
      <c r="A1175" t="s">
        <v>13</v>
      </c>
      <c r="B1175" s="6" t="s">
        <v>14</v>
      </c>
      <c r="C1175" t="s">
        <v>2</v>
      </c>
      <c r="D1175" t="s">
        <v>7</v>
      </c>
      <c r="E1175" t="s">
        <v>15</v>
      </c>
      <c r="F1175" t="s">
        <v>5</v>
      </c>
      <c r="G1175" t="s">
        <v>338</v>
      </c>
      <c r="H1175" t="s">
        <v>339</v>
      </c>
      <c r="I1175" t="s">
        <v>11</v>
      </c>
      <c r="J1175" t="s">
        <v>4</v>
      </c>
    </row>
    <row r="1176" spans="1:10" x14ac:dyDescent="0.2">
      <c r="A1176" s="35" t="s">
        <v>408</v>
      </c>
      <c r="B1176" s="36">
        <v>1</v>
      </c>
      <c r="C1176" t="s">
        <v>1035</v>
      </c>
      <c r="D1176" s="35" t="s">
        <v>8</v>
      </c>
      <c r="E1176" s="35"/>
      <c r="F1176" s="35" t="s">
        <v>17</v>
      </c>
      <c r="G1176" s="35"/>
      <c r="H1176" s="35"/>
      <c r="I1176" s="35" t="s">
        <v>18</v>
      </c>
      <c r="J1176" s="35" t="s">
        <v>337</v>
      </c>
    </row>
    <row r="1177" spans="1:10" ht="16" x14ac:dyDescent="0.2">
      <c r="A1177" s="2" t="s">
        <v>406</v>
      </c>
      <c r="B1177" s="6">
        <v>1.00057</v>
      </c>
      <c r="C1177" t="s">
        <v>1035</v>
      </c>
      <c r="D1177" t="s">
        <v>8</v>
      </c>
      <c r="F1177" s="35" t="s">
        <v>20</v>
      </c>
      <c r="G1177" t="s">
        <v>18</v>
      </c>
      <c r="I1177" s="35"/>
      <c r="J1177" s="2" t="s">
        <v>404</v>
      </c>
    </row>
    <row r="1178" spans="1:10" x14ac:dyDescent="0.2">
      <c r="A1178" s="35" t="s">
        <v>28</v>
      </c>
      <c r="B1178" s="36">
        <v>6.7000000000000002E-3</v>
      </c>
      <c r="C1178" t="s">
        <v>1036</v>
      </c>
      <c r="D1178" s="35" t="s">
        <v>29</v>
      </c>
      <c r="E1178" s="35"/>
      <c r="F1178" s="35" t="s">
        <v>20</v>
      </c>
      <c r="G1178" s="35"/>
      <c r="H1178" s="35"/>
      <c r="I1178" s="35"/>
      <c r="J1178" s="35" t="s">
        <v>30</v>
      </c>
    </row>
    <row r="1179" spans="1:10" x14ac:dyDescent="0.2">
      <c r="A1179" s="35" t="s">
        <v>340</v>
      </c>
      <c r="B1179" s="36">
        <v>-1.6799999999999999E-4</v>
      </c>
      <c r="C1179" s="35" t="s">
        <v>31</v>
      </c>
      <c r="D1179" s="35" t="s">
        <v>8</v>
      </c>
      <c r="E1179" s="35"/>
      <c r="F1179" s="35" t="s">
        <v>20</v>
      </c>
      <c r="G1179" s="35"/>
      <c r="H1179" s="35"/>
      <c r="I1179" s="35"/>
      <c r="J1179" s="35" t="s">
        <v>341</v>
      </c>
    </row>
    <row r="1180" spans="1:10" x14ac:dyDescent="0.2">
      <c r="A1180" s="35" t="s">
        <v>342</v>
      </c>
      <c r="B1180" s="36">
        <v>5.8399999999999999E-4</v>
      </c>
      <c r="C1180" s="35" t="s">
        <v>31</v>
      </c>
      <c r="D1180" s="35" t="s">
        <v>19</v>
      </c>
      <c r="E1180" s="35"/>
      <c r="F1180" s="35" t="s">
        <v>20</v>
      </c>
      <c r="G1180" s="35"/>
      <c r="H1180" s="35"/>
      <c r="I1180" s="35"/>
      <c r="J1180" s="35" t="s">
        <v>343</v>
      </c>
    </row>
    <row r="1181" spans="1:10" x14ac:dyDescent="0.2">
      <c r="A1181" s="35" t="s">
        <v>344</v>
      </c>
      <c r="B1181" s="36">
        <v>2.5999999999999998E-10</v>
      </c>
      <c r="C1181" s="35" t="s">
        <v>31</v>
      </c>
      <c r="D1181" s="35" t="s">
        <v>7</v>
      </c>
      <c r="E1181" s="35"/>
      <c r="F1181" s="35" t="s">
        <v>20</v>
      </c>
      <c r="G1181" s="35"/>
      <c r="H1181" s="35"/>
      <c r="I1181" s="35"/>
      <c r="J1181" s="35" t="s">
        <v>345</v>
      </c>
    </row>
    <row r="1182" spans="1:10" x14ac:dyDescent="0.2">
      <c r="A1182" s="35" t="s">
        <v>346</v>
      </c>
      <c r="B1182" s="36">
        <v>-6.2700000000000001E-6</v>
      </c>
      <c r="C1182" s="35" t="s">
        <v>31</v>
      </c>
      <c r="D1182" s="35" t="s">
        <v>8</v>
      </c>
      <c r="E1182" s="35"/>
      <c r="F1182" s="35" t="s">
        <v>20</v>
      </c>
      <c r="G1182" s="35"/>
      <c r="H1182" s="35"/>
      <c r="I1182" s="35"/>
      <c r="J1182" s="35" t="s">
        <v>347</v>
      </c>
    </row>
    <row r="1183" spans="1:10" x14ac:dyDescent="0.2">
      <c r="A1183" s="35" t="s">
        <v>348</v>
      </c>
      <c r="B1183" s="36">
        <v>-7.4999999999999993E-5</v>
      </c>
      <c r="C1183" s="35" t="s">
        <v>31</v>
      </c>
      <c r="D1183" s="35" t="s">
        <v>121</v>
      </c>
      <c r="E1183" s="35"/>
      <c r="F1183" s="35" t="s">
        <v>20</v>
      </c>
      <c r="G1183" s="35"/>
      <c r="H1183" s="35"/>
      <c r="I1183" s="35"/>
      <c r="J1183" s="35" t="s">
        <v>349</v>
      </c>
    </row>
    <row r="1184" spans="1:10" x14ac:dyDescent="0.2">
      <c r="A1184" s="35" t="s">
        <v>350</v>
      </c>
      <c r="B1184" s="36">
        <v>6.8900000000000005E-4</v>
      </c>
      <c r="C1184" s="35" t="s">
        <v>31</v>
      </c>
      <c r="D1184" s="35" t="s">
        <v>8</v>
      </c>
      <c r="E1184" s="35"/>
      <c r="F1184" s="35" t="s">
        <v>20</v>
      </c>
      <c r="G1184" s="35"/>
      <c r="H1184" s="35"/>
      <c r="I1184" s="35"/>
      <c r="J1184" s="35" t="s">
        <v>351</v>
      </c>
    </row>
    <row r="1185" spans="1:10" x14ac:dyDescent="0.2">
      <c r="A1185" s="35" t="s">
        <v>100</v>
      </c>
      <c r="B1185" s="36">
        <v>3.3599999999999998E-2</v>
      </c>
      <c r="C1185" s="35" t="s">
        <v>31</v>
      </c>
      <c r="D1185" s="35" t="s">
        <v>41</v>
      </c>
      <c r="E1185" s="35"/>
      <c r="F1185" s="35" t="s">
        <v>20</v>
      </c>
      <c r="G1185" s="35"/>
      <c r="H1185" s="35"/>
      <c r="I1185" s="35"/>
      <c r="J1185" s="35" t="s">
        <v>103</v>
      </c>
    </row>
    <row r="1186" spans="1:10" x14ac:dyDescent="0.2">
      <c r="A1186" s="35" t="s">
        <v>352</v>
      </c>
      <c r="B1186" s="36">
        <v>3.2599999999999997E-2</v>
      </c>
      <c r="C1186" s="35" t="s">
        <v>572</v>
      </c>
      <c r="D1186" s="35" t="s">
        <v>41</v>
      </c>
      <c r="E1186" s="35"/>
      <c r="F1186" s="35" t="s">
        <v>20</v>
      </c>
      <c r="G1186" s="35"/>
      <c r="H1186" s="35"/>
      <c r="I1186" s="35"/>
      <c r="J1186" s="35" t="s">
        <v>353</v>
      </c>
    </row>
    <row r="1187" spans="1:10" x14ac:dyDescent="0.2">
      <c r="A1187" s="35" t="s">
        <v>354</v>
      </c>
      <c r="B1187" s="36">
        <v>-6.8899999999999999E-7</v>
      </c>
      <c r="C1187" s="35" t="s">
        <v>31</v>
      </c>
      <c r="D1187" s="35" t="s">
        <v>121</v>
      </c>
      <c r="E1187" s="35"/>
      <c r="F1187" s="35" t="s">
        <v>20</v>
      </c>
      <c r="G1187" s="35"/>
      <c r="H1187" s="35"/>
      <c r="I1187" s="35"/>
      <c r="J1187" s="35" t="s">
        <v>355</v>
      </c>
    </row>
    <row r="1188" spans="1:10" x14ac:dyDescent="0.2">
      <c r="A1188" s="35"/>
      <c r="B1188" s="36"/>
      <c r="C1188" s="35"/>
      <c r="D1188" s="35"/>
      <c r="E1188" s="35"/>
      <c r="F1188" s="35"/>
      <c r="G1188" s="35"/>
      <c r="H1188" s="35"/>
      <c r="I1188" s="35"/>
      <c r="J1188" s="35"/>
    </row>
    <row r="1189" spans="1:10" ht="16" x14ac:dyDescent="0.2">
      <c r="A1189" s="1" t="s">
        <v>1</v>
      </c>
      <c r="B1189" s="71" t="s">
        <v>515</v>
      </c>
    </row>
    <row r="1190" spans="1:10" x14ac:dyDescent="0.2">
      <c r="A1190" t="s">
        <v>2</v>
      </c>
      <c r="B1190" s="6" t="s">
        <v>1035</v>
      </c>
    </row>
    <row r="1191" spans="1:10" x14ac:dyDescent="0.2">
      <c r="A1191" t="s">
        <v>3</v>
      </c>
      <c r="B1191" s="6">
        <v>1</v>
      </c>
    </row>
    <row r="1192" spans="1:10" ht="16" x14ac:dyDescent="0.2">
      <c r="A1192" t="s">
        <v>4</v>
      </c>
      <c r="B1192" s="72" t="s">
        <v>337</v>
      </c>
    </row>
    <row r="1193" spans="1:10" x14ac:dyDescent="0.2">
      <c r="A1193" t="s">
        <v>5</v>
      </c>
      <c r="B1193" s="6" t="s">
        <v>6</v>
      </c>
    </row>
    <row r="1194" spans="1:10" x14ac:dyDescent="0.2">
      <c r="A1194" t="s">
        <v>7</v>
      </c>
      <c r="B1194" s="6" t="s">
        <v>8</v>
      </c>
    </row>
    <row r="1195" spans="1:10" x14ac:dyDescent="0.2">
      <c r="A1195" t="s">
        <v>9</v>
      </c>
      <c r="B1195" s="6" t="s">
        <v>393</v>
      </c>
    </row>
    <row r="1196" spans="1:10" x14ac:dyDescent="0.2">
      <c r="A1196" t="s">
        <v>11</v>
      </c>
      <c r="B1196" s="6" t="s">
        <v>507</v>
      </c>
    </row>
    <row r="1197" spans="1:10" ht="16" x14ac:dyDescent="0.2">
      <c r="A1197" s="1" t="s">
        <v>12</v>
      </c>
    </row>
    <row r="1198" spans="1:10" x14ac:dyDescent="0.2">
      <c r="A1198" t="s">
        <v>13</v>
      </c>
      <c r="B1198" s="6" t="s">
        <v>14</v>
      </c>
      <c r="C1198" t="s">
        <v>2</v>
      </c>
      <c r="D1198" t="s">
        <v>7</v>
      </c>
      <c r="E1198" t="s">
        <v>15</v>
      </c>
      <c r="F1198" t="s">
        <v>5</v>
      </c>
      <c r="G1198" t="s">
        <v>338</v>
      </c>
      <c r="H1198" t="s">
        <v>339</v>
      </c>
      <c r="I1198" t="s">
        <v>11</v>
      </c>
      <c r="J1198" t="s">
        <v>4</v>
      </c>
    </row>
    <row r="1199" spans="1:10" x14ac:dyDescent="0.2">
      <c r="A1199" s="35" t="s">
        <v>515</v>
      </c>
      <c r="B1199" s="36">
        <v>1</v>
      </c>
      <c r="C1199" t="s">
        <v>1035</v>
      </c>
      <c r="D1199" s="35" t="s">
        <v>8</v>
      </c>
      <c r="E1199" s="35"/>
      <c r="F1199" s="35" t="s">
        <v>17</v>
      </c>
      <c r="G1199" s="35"/>
      <c r="H1199" s="35"/>
      <c r="I1199" s="35" t="s">
        <v>18</v>
      </c>
      <c r="J1199" s="35" t="s">
        <v>337</v>
      </c>
    </row>
    <row r="1200" spans="1:10" ht="16" x14ac:dyDescent="0.2">
      <c r="A1200" s="2" t="s">
        <v>514</v>
      </c>
      <c r="B1200" s="6">
        <v>1.00057</v>
      </c>
      <c r="C1200" t="s">
        <v>1035</v>
      </c>
      <c r="D1200" t="s">
        <v>8</v>
      </c>
      <c r="F1200" s="35" t="s">
        <v>20</v>
      </c>
      <c r="G1200" t="s">
        <v>18</v>
      </c>
      <c r="I1200" s="35"/>
      <c r="J1200" s="2" t="s">
        <v>404</v>
      </c>
    </row>
    <row r="1201" spans="1:10" x14ac:dyDescent="0.2">
      <c r="A1201" s="35" t="s">
        <v>28</v>
      </c>
      <c r="B1201" s="36">
        <v>6.7000000000000002E-3</v>
      </c>
      <c r="C1201" t="s">
        <v>1036</v>
      </c>
      <c r="D1201" s="35" t="s">
        <v>29</v>
      </c>
      <c r="E1201" s="35"/>
      <c r="F1201" s="35" t="s">
        <v>20</v>
      </c>
      <c r="G1201" s="35"/>
      <c r="H1201" s="35"/>
      <c r="I1201" s="35"/>
      <c r="J1201" s="35" t="s">
        <v>30</v>
      </c>
    </row>
    <row r="1202" spans="1:10" x14ac:dyDescent="0.2">
      <c r="A1202" s="35" t="s">
        <v>340</v>
      </c>
      <c r="B1202" s="36">
        <v>-1.6799999999999999E-4</v>
      </c>
      <c r="C1202" s="35" t="s">
        <v>31</v>
      </c>
      <c r="D1202" s="35" t="s">
        <v>8</v>
      </c>
      <c r="E1202" s="35"/>
      <c r="F1202" s="35" t="s">
        <v>20</v>
      </c>
      <c r="G1202" s="35"/>
      <c r="H1202" s="35"/>
      <c r="I1202" s="35"/>
      <c r="J1202" s="35" t="s">
        <v>341</v>
      </c>
    </row>
    <row r="1203" spans="1:10" x14ac:dyDescent="0.2">
      <c r="A1203" s="35" t="s">
        <v>342</v>
      </c>
      <c r="B1203" s="36">
        <v>5.8399999999999999E-4</v>
      </c>
      <c r="C1203" s="35" t="s">
        <v>31</v>
      </c>
      <c r="D1203" s="35" t="s">
        <v>19</v>
      </c>
      <c r="E1203" s="35"/>
      <c r="F1203" s="35" t="s">
        <v>20</v>
      </c>
      <c r="G1203" s="35"/>
      <c r="H1203" s="35"/>
      <c r="I1203" s="35"/>
      <c r="J1203" s="35" t="s">
        <v>343</v>
      </c>
    </row>
    <row r="1204" spans="1:10" x14ac:dyDescent="0.2">
      <c r="A1204" s="35" t="s">
        <v>344</v>
      </c>
      <c r="B1204" s="36">
        <v>2.5999999999999998E-10</v>
      </c>
      <c r="C1204" s="35" t="s">
        <v>31</v>
      </c>
      <c r="D1204" s="35" t="s">
        <v>7</v>
      </c>
      <c r="E1204" s="35"/>
      <c r="F1204" s="35" t="s">
        <v>20</v>
      </c>
      <c r="G1204" s="35"/>
      <c r="H1204" s="35"/>
      <c r="I1204" s="35"/>
      <c r="J1204" s="35" t="s">
        <v>345</v>
      </c>
    </row>
    <row r="1205" spans="1:10" x14ac:dyDescent="0.2">
      <c r="A1205" s="35" t="s">
        <v>346</v>
      </c>
      <c r="B1205" s="36">
        <v>-6.2700000000000001E-6</v>
      </c>
      <c r="C1205" s="35" t="s">
        <v>31</v>
      </c>
      <c r="D1205" s="35" t="s">
        <v>8</v>
      </c>
      <c r="E1205" s="35"/>
      <c r="F1205" s="35" t="s">
        <v>20</v>
      </c>
      <c r="G1205" s="35"/>
      <c r="H1205" s="35"/>
      <c r="I1205" s="35"/>
      <c r="J1205" s="35" t="s">
        <v>347</v>
      </c>
    </row>
    <row r="1206" spans="1:10" x14ac:dyDescent="0.2">
      <c r="A1206" s="35" t="s">
        <v>348</v>
      </c>
      <c r="B1206" s="36">
        <v>-7.4999999999999993E-5</v>
      </c>
      <c r="C1206" s="35" t="s">
        <v>31</v>
      </c>
      <c r="D1206" s="35" t="s">
        <v>121</v>
      </c>
      <c r="E1206" s="35"/>
      <c r="F1206" s="35" t="s">
        <v>20</v>
      </c>
      <c r="G1206" s="35"/>
      <c r="H1206" s="35"/>
      <c r="I1206" s="35"/>
      <c r="J1206" s="35" t="s">
        <v>349</v>
      </c>
    </row>
    <row r="1207" spans="1:10" x14ac:dyDescent="0.2">
      <c r="A1207" s="35" t="s">
        <v>350</v>
      </c>
      <c r="B1207" s="36">
        <v>6.8900000000000005E-4</v>
      </c>
      <c r="C1207" s="35" t="s">
        <v>31</v>
      </c>
      <c r="D1207" s="35" t="s">
        <v>8</v>
      </c>
      <c r="E1207" s="35"/>
      <c r="F1207" s="35" t="s">
        <v>20</v>
      </c>
      <c r="G1207" s="35"/>
      <c r="H1207" s="35"/>
      <c r="I1207" s="35"/>
      <c r="J1207" s="35" t="s">
        <v>351</v>
      </c>
    </row>
    <row r="1208" spans="1:10" x14ac:dyDescent="0.2">
      <c r="A1208" s="35" t="s">
        <v>100</v>
      </c>
      <c r="B1208" s="36">
        <v>3.3599999999999998E-2</v>
      </c>
      <c r="C1208" s="35" t="s">
        <v>31</v>
      </c>
      <c r="D1208" s="35" t="s">
        <v>41</v>
      </c>
      <c r="E1208" s="35"/>
      <c r="F1208" s="35" t="s">
        <v>20</v>
      </c>
      <c r="G1208" s="35"/>
      <c r="H1208" s="35"/>
      <c r="I1208" s="35"/>
      <c r="J1208" s="35" t="s">
        <v>103</v>
      </c>
    </row>
    <row r="1209" spans="1:10" x14ac:dyDescent="0.2">
      <c r="A1209" s="35" t="s">
        <v>352</v>
      </c>
      <c r="B1209" s="36">
        <v>3.2599999999999997E-2</v>
      </c>
      <c r="C1209" s="35" t="s">
        <v>572</v>
      </c>
      <c r="D1209" s="35" t="s">
        <v>41</v>
      </c>
      <c r="E1209" s="35"/>
      <c r="F1209" s="35" t="s">
        <v>20</v>
      </c>
      <c r="G1209" s="35"/>
      <c r="H1209" s="35"/>
      <c r="I1209" s="35"/>
      <c r="J1209" s="35" t="s">
        <v>353</v>
      </c>
    </row>
    <row r="1210" spans="1:10" x14ac:dyDescent="0.2">
      <c r="A1210" s="35" t="s">
        <v>354</v>
      </c>
      <c r="B1210" s="36">
        <v>-6.8899999999999999E-7</v>
      </c>
      <c r="C1210" s="35" t="s">
        <v>31</v>
      </c>
      <c r="D1210" s="35" t="s">
        <v>121</v>
      </c>
      <c r="E1210" s="35"/>
      <c r="F1210" s="35" t="s">
        <v>20</v>
      </c>
      <c r="G1210" s="35"/>
      <c r="H1210" s="35"/>
      <c r="I1210" s="35"/>
      <c r="J1210" s="35" t="s">
        <v>355</v>
      </c>
    </row>
    <row r="1211" spans="1:10" x14ac:dyDescent="0.2">
      <c r="A1211" s="35"/>
      <c r="B1211" s="36"/>
      <c r="C1211" s="35"/>
      <c r="D1211" s="35"/>
      <c r="E1211" s="35"/>
      <c r="F1211" s="35"/>
      <c r="G1211" s="35"/>
      <c r="H1211" s="35"/>
      <c r="I1211" s="35"/>
      <c r="J1211" s="35"/>
    </row>
    <row r="1212" spans="1:10" ht="16" x14ac:dyDescent="0.2">
      <c r="A1212" s="1" t="s">
        <v>1</v>
      </c>
      <c r="B1212" s="71" t="s">
        <v>1083</v>
      </c>
    </row>
    <row r="1213" spans="1:10" x14ac:dyDescent="0.2">
      <c r="A1213" t="s">
        <v>2</v>
      </c>
      <c r="B1213" s="6" t="s">
        <v>1035</v>
      </c>
    </row>
    <row r="1214" spans="1:10" x14ac:dyDescent="0.2">
      <c r="A1214" t="s">
        <v>3</v>
      </c>
      <c r="B1214" s="6">
        <v>1</v>
      </c>
    </row>
    <row r="1215" spans="1:10" ht="16" x14ac:dyDescent="0.2">
      <c r="A1215" t="s">
        <v>4</v>
      </c>
      <c r="B1215" s="72" t="s">
        <v>337</v>
      </c>
    </row>
    <row r="1216" spans="1:10" x14ac:dyDescent="0.2">
      <c r="A1216" t="s">
        <v>5</v>
      </c>
      <c r="B1216" s="6" t="s">
        <v>6</v>
      </c>
    </row>
    <row r="1217" spans="1:10" x14ac:dyDescent="0.2">
      <c r="A1217" t="s">
        <v>7</v>
      </c>
      <c r="B1217" s="6" t="s">
        <v>8</v>
      </c>
    </row>
    <row r="1218" spans="1:10" x14ac:dyDescent="0.2">
      <c r="A1218" t="s">
        <v>9</v>
      </c>
      <c r="B1218" s="6" t="s">
        <v>393</v>
      </c>
    </row>
    <row r="1219" spans="1:10" x14ac:dyDescent="0.2">
      <c r="A1219" t="s">
        <v>11</v>
      </c>
      <c r="B1219" s="6" t="s">
        <v>362</v>
      </c>
    </row>
    <row r="1220" spans="1:10" ht="16" x14ac:dyDescent="0.2">
      <c r="A1220" s="1" t="s">
        <v>12</v>
      </c>
    </row>
    <row r="1221" spans="1:10" x14ac:dyDescent="0.2">
      <c r="A1221" t="s">
        <v>13</v>
      </c>
      <c r="B1221" s="6" t="s">
        <v>14</v>
      </c>
      <c r="C1221" t="s">
        <v>2</v>
      </c>
      <c r="D1221" t="s">
        <v>7</v>
      </c>
      <c r="E1221" t="s">
        <v>15</v>
      </c>
      <c r="F1221" t="s">
        <v>5</v>
      </c>
      <c r="G1221" t="s">
        <v>338</v>
      </c>
      <c r="H1221" t="s">
        <v>339</v>
      </c>
      <c r="I1221" t="s">
        <v>11</v>
      </c>
      <c r="J1221" t="s">
        <v>4</v>
      </c>
    </row>
    <row r="1222" spans="1:10" x14ac:dyDescent="0.2">
      <c r="A1222" s="35" t="s">
        <v>1083</v>
      </c>
      <c r="B1222" s="36">
        <v>1</v>
      </c>
      <c r="C1222" t="s">
        <v>1035</v>
      </c>
      <c r="D1222" s="35" t="s">
        <v>8</v>
      </c>
      <c r="E1222" s="35"/>
      <c r="F1222" s="35" t="s">
        <v>17</v>
      </c>
      <c r="G1222" s="35"/>
      <c r="H1222" s="35"/>
      <c r="I1222" s="35" t="s">
        <v>18</v>
      </c>
      <c r="J1222" s="35" t="s">
        <v>337</v>
      </c>
    </row>
    <row r="1223" spans="1:10" ht="16" x14ac:dyDescent="0.2">
      <c r="A1223" s="2" t="s">
        <v>1080</v>
      </c>
      <c r="B1223" s="6">
        <v>1.00057</v>
      </c>
      <c r="C1223" t="s">
        <v>1035</v>
      </c>
      <c r="D1223" t="s">
        <v>8</v>
      </c>
      <c r="F1223" s="35" t="s">
        <v>20</v>
      </c>
      <c r="G1223" t="s">
        <v>18</v>
      </c>
      <c r="I1223" s="35"/>
      <c r="J1223" s="2" t="s">
        <v>404</v>
      </c>
    </row>
    <row r="1224" spans="1:10" x14ac:dyDescent="0.2">
      <c r="A1224" s="35" t="s">
        <v>28</v>
      </c>
      <c r="B1224" s="36">
        <v>6.7000000000000002E-3</v>
      </c>
      <c r="C1224" t="s">
        <v>1036</v>
      </c>
      <c r="D1224" s="35" t="s">
        <v>29</v>
      </c>
      <c r="E1224" s="35"/>
      <c r="F1224" s="35" t="s">
        <v>20</v>
      </c>
      <c r="G1224" s="35"/>
      <c r="H1224" s="35"/>
      <c r="I1224" s="35"/>
      <c r="J1224" s="35" t="s">
        <v>30</v>
      </c>
    </row>
    <row r="1225" spans="1:10" x14ac:dyDescent="0.2">
      <c r="A1225" s="35" t="s">
        <v>340</v>
      </c>
      <c r="B1225" s="36">
        <v>-1.6799999999999999E-4</v>
      </c>
      <c r="C1225" s="35" t="s">
        <v>31</v>
      </c>
      <c r="D1225" s="35" t="s">
        <v>8</v>
      </c>
      <c r="E1225" s="35"/>
      <c r="F1225" s="35" t="s">
        <v>20</v>
      </c>
      <c r="G1225" s="35"/>
      <c r="H1225" s="35"/>
      <c r="I1225" s="35"/>
      <c r="J1225" s="35" t="s">
        <v>341</v>
      </c>
    </row>
    <row r="1226" spans="1:10" x14ac:dyDescent="0.2">
      <c r="A1226" s="35" t="s">
        <v>342</v>
      </c>
      <c r="B1226" s="36">
        <v>5.8399999999999999E-4</v>
      </c>
      <c r="C1226" s="35" t="s">
        <v>31</v>
      </c>
      <c r="D1226" s="35" t="s">
        <v>19</v>
      </c>
      <c r="E1226" s="35"/>
      <c r="F1226" s="35" t="s">
        <v>20</v>
      </c>
      <c r="G1226" s="35"/>
      <c r="H1226" s="35"/>
      <c r="I1226" s="35"/>
      <c r="J1226" s="35" t="s">
        <v>343</v>
      </c>
    </row>
    <row r="1227" spans="1:10" x14ac:dyDescent="0.2">
      <c r="A1227" s="35" t="s">
        <v>344</v>
      </c>
      <c r="B1227" s="36">
        <v>2.5999999999999998E-10</v>
      </c>
      <c r="C1227" s="35" t="s">
        <v>31</v>
      </c>
      <c r="D1227" s="35" t="s">
        <v>7</v>
      </c>
      <c r="E1227" s="35"/>
      <c r="F1227" s="35" t="s">
        <v>20</v>
      </c>
      <c r="G1227" s="35"/>
      <c r="H1227" s="35"/>
      <c r="I1227" s="35"/>
      <c r="J1227" s="35" t="s">
        <v>345</v>
      </c>
    </row>
    <row r="1228" spans="1:10" x14ac:dyDescent="0.2">
      <c r="A1228" s="35" t="s">
        <v>346</v>
      </c>
      <c r="B1228" s="36">
        <v>-6.2700000000000001E-6</v>
      </c>
      <c r="C1228" s="35" t="s">
        <v>31</v>
      </c>
      <c r="D1228" s="35" t="s">
        <v>8</v>
      </c>
      <c r="E1228" s="35"/>
      <c r="F1228" s="35" t="s">
        <v>20</v>
      </c>
      <c r="G1228" s="35"/>
      <c r="H1228" s="35"/>
      <c r="I1228" s="35"/>
      <c r="J1228" s="35" t="s">
        <v>347</v>
      </c>
    </row>
    <row r="1229" spans="1:10" x14ac:dyDescent="0.2">
      <c r="A1229" s="35" t="s">
        <v>348</v>
      </c>
      <c r="B1229" s="36">
        <v>-7.4999999999999993E-5</v>
      </c>
      <c r="C1229" s="35" t="s">
        <v>31</v>
      </c>
      <c r="D1229" s="35" t="s">
        <v>121</v>
      </c>
      <c r="E1229" s="35"/>
      <c r="F1229" s="35" t="s">
        <v>20</v>
      </c>
      <c r="G1229" s="35"/>
      <c r="H1229" s="35"/>
      <c r="I1229" s="35"/>
      <c r="J1229" s="35" t="s">
        <v>349</v>
      </c>
    </row>
    <row r="1230" spans="1:10" x14ac:dyDescent="0.2">
      <c r="A1230" s="35" t="s">
        <v>350</v>
      </c>
      <c r="B1230" s="36">
        <v>6.8900000000000005E-4</v>
      </c>
      <c r="C1230" s="35" t="s">
        <v>31</v>
      </c>
      <c r="D1230" s="35" t="s">
        <v>8</v>
      </c>
      <c r="E1230" s="35"/>
      <c r="F1230" s="35" t="s">
        <v>20</v>
      </c>
      <c r="G1230" s="35"/>
      <c r="H1230" s="35"/>
      <c r="I1230" s="35"/>
      <c r="J1230" s="35" t="s">
        <v>351</v>
      </c>
    </row>
    <row r="1231" spans="1:10" x14ac:dyDescent="0.2">
      <c r="A1231" s="35" t="s">
        <v>100</v>
      </c>
      <c r="B1231" s="36">
        <v>3.3599999999999998E-2</v>
      </c>
      <c r="C1231" s="35" t="s">
        <v>31</v>
      </c>
      <c r="D1231" s="35" t="s">
        <v>41</v>
      </c>
      <c r="E1231" s="35"/>
      <c r="F1231" s="35" t="s">
        <v>20</v>
      </c>
      <c r="G1231" s="35"/>
      <c r="H1231" s="35"/>
      <c r="I1231" s="35"/>
      <c r="J1231" s="35" t="s">
        <v>103</v>
      </c>
    </row>
    <row r="1232" spans="1:10" x14ac:dyDescent="0.2">
      <c r="A1232" s="35" t="s">
        <v>352</v>
      </c>
      <c r="B1232" s="36">
        <v>3.2599999999999997E-2</v>
      </c>
      <c r="C1232" s="35" t="s">
        <v>572</v>
      </c>
      <c r="D1232" s="35" t="s">
        <v>41</v>
      </c>
      <c r="E1232" s="35"/>
      <c r="F1232" s="35" t="s">
        <v>20</v>
      </c>
      <c r="G1232" s="35"/>
      <c r="H1232" s="35"/>
      <c r="I1232" s="35"/>
      <c r="J1232" s="35" t="s">
        <v>353</v>
      </c>
    </row>
    <row r="1233" spans="1:10" x14ac:dyDescent="0.2">
      <c r="A1233" s="35" t="s">
        <v>354</v>
      </c>
      <c r="B1233" s="36">
        <v>-6.8899999999999999E-7</v>
      </c>
      <c r="C1233" s="35" t="s">
        <v>31</v>
      </c>
      <c r="D1233" s="35" t="s">
        <v>121</v>
      </c>
      <c r="E1233" s="35"/>
      <c r="F1233" s="35" t="s">
        <v>20</v>
      </c>
      <c r="G1233" s="35"/>
      <c r="H1233" s="35"/>
      <c r="I1233" s="35"/>
      <c r="J1233" s="35" t="s">
        <v>355</v>
      </c>
    </row>
    <row r="1235" spans="1:10" ht="16" x14ac:dyDescent="0.2">
      <c r="A1235" s="1" t="s">
        <v>1</v>
      </c>
      <c r="B1235" s="71" t="s">
        <v>1084</v>
      </c>
    </row>
    <row r="1236" spans="1:10" x14ac:dyDescent="0.2">
      <c r="A1236" t="s">
        <v>2</v>
      </c>
      <c r="B1236" s="6" t="s">
        <v>1035</v>
      </c>
    </row>
    <row r="1237" spans="1:10" x14ac:dyDescent="0.2">
      <c r="A1237" t="s">
        <v>3</v>
      </c>
      <c r="B1237" s="6">
        <v>1</v>
      </c>
    </row>
    <row r="1238" spans="1:10" ht="16" x14ac:dyDescent="0.2">
      <c r="A1238" t="s">
        <v>4</v>
      </c>
      <c r="B1238" s="72" t="s">
        <v>337</v>
      </c>
    </row>
    <row r="1239" spans="1:10" x14ac:dyDescent="0.2">
      <c r="A1239" t="s">
        <v>5</v>
      </c>
      <c r="B1239" s="6" t="s">
        <v>6</v>
      </c>
    </row>
    <row r="1240" spans="1:10" x14ac:dyDescent="0.2">
      <c r="A1240" t="s">
        <v>7</v>
      </c>
      <c r="B1240" s="6" t="s">
        <v>8</v>
      </c>
    </row>
    <row r="1241" spans="1:10" x14ac:dyDescent="0.2">
      <c r="A1241" t="s">
        <v>9</v>
      </c>
      <c r="B1241" s="6" t="s">
        <v>393</v>
      </c>
    </row>
    <row r="1242" spans="1:10" x14ac:dyDescent="0.2">
      <c r="A1242" t="s">
        <v>11</v>
      </c>
      <c r="B1242" s="6" t="s">
        <v>361</v>
      </c>
    </row>
    <row r="1243" spans="1:10" ht="16" x14ac:dyDescent="0.2">
      <c r="A1243" s="1" t="s">
        <v>12</v>
      </c>
    </row>
    <row r="1244" spans="1:10" x14ac:dyDescent="0.2">
      <c r="A1244" t="s">
        <v>13</v>
      </c>
      <c r="B1244" s="6" t="s">
        <v>14</v>
      </c>
      <c r="C1244" t="s">
        <v>2</v>
      </c>
      <c r="D1244" t="s">
        <v>7</v>
      </c>
      <c r="E1244" t="s">
        <v>15</v>
      </c>
      <c r="F1244" t="s">
        <v>5</v>
      </c>
      <c r="G1244" t="s">
        <v>338</v>
      </c>
      <c r="H1244" t="s">
        <v>339</v>
      </c>
      <c r="I1244" t="s">
        <v>11</v>
      </c>
      <c r="J1244" t="s">
        <v>4</v>
      </c>
    </row>
    <row r="1245" spans="1:10" x14ac:dyDescent="0.2">
      <c r="A1245" s="35" t="s">
        <v>1084</v>
      </c>
      <c r="B1245" s="36">
        <v>1</v>
      </c>
      <c r="C1245" t="s">
        <v>1035</v>
      </c>
      <c r="D1245" s="35" t="s">
        <v>8</v>
      </c>
      <c r="E1245" s="35"/>
      <c r="F1245" s="35" t="s">
        <v>17</v>
      </c>
      <c r="G1245" s="35"/>
      <c r="H1245" s="35"/>
      <c r="I1245" s="35" t="s">
        <v>18</v>
      </c>
      <c r="J1245" s="35" t="s">
        <v>337</v>
      </c>
    </row>
    <row r="1246" spans="1:10" ht="16" x14ac:dyDescent="0.2">
      <c r="A1246" s="2" t="s">
        <v>1081</v>
      </c>
      <c r="B1246" s="6">
        <v>1.00057</v>
      </c>
      <c r="C1246" t="s">
        <v>1035</v>
      </c>
      <c r="D1246" t="s">
        <v>8</v>
      </c>
      <c r="F1246" s="35" t="s">
        <v>20</v>
      </c>
      <c r="G1246" t="s">
        <v>18</v>
      </c>
      <c r="I1246" s="35"/>
      <c r="J1246" s="2" t="s">
        <v>404</v>
      </c>
    </row>
    <row r="1247" spans="1:10" x14ac:dyDescent="0.2">
      <c r="A1247" s="35" t="s">
        <v>28</v>
      </c>
      <c r="B1247" s="36">
        <v>6.7000000000000002E-3</v>
      </c>
      <c r="C1247" t="s">
        <v>1036</v>
      </c>
      <c r="D1247" s="35" t="s">
        <v>29</v>
      </c>
      <c r="E1247" s="35"/>
      <c r="F1247" s="35" t="s">
        <v>20</v>
      </c>
      <c r="G1247" s="35"/>
      <c r="H1247" s="35"/>
      <c r="I1247" s="35"/>
      <c r="J1247" s="35" t="s">
        <v>30</v>
      </c>
    </row>
    <row r="1248" spans="1:10" x14ac:dyDescent="0.2">
      <c r="A1248" s="35" t="s">
        <v>340</v>
      </c>
      <c r="B1248" s="36">
        <v>-1.6799999999999999E-4</v>
      </c>
      <c r="C1248" s="35" t="s">
        <v>31</v>
      </c>
      <c r="D1248" s="35" t="s">
        <v>8</v>
      </c>
      <c r="E1248" s="35"/>
      <c r="F1248" s="35" t="s">
        <v>20</v>
      </c>
      <c r="G1248" s="35"/>
      <c r="H1248" s="35"/>
      <c r="I1248" s="35"/>
      <c r="J1248" s="35" t="s">
        <v>341</v>
      </c>
    </row>
    <row r="1249" spans="1:10" x14ac:dyDescent="0.2">
      <c r="A1249" s="35" t="s">
        <v>342</v>
      </c>
      <c r="B1249" s="36">
        <v>5.8399999999999999E-4</v>
      </c>
      <c r="C1249" s="35" t="s">
        <v>31</v>
      </c>
      <c r="D1249" s="35" t="s">
        <v>19</v>
      </c>
      <c r="E1249" s="35"/>
      <c r="F1249" s="35" t="s">
        <v>20</v>
      </c>
      <c r="G1249" s="35"/>
      <c r="H1249" s="35"/>
      <c r="I1249" s="35"/>
      <c r="J1249" s="35" t="s">
        <v>343</v>
      </c>
    </row>
    <row r="1250" spans="1:10" x14ac:dyDescent="0.2">
      <c r="A1250" s="35" t="s">
        <v>344</v>
      </c>
      <c r="B1250" s="36">
        <v>2.5999999999999998E-10</v>
      </c>
      <c r="C1250" s="35" t="s">
        <v>31</v>
      </c>
      <c r="D1250" s="35" t="s">
        <v>7</v>
      </c>
      <c r="E1250" s="35"/>
      <c r="F1250" s="35" t="s">
        <v>20</v>
      </c>
      <c r="G1250" s="35"/>
      <c r="H1250" s="35"/>
      <c r="I1250" s="35"/>
      <c r="J1250" s="35" t="s">
        <v>345</v>
      </c>
    </row>
    <row r="1251" spans="1:10" x14ac:dyDescent="0.2">
      <c r="A1251" s="35" t="s">
        <v>346</v>
      </c>
      <c r="B1251" s="36">
        <v>-6.2700000000000001E-6</v>
      </c>
      <c r="C1251" s="35" t="s">
        <v>31</v>
      </c>
      <c r="D1251" s="35" t="s">
        <v>8</v>
      </c>
      <c r="E1251" s="35"/>
      <c r="F1251" s="35" t="s">
        <v>20</v>
      </c>
      <c r="G1251" s="35"/>
      <c r="H1251" s="35"/>
      <c r="I1251" s="35"/>
      <c r="J1251" s="35" t="s">
        <v>347</v>
      </c>
    </row>
    <row r="1252" spans="1:10" x14ac:dyDescent="0.2">
      <c r="A1252" s="35" t="s">
        <v>348</v>
      </c>
      <c r="B1252" s="36">
        <v>-7.4999999999999993E-5</v>
      </c>
      <c r="C1252" s="35" t="s">
        <v>31</v>
      </c>
      <c r="D1252" s="35" t="s">
        <v>121</v>
      </c>
      <c r="E1252" s="35"/>
      <c r="F1252" s="35" t="s">
        <v>20</v>
      </c>
      <c r="G1252" s="35"/>
      <c r="H1252" s="35"/>
      <c r="I1252" s="35"/>
      <c r="J1252" s="35" t="s">
        <v>349</v>
      </c>
    </row>
    <row r="1253" spans="1:10" x14ac:dyDescent="0.2">
      <c r="A1253" s="35" t="s">
        <v>350</v>
      </c>
      <c r="B1253" s="36">
        <v>6.8900000000000005E-4</v>
      </c>
      <c r="C1253" s="35" t="s">
        <v>31</v>
      </c>
      <c r="D1253" s="35" t="s">
        <v>8</v>
      </c>
      <c r="E1253" s="35"/>
      <c r="F1253" s="35" t="s">
        <v>20</v>
      </c>
      <c r="G1253" s="35"/>
      <c r="H1253" s="35"/>
      <c r="I1253" s="35"/>
      <c r="J1253" s="35" t="s">
        <v>351</v>
      </c>
    </row>
    <row r="1254" spans="1:10" x14ac:dyDescent="0.2">
      <c r="A1254" s="35" t="s">
        <v>100</v>
      </c>
      <c r="B1254" s="36">
        <v>3.3599999999999998E-2</v>
      </c>
      <c r="C1254" s="35" t="s">
        <v>31</v>
      </c>
      <c r="D1254" s="35" t="s">
        <v>41</v>
      </c>
      <c r="E1254" s="35"/>
      <c r="F1254" s="35" t="s">
        <v>20</v>
      </c>
      <c r="G1254" s="35"/>
      <c r="H1254" s="35"/>
      <c r="I1254" s="35"/>
      <c r="J1254" s="35" t="s">
        <v>103</v>
      </c>
    </row>
    <row r="1255" spans="1:10" x14ac:dyDescent="0.2">
      <c r="A1255" s="35" t="s">
        <v>352</v>
      </c>
      <c r="B1255" s="36">
        <v>3.2599999999999997E-2</v>
      </c>
      <c r="C1255" s="35" t="s">
        <v>572</v>
      </c>
      <c r="D1255" s="35" t="s">
        <v>41</v>
      </c>
      <c r="E1255" s="35"/>
      <c r="F1255" s="35" t="s">
        <v>20</v>
      </c>
      <c r="G1255" s="35"/>
      <c r="H1255" s="35"/>
      <c r="I1255" s="35"/>
      <c r="J1255" s="35" t="s">
        <v>353</v>
      </c>
    </row>
    <row r="1256" spans="1:10" x14ac:dyDescent="0.2">
      <c r="A1256" s="35" t="s">
        <v>354</v>
      </c>
      <c r="B1256" s="36">
        <v>-6.8899999999999999E-7</v>
      </c>
      <c r="C1256" s="35" t="s">
        <v>31</v>
      </c>
      <c r="D1256" s="35" t="s">
        <v>121</v>
      </c>
      <c r="E1256" s="35"/>
      <c r="F1256" s="35" t="s">
        <v>20</v>
      </c>
      <c r="G1256" s="35"/>
      <c r="H1256" s="35"/>
      <c r="I1256" s="35"/>
      <c r="J1256" s="35" t="s">
        <v>355</v>
      </c>
    </row>
    <row r="1257" spans="1:10" x14ac:dyDescent="0.2">
      <c r="A1257" s="35"/>
      <c r="B1257" s="36"/>
      <c r="C1257" s="35"/>
      <c r="D1257" s="35"/>
      <c r="E1257" s="35"/>
      <c r="F1257" s="35"/>
      <c r="G1257" s="35"/>
      <c r="H1257" s="35"/>
      <c r="I1257" s="35"/>
      <c r="J1257" s="35"/>
    </row>
    <row r="1258" spans="1:10" ht="16" x14ac:dyDescent="0.2">
      <c r="A1258" s="1" t="s">
        <v>1</v>
      </c>
      <c r="B1258" s="71" t="s">
        <v>1085</v>
      </c>
    </row>
    <row r="1259" spans="1:10" x14ac:dyDescent="0.2">
      <c r="A1259" t="s">
        <v>2</v>
      </c>
      <c r="B1259" s="6" t="s">
        <v>1035</v>
      </c>
    </row>
    <row r="1260" spans="1:10" x14ac:dyDescent="0.2">
      <c r="A1260" t="s">
        <v>3</v>
      </c>
      <c r="B1260" s="6">
        <v>1</v>
      </c>
    </row>
    <row r="1261" spans="1:10" ht="16" x14ac:dyDescent="0.2">
      <c r="A1261" t="s">
        <v>4</v>
      </c>
      <c r="B1261" s="72" t="s">
        <v>337</v>
      </c>
    </row>
    <row r="1262" spans="1:10" x14ac:dyDescent="0.2">
      <c r="A1262" t="s">
        <v>5</v>
      </c>
      <c r="B1262" s="6" t="s">
        <v>6</v>
      </c>
    </row>
    <row r="1263" spans="1:10" x14ac:dyDescent="0.2">
      <c r="A1263" t="s">
        <v>7</v>
      </c>
      <c r="B1263" s="6" t="s">
        <v>8</v>
      </c>
    </row>
    <row r="1264" spans="1:10" x14ac:dyDescent="0.2">
      <c r="A1264" t="s">
        <v>9</v>
      </c>
      <c r="B1264" s="6" t="s">
        <v>393</v>
      </c>
    </row>
    <row r="1265" spans="1:10" x14ac:dyDescent="0.2">
      <c r="A1265" t="s">
        <v>11</v>
      </c>
      <c r="B1265" s="6" t="s">
        <v>507</v>
      </c>
    </row>
    <row r="1266" spans="1:10" ht="16" x14ac:dyDescent="0.2">
      <c r="A1266" s="1" t="s">
        <v>12</v>
      </c>
    </row>
    <row r="1267" spans="1:10" x14ac:dyDescent="0.2">
      <c r="A1267" t="s">
        <v>13</v>
      </c>
      <c r="B1267" s="6" t="s">
        <v>14</v>
      </c>
      <c r="C1267" t="s">
        <v>2</v>
      </c>
      <c r="D1267" t="s">
        <v>7</v>
      </c>
      <c r="E1267" t="s">
        <v>15</v>
      </c>
      <c r="F1267" t="s">
        <v>5</v>
      </c>
      <c r="G1267" t="s">
        <v>338</v>
      </c>
      <c r="H1267" t="s">
        <v>339</v>
      </c>
      <c r="I1267" t="s">
        <v>11</v>
      </c>
      <c r="J1267" t="s">
        <v>4</v>
      </c>
    </row>
    <row r="1268" spans="1:10" x14ac:dyDescent="0.2">
      <c r="A1268" s="35" t="s">
        <v>1085</v>
      </c>
      <c r="B1268" s="36">
        <v>1</v>
      </c>
      <c r="C1268" t="s">
        <v>1035</v>
      </c>
      <c r="D1268" s="35" t="s">
        <v>8</v>
      </c>
      <c r="E1268" s="35"/>
      <c r="F1268" s="35" t="s">
        <v>17</v>
      </c>
      <c r="G1268" s="35"/>
      <c r="H1268" s="35"/>
      <c r="I1268" s="35" t="s">
        <v>18</v>
      </c>
      <c r="J1268" s="35" t="s">
        <v>337</v>
      </c>
    </row>
    <row r="1269" spans="1:10" ht="16" x14ac:dyDescent="0.2">
      <c r="A1269" s="2" t="s">
        <v>1082</v>
      </c>
      <c r="B1269" s="6">
        <v>1.00057</v>
      </c>
      <c r="C1269" t="s">
        <v>1035</v>
      </c>
      <c r="D1269" t="s">
        <v>8</v>
      </c>
      <c r="F1269" s="35" t="s">
        <v>20</v>
      </c>
      <c r="G1269" t="s">
        <v>18</v>
      </c>
      <c r="I1269" s="35"/>
      <c r="J1269" s="2" t="s">
        <v>404</v>
      </c>
    </row>
    <row r="1270" spans="1:10" x14ac:dyDescent="0.2">
      <c r="A1270" s="35" t="s">
        <v>28</v>
      </c>
      <c r="B1270" s="36">
        <v>6.7000000000000002E-3</v>
      </c>
      <c r="C1270" t="s">
        <v>1036</v>
      </c>
      <c r="D1270" s="35" t="s">
        <v>29</v>
      </c>
      <c r="E1270" s="35"/>
      <c r="F1270" s="35" t="s">
        <v>20</v>
      </c>
      <c r="G1270" s="35"/>
      <c r="H1270" s="35"/>
      <c r="I1270" s="35"/>
      <c r="J1270" s="35" t="s">
        <v>30</v>
      </c>
    </row>
    <row r="1271" spans="1:10" x14ac:dyDescent="0.2">
      <c r="A1271" s="35" t="s">
        <v>340</v>
      </c>
      <c r="B1271" s="36">
        <v>-1.6799999999999999E-4</v>
      </c>
      <c r="C1271" s="35" t="s">
        <v>31</v>
      </c>
      <c r="D1271" s="35" t="s">
        <v>8</v>
      </c>
      <c r="E1271" s="35"/>
      <c r="F1271" s="35" t="s">
        <v>20</v>
      </c>
      <c r="G1271" s="35"/>
      <c r="H1271" s="35"/>
      <c r="I1271" s="35"/>
      <c r="J1271" s="35" t="s">
        <v>341</v>
      </c>
    </row>
    <row r="1272" spans="1:10" x14ac:dyDescent="0.2">
      <c r="A1272" s="35" t="s">
        <v>342</v>
      </c>
      <c r="B1272" s="36">
        <v>5.8399999999999999E-4</v>
      </c>
      <c r="C1272" s="35" t="s">
        <v>31</v>
      </c>
      <c r="D1272" s="35" t="s">
        <v>19</v>
      </c>
      <c r="E1272" s="35"/>
      <c r="F1272" s="35" t="s">
        <v>20</v>
      </c>
      <c r="G1272" s="35"/>
      <c r="H1272" s="35"/>
      <c r="I1272" s="35"/>
      <c r="J1272" s="35" t="s">
        <v>343</v>
      </c>
    </row>
    <row r="1273" spans="1:10" x14ac:dyDescent="0.2">
      <c r="A1273" s="35" t="s">
        <v>344</v>
      </c>
      <c r="B1273" s="36">
        <v>2.5999999999999998E-10</v>
      </c>
      <c r="C1273" s="35" t="s">
        <v>31</v>
      </c>
      <c r="D1273" s="35" t="s">
        <v>7</v>
      </c>
      <c r="E1273" s="35"/>
      <c r="F1273" s="35" t="s">
        <v>20</v>
      </c>
      <c r="G1273" s="35"/>
      <c r="H1273" s="35"/>
      <c r="I1273" s="35"/>
      <c r="J1273" s="35" t="s">
        <v>345</v>
      </c>
    </row>
    <row r="1274" spans="1:10" x14ac:dyDescent="0.2">
      <c r="A1274" s="35" t="s">
        <v>346</v>
      </c>
      <c r="B1274" s="36">
        <v>-6.2700000000000001E-6</v>
      </c>
      <c r="C1274" s="35" t="s">
        <v>31</v>
      </c>
      <c r="D1274" s="35" t="s">
        <v>8</v>
      </c>
      <c r="E1274" s="35"/>
      <c r="F1274" s="35" t="s">
        <v>20</v>
      </c>
      <c r="G1274" s="35"/>
      <c r="H1274" s="35"/>
      <c r="I1274" s="35"/>
      <c r="J1274" s="35" t="s">
        <v>347</v>
      </c>
    </row>
    <row r="1275" spans="1:10" x14ac:dyDescent="0.2">
      <c r="A1275" s="35" t="s">
        <v>348</v>
      </c>
      <c r="B1275" s="36">
        <v>-7.4999999999999993E-5</v>
      </c>
      <c r="C1275" s="35" t="s">
        <v>31</v>
      </c>
      <c r="D1275" s="35" t="s">
        <v>121</v>
      </c>
      <c r="E1275" s="35"/>
      <c r="F1275" s="35" t="s">
        <v>20</v>
      </c>
      <c r="G1275" s="35"/>
      <c r="H1275" s="35"/>
      <c r="I1275" s="35"/>
      <c r="J1275" s="35" t="s">
        <v>349</v>
      </c>
    </row>
    <row r="1276" spans="1:10" x14ac:dyDescent="0.2">
      <c r="A1276" s="35" t="s">
        <v>350</v>
      </c>
      <c r="B1276" s="36">
        <v>6.8900000000000005E-4</v>
      </c>
      <c r="C1276" s="35" t="s">
        <v>31</v>
      </c>
      <c r="D1276" s="35" t="s">
        <v>8</v>
      </c>
      <c r="E1276" s="35"/>
      <c r="F1276" s="35" t="s">
        <v>20</v>
      </c>
      <c r="G1276" s="35"/>
      <c r="H1276" s="35"/>
      <c r="I1276" s="35"/>
      <c r="J1276" s="35" t="s">
        <v>351</v>
      </c>
    </row>
    <row r="1277" spans="1:10" x14ac:dyDescent="0.2">
      <c r="A1277" s="35" t="s">
        <v>100</v>
      </c>
      <c r="B1277" s="36">
        <v>3.3599999999999998E-2</v>
      </c>
      <c r="C1277" s="35" t="s">
        <v>31</v>
      </c>
      <c r="D1277" s="35" t="s">
        <v>41</v>
      </c>
      <c r="E1277" s="35"/>
      <c r="F1277" s="35" t="s">
        <v>20</v>
      </c>
      <c r="G1277" s="35"/>
      <c r="H1277" s="35"/>
      <c r="I1277" s="35"/>
      <c r="J1277" s="35" t="s">
        <v>103</v>
      </c>
    </row>
    <row r="1278" spans="1:10" x14ac:dyDescent="0.2">
      <c r="A1278" s="35" t="s">
        <v>352</v>
      </c>
      <c r="B1278" s="36">
        <v>3.2599999999999997E-2</v>
      </c>
      <c r="C1278" s="35" t="s">
        <v>572</v>
      </c>
      <c r="D1278" s="35" t="s">
        <v>41</v>
      </c>
      <c r="E1278" s="35"/>
      <c r="F1278" s="35" t="s">
        <v>20</v>
      </c>
      <c r="G1278" s="35"/>
      <c r="H1278" s="35"/>
      <c r="I1278" s="35"/>
      <c r="J1278" s="35" t="s">
        <v>353</v>
      </c>
    </row>
    <row r="1279" spans="1:10" x14ac:dyDescent="0.2">
      <c r="A1279" s="35" t="s">
        <v>354</v>
      </c>
      <c r="B1279" s="36">
        <v>-6.8899999999999999E-7</v>
      </c>
      <c r="C1279" s="35" t="s">
        <v>31</v>
      </c>
      <c r="D1279" s="35" t="s">
        <v>121</v>
      </c>
      <c r="E1279" s="35"/>
      <c r="F1279" s="35" t="s">
        <v>20</v>
      </c>
      <c r="G1279" s="35"/>
      <c r="H1279" s="35"/>
      <c r="I1279" s="35"/>
      <c r="J1279" s="35" t="s">
        <v>355</v>
      </c>
    </row>
    <row r="1280" spans="1:10" x14ac:dyDescent="0.2">
      <c r="A1280" s="35"/>
      <c r="B1280" s="36"/>
      <c r="C1280" s="35"/>
      <c r="D1280" s="35"/>
      <c r="E1280" s="35"/>
      <c r="F1280" s="35"/>
      <c r="G1280" s="35"/>
      <c r="H1280" s="35"/>
      <c r="I1280" s="35"/>
      <c r="J1280" s="35"/>
    </row>
    <row r="1281" spans="1:8" ht="16" x14ac:dyDescent="0.2">
      <c r="A1281" s="1" t="s">
        <v>1</v>
      </c>
      <c r="B1281" s="71" t="s">
        <v>67</v>
      </c>
    </row>
    <row r="1282" spans="1:8" x14ac:dyDescent="0.2">
      <c r="A1282" t="s">
        <v>2</v>
      </c>
      <c r="B1282" s="6" t="s">
        <v>1035</v>
      </c>
    </row>
    <row r="1283" spans="1:8" x14ac:dyDescent="0.2">
      <c r="A1283" t="s">
        <v>3</v>
      </c>
      <c r="B1283" s="6">
        <v>1</v>
      </c>
    </row>
    <row r="1284" spans="1:8" ht="16" x14ac:dyDescent="0.2">
      <c r="A1284" t="s">
        <v>4</v>
      </c>
      <c r="B1284" s="72" t="s">
        <v>68</v>
      </c>
    </row>
    <row r="1285" spans="1:8" x14ac:dyDescent="0.2">
      <c r="A1285" t="s">
        <v>5</v>
      </c>
      <c r="B1285" s="6" t="s">
        <v>6</v>
      </c>
    </row>
    <row r="1286" spans="1:8" x14ac:dyDescent="0.2">
      <c r="A1286" t="s">
        <v>7</v>
      </c>
      <c r="B1286" s="6" t="s">
        <v>8</v>
      </c>
    </row>
    <row r="1287" spans="1:8" x14ac:dyDescent="0.2">
      <c r="A1287" t="s">
        <v>9</v>
      </c>
      <c r="B1287" s="6" t="s">
        <v>10</v>
      </c>
    </row>
    <row r="1288" spans="1:8" x14ac:dyDescent="0.2">
      <c r="A1288" t="s">
        <v>11</v>
      </c>
      <c r="B1288" s="6" t="s">
        <v>27</v>
      </c>
    </row>
    <row r="1289" spans="1:8" x14ac:dyDescent="0.2">
      <c r="A1289" t="s">
        <v>841</v>
      </c>
      <c r="B1289" s="5">
        <f>Summary!R11</f>
        <v>15.5262026244</v>
      </c>
    </row>
    <row r="1290" spans="1:8" x14ac:dyDescent="0.2">
      <c r="A1290" t="s">
        <v>847</v>
      </c>
      <c r="B1290" s="76">
        <f>Summary!Q11</f>
        <v>0.12</v>
      </c>
    </row>
    <row r="1291" spans="1:8" ht="16" x14ac:dyDescent="0.2">
      <c r="A1291" s="1" t="s">
        <v>12</v>
      </c>
    </row>
    <row r="1292" spans="1:8" x14ac:dyDescent="0.2">
      <c r="A1292" t="s">
        <v>13</v>
      </c>
      <c r="B1292" s="6" t="s">
        <v>14</v>
      </c>
      <c r="C1292" t="s">
        <v>2</v>
      </c>
      <c r="D1292" t="s">
        <v>7</v>
      </c>
      <c r="E1292" t="s">
        <v>15</v>
      </c>
      <c r="F1292" t="s">
        <v>5</v>
      </c>
      <c r="G1292" t="s">
        <v>11</v>
      </c>
      <c r="H1292" t="s">
        <v>4</v>
      </c>
    </row>
    <row r="1293" spans="1:8" ht="16" x14ac:dyDescent="0.2">
      <c r="A1293" s="2" t="s">
        <v>67</v>
      </c>
      <c r="B1293" s="6">
        <v>1</v>
      </c>
      <c r="C1293" t="s">
        <v>1035</v>
      </c>
      <c r="D1293" t="s">
        <v>8</v>
      </c>
      <c r="F1293" t="s">
        <v>17</v>
      </c>
      <c r="G1293" t="s">
        <v>18</v>
      </c>
      <c r="H1293" s="2" t="s">
        <v>68</v>
      </c>
    </row>
    <row r="1294" spans="1:8" x14ac:dyDescent="0.2">
      <c r="A1294" t="s">
        <v>22</v>
      </c>
      <c r="B1294" s="6">
        <f>223592*Parameters!$B$3/1000</f>
        <v>0.23590205879279999</v>
      </c>
      <c r="C1294" t="s">
        <v>26</v>
      </c>
      <c r="D1294" t="s">
        <v>19</v>
      </c>
      <c r="F1294" t="s">
        <v>20</v>
      </c>
      <c r="G1294" t="s">
        <v>60</v>
      </c>
      <c r="H1294" t="s">
        <v>23</v>
      </c>
    </row>
    <row r="1295" spans="1:8" x14ac:dyDescent="0.2">
      <c r="A1295" t="s">
        <v>352</v>
      </c>
      <c r="B1295" s="6">
        <f>53*Parameters!$B$9/1000</f>
        <v>8.5330000000000003E-2</v>
      </c>
      <c r="C1295" t="s">
        <v>572</v>
      </c>
      <c r="D1295" t="s">
        <v>41</v>
      </c>
      <c r="F1295" t="s">
        <v>20</v>
      </c>
      <c r="G1295" t="s">
        <v>72</v>
      </c>
      <c r="H1295" t="s">
        <v>353</v>
      </c>
    </row>
    <row r="1296" spans="1:8" x14ac:dyDescent="0.2">
      <c r="A1296" t="s">
        <v>42</v>
      </c>
      <c r="B1296" s="6">
        <f>3.183/1000</f>
        <v>3.1829999999999996E-3</v>
      </c>
      <c r="C1296" t="s">
        <v>1036</v>
      </c>
      <c r="D1296" t="s">
        <v>8</v>
      </c>
      <c r="F1296" t="s">
        <v>20</v>
      </c>
      <c r="H1296" t="s">
        <v>43</v>
      </c>
    </row>
    <row r="1297" spans="1:8" x14ac:dyDescent="0.2">
      <c r="A1297" t="s">
        <v>44</v>
      </c>
      <c r="B1297" s="6">
        <f>2.273/1000</f>
        <v>2.2730000000000003E-3</v>
      </c>
      <c r="C1297" t="s">
        <v>1036</v>
      </c>
      <c r="D1297" t="s">
        <v>8</v>
      </c>
      <c r="F1297" t="s">
        <v>20</v>
      </c>
      <c r="H1297" t="s">
        <v>45</v>
      </c>
    </row>
    <row r="1298" spans="1:8" x14ac:dyDescent="0.2">
      <c r="A1298" t="s">
        <v>46</v>
      </c>
      <c r="B1298" s="6">
        <f>13.641/1000</f>
        <v>1.3641E-2</v>
      </c>
      <c r="C1298" t="s">
        <v>1036</v>
      </c>
      <c r="D1298" t="s">
        <v>8</v>
      </c>
      <c r="F1298" t="s">
        <v>20</v>
      </c>
      <c r="H1298" t="s">
        <v>47</v>
      </c>
    </row>
    <row r="1299" spans="1:8" x14ac:dyDescent="0.2">
      <c r="A1299" t="s">
        <v>54</v>
      </c>
      <c r="B1299" s="6">
        <f>1.86/1000</f>
        <v>1.8600000000000001E-3</v>
      </c>
      <c r="C1299" t="s">
        <v>26</v>
      </c>
      <c r="D1299" t="s">
        <v>8</v>
      </c>
      <c r="F1299" t="s">
        <v>20</v>
      </c>
      <c r="G1299" t="s">
        <v>1042</v>
      </c>
      <c r="H1299" t="s">
        <v>55</v>
      </c>
    </row>
    <row r="1300" spans="1:8" x14ac:dyDescent="0.2">
      <c r="A1300" t="s">
        <v>1031</v>
      </c>
      <c r="B1300" s="6">
        <f>0.4682*(44/12)*1</f>
        <v>1.7167333333333332</v>
      </c>
      <c r="D1300" t="s">
        <v>8</v>
      </c>
      <c r="E1300" t="s">
        <v>1032</v>
      </c>
      <c r="F1300" t="s">
        <v>36</v>
      </c>
      <c r="G1300" s="8" t="s">
        <v>217</v>
      </c>
    </row>
    <row r="1301" spans="1:8" x14ac:dyDescent="0.2">
      <c r="A1301" t="s">
        <v>108</v>
      </c>
      <c r="B1301" s="6">
        <v>15.68</v>
      </c>
      <c r="D1301" t="s">
        <v>19</v>
      </c>
      <c r="E1301" t="s">
        <v>112</v>
      </c>
      <c r="F1301" t="s">
        <v>36</v>
      </c>
      <c r="G1301" s="8" t="s">
        <v>217</v>
      </c>
    </row>
    <row r="1303" spans="1:8" ht="16" x14ac:dyDescent="0.2">
      <c r="A1303" s="1" t="s">
        <v>1</v>
      </c>
      <c r="B1303" s="71" t="s">
        <v>415</v>
      </c>
    </row>
    <row r="1304" spans="1:8" x14ac:dyDescent="0.2">
      <c r="A1304" t="s">
        <v>2</v>
      </c>
      <c r="B1304" s="6" t="s">
        <v>1035</v>
      </c>
    </row>
    <row r="1305" spans="1:8" x14ac:dyDescent="0.2">
      <c r="A1305" t="s">
        <v>3</v>
      </c>
      <c r="B1305" s="6">
        <v>1</v>
      </c>
    </row>
    <row r="1306" spans="1:8" ht="16" x14ac:dyDescent="0.2">
      <c r="A1306" t="s">
        <v>4</v>
      </c>
      <c r="B1306" s="72" t="s">
        <v>416</v>
      </c>
    </row>
    <row r="1307" spans="1:8" x14ac:dyDescent="0.2">
      <c r="A1307" t="s">
        <v>5</v>
      </c>
      <c r="B1307" s="6" t="s">
        <v>6</v>
      </c>
    </row>
    <row r="1308" spans="1:8" x14ac:dyDescent="0.2">
      <c r="A1308" t="s">
        <v>7</v>
      </c>
      <c r="B1308" s="6" t="s">
        <v>8</v>
      </c>
    </row>
    <row r="1309" spans="1:8" x14ac:dyDescent="0.2">
      <c r="A1309" t="s">
        <v>9</v>
      </c>
      <c r="B1309" s="6" t="s">
        <v>10</v>
      </c>
    </row>
    <row r="1310" spans="1:8" x14ac:dyDescent="0.2">
      <c r="A1310" t="s">
        <v>11</v>
      </c>
      <c r="B1310" s="6" t="s">
        <v>230</v>
      </c>
    </row>
    <row r="1311" spans="1:8" x14ac:dyDescent="0.2">
      <c r="A1311" t="s">
        <v>497</v>
      </c>
      <c r="B1311" s="70">
        <f>Summary!O108</f>
        <v>0.52962528992547164</v>
      </c>
    </row>
    <row r="1312" spans="1:8" ht="16" x14ac:dyDescent="0.2">
      <c r="A1312" s="1" t="s">
        <v>12</v>
      </c>
    </row>
    <row r="1313" spans="1:8" x14ac:dyDescent="0.2">
      <c r="A1313" t="s">
        <v>13</v>
      </c>
      <c r="B1313" s="6" t="s">
        <v>14</v>
      </c>
      <c r="C1313" t="s">
        <v>2</v>
      </c>
      <c r="D1313" t="s">
        <v>7</v>
      </c>
      <c r="E1313" t="s">
        <v>15</v>
      </c>
      <c r="F1313" t="s">
        <v>5</v>
      </c>
      <c r="G1313" t="s">
        <v>11</v>
      </c>
      <c r="H1313" t="s">
        <v>4</v>
      </c>
    </row>
    <row r="1314" spans="1:8" ht="16" x14ac:dyDescent="0.2">
      <c r="A1314" s="2" t="s">
        <v>415</v>
      </c>
      <c r="B1314" s="6">
        <v>1</v>
      </c>
      <c r="C1314" t="s">
        <v>1035</v>
      </c>
      <c r="D1314" t="s">
        <v>8</v>
      </c>
      <c r="F1314" t="s">
        <v>17</v>
      </c>
      <c r="G1314" t="s">
        <v>18</v>
      </c>
      <c r="H1314" s="2" t="s">
        <v>416</v>
      </c>
    </row>
    <row r="1315" spans="1:8" ht="16" x14ac:dyDescent="0.2">
      <c r="A1315" s="2" t="s">
        <v>67</v>
      </c>
      <c r="B1315" s="6">
        <f>(1/((Parameters!$C$23*Parameters!$B$4*Parameters!$B$12)/1000))*Parameters!F35</f>
        <v>3.6117899478066171</v>
      </c>
      <c r="C1315" t="s">
        <v>1035</v>
      </c>
      <c r="D1315" t="s">
        <v>8</v>
      </c>
      <c r="F1315" t="s">
        <v>20</v>
      </c>
      <c r="G1315" t="s">
        <v>18</v>
      </c>
      <c r="H1315" s="2" t="s">
        <v>417</v>
      </c>
    </row>
    <row r="1316" spans="1:8" ht="16" x14ac:dyDescent="0.2">
      <c r="A1316" s="2" t="s">
        <v>221</v>
      </c>
      <c r="B1316" s="6">
        <f>(180*Parameters!$B$3)/(Parameters!$B$4*Parameters!$B$12)*Parameters!F35</f>
        <v>5.4873220233514521E-2</v>
      </c>
      <c r="C1316" t="s">
        <v>26</v>
      </c>
      <c r="D1316" t="s">
        <v>19</v>
      </c>
      <c r="F1316" t="s">
        <v>20</v>
      </c>
      <c r="H1316" s="2" t="s">
        <v>222</v>
      </c>
    </row>
    <row r="1317" spans="1:8" ht="16" x14ac:dyDescent="0.2">
      <c r="A1317" s="2" t="s">
        <v>252</v>
      </c>
      <c r="B1317" s="6">
        <f>((304.85/1000)/(Parameters!$B$4*Parameters!$B$12))*Parameters!$F$35</f>
        <v>8.8084333247107793E-2</v>
      </c>
      <c r="C1317" t="s">
        <v>31</v>
      </c>
      <c r="D1317" t="s">
        <v>8</v>
      </c>
      <c r="F1317" t="s">
        <v>20</v>
      </c>
      <c r="H1317" s="2" t="s">
        <v>253</v>
      </c>
    </row>
    <row r="1318" spans="1:8" ht="16" x14ac:dyDescent="0.2">
      <c r="A1318" s="2" t="s">
        <v>254</v>
      </c>
      <c r="B1318" s="6">
        <f>((47.18/1000)/(Parameters!$B$4*Parameters!$B$12))*Parameters!$F$35</f>
        <v>1.3632339979001295E-2</v>
      </c>
      <c r="C1318" t="s">
        <v>255</v>
      </c>
      <c r="D1318" t="s">
        <v>8</v>
      </c>
      <c r="F1318" t="s">
        <v>20</v>
      </c>
      <c r="H1318" s="2" t="s">
        <v>256</v>
      </c>
    </row>
    <row r="1319" spans="1:8" ht="16" x14ac:dyDescent="0.2">
      <c r="A1319" s="2" t="s">
        <v>257</v>
      </c>
      <c r="B1319" s="6">
        <v>0</v>
      </c>
      <c r="C1319" t="s">
        <v>31</v>
      </c>
      <c r="D1319" t="s">
        <v>8</v>
      </c>
      <c r="F1319" t="s">
        <v>20</v>
      </c>
      <c r="H1319" s="2" t="s">
        <v>414</v>
      </c>
    </row>
    <row r="1320" spans="1:8" ht="16" x14ac:dyDescent="0.2">
      <c r="A1320" s="2" t="s">
        <v>370</v>
      </c>
      <c r="B1320" s="6">
        <f>((64.82/1000)/(Parameters!$B$4*Parameters!$B$12))*Parameters!$F$35</f>
        <v>1.8729297953345995E-2</v>
      </c>
      <c r="C1320" t="s">
        <v>31</v>
      </c>
      <c r="D1320" t="s">
        <v>8</v>
      </c>
      <c r="F1320" t="s">
        <v>20</v>
      </c>
      <c r="G1320" t="s">
        <v>387</v>
      </c>
      <c r="H1320" s="2" t="s">
        <v>371</v>
      </c>
    </row>
    <row r="1321" spans="1:8" ht="16" x14ac:dyDescent="0.2">
      <c r="A1321" s="2" t="s">
        <v>315</v>
      </c>
      <c r="B1321" s="6">
        <v>0</v>
      </c>
      <c r="C1321" t="s">
        <v>31</v>
      </c>
      <c r="D1321" t="s">
        <v>8</v>
      </c>
      <c r="F1321" t="s">
        <v>20</v>
      </c>
      <c r="G1321" t="s">
        <v>314</v>
      </c>
      <c r="H1321" s="2" t="s">
        <v>316</v>
      </c>
    </row>
    <row r="1322" spans="1:8" ht="16" x14ac:dyDescent="0.2">
      <c r="A1322" s="2" t="s">
        <v>384</v>
      </c>
      <c r="B1322" s="6">
        <v>0</v>
      </c>
      <c r="C1322" t="s">
        <v>26</v>
      </c>
      <c r="D1322" t="s">
        <v>8</v>
      </c>
      <c r="F1322" t="s">
        <v>20</v>
      </c>
      <c r="G1322" t="s">
        <v>386</v>
      </c>
      <c r="H1322" s="2" t="s">
        <v>385</v>
      </c>
    </row>
    <row r="1323" spans="1:8" ht="16" x14ac:dyDescent="0.2">
      <c r="A1323" s="2" t="s">
        <v>388</v>
      </c>
      <c r="B1323" s="6">
        <f>((102.06/1000)/(Parameters!$B$4*Parameters!$B$12))*Parameters!$F$35</f>
        <v>2.948954256585147E-2</v>
      </c>
      <c r="C1323" t="s">
        <v>26</v>
      </c>
      <c r="D1323" t="s">
        <v>8</v>
      </c>
      <c r="F1323" t="s">
        <v>20</v>
      </c>
      <c r="G1323" t="s">
        <v>390</v>
      </c>
      <c r="H1323" s="2" t="s">
        <v>389</v>
      </c>
    </row>
    <row r="1324" spans="1:8" x14ac:dyDescent="0.2">
      <c r="A1324" t="s">
        <v>265</v>
      </c>
      <c r="B1324" s="6">
        <f>(B1300*B1315)-Parameters!$B$15</f>
        <v>4.2864801963978794</v>
      </c>
      <c r="D1324" t="s">
        <v>8</v>
      </c>
      <c r="E1324" t="s">
        <v>37</v>
      </c>
      <c r="F1324" t="s">
        <v>36</v>
      </c>
      <c r="G1324" t="s">
        <v>428</v>
      </c>
    </row>
    <row r="1325" spans="1:8" x14ac:dyDescent="0.2">
      <c r="A1325" t="s">
        <v>306</v>
      </c>
      <c r="B1325" s="6">
        <f>1/(90000000*20)</f>
        <v>5.5555555555555553E-10</v>
      </c>
      <c r="C1325" t="s">
        <v>26</v>
      </c>
      <c r="D1325" t="s">
        <v>7</v>
      </c>
      <c r="F1325" t="s">
        <v>20</v>
      </c>
      <c r="G1325" t="s">
        <v>308</v>
      </c>
      <c r="H1325" t="s">
        <v>307</v>
      </c>
    </row>
    <row r="1326" spans="1:8" ht="16" x14ac:dyDescent="0.2">
      <c r="A1326" s="2"/>
      <c r="H1326" s="2"/>
    </row>
    <row r="1327" spans="1:8" ht="16" x14ac:dyDescent="0.2">
      <c r="A1327" s="1" t="s">
        <v>1</v>
      </c>
      <c r="B1327" s="71" t="s">
        <v>418</v>
      </c>
    </row>
    <row r="1328" spans="1:8" x14ac:dyDescent="0.2">
      <c r="A1328" t="s">
        <v>2</v>
      </c>
      <c r="B1328" s="6" t="s">
        <v>1035</v>
      </c>
    </row>
    <row r="1329" spans="1:8" x14ac:dyDescent="0.2">
      <c r="A1329" t="s">
        <v>3</v>
      </c>
      <c r="B1329" s="6">
        <v>1</v>
      </c>
    </row>
    <row r="1330" spans="1:8" ht="16" x14ac:dyDescent="0.2">
      <c r="A1330" t="s">
        <v>4</v>
      </c>
      <c r="B1330" s="72" t="s">
        <v>416</v>
      </c>
    </row>
    <row r="1331" spans="1:8" x14ac:dyDescent="0.2">
      <c r="A1331" t="s">
        <v>5</v>
      </c>
      <c r="B1331" s="6" t="s">
        <v>6</v>
      </c>
    </row>
    <row r="1332" spans="1:8" x14ac:dyDescent="0.2">
      <c r="A1332" t="s">
        <v>7</v>
      </c>
      <c r="B1332" s="6" t="s">
        <v>8</v>
      </c>
    </row>
    <row r="1333" spans="1:8" x14ac:dyDescent="0.2">
      <c r="A1333" t="s">
        <v>9</v>
      </c>
      <c r="B1333" s="6" t="s">
        <v>10</v>
      </c>
    </row>
    <row r="1334" spans="1:8" x14ac:dyDescent="0.2">
      <c r="A1334" t="s">
        <v>11</v>
      </c>
      <c r="B1334" s="6" t="s">
        <v>373</v>
      </c>
    </row>
    <row r="1335" spans="1:8" x14ac:dyDescent="0.2">
      <c r="A1335" t="s">
        <v>497</v>
      </c>
      <c r="B1335" s="70">
        <f>Summary!O39</f>
        <v>0.49019296115840288</v>
      </c>
    </row>
    <row r="1336" spans="1:8" ht="16" x14ac:dyDescent="0.2">
      <c r="A1336" s="1" t="s">
        <v>12</v>
      </c>
    </row>
    <row r="1337" spans="1:8" x14ac:dyDescent="0.2">
      <c r="A1337" t="s">
        <v>13</v>
      </c>
      <c r="B1337" s="6" t="s">
        <v>14</v>
      </c>
      <c r="C1337" t="s">
        <v>2</v>
      </c>
      <c r="D1337" t="s">
        <v>7</v>
      </c>
      <c r="E1337" t="s">
        <v>15</v>
      </c>
      <c r="F1337" t="s">
        <v>5</v>
      </c>
      <c r="G1337" t="s">
        <v>11</v>
      </c>
      <c r="H1337" t="s">
        <v>4</v>
      </c>
    </row>
    <row r="1338" spans="1:8" ht="16" x14ac:dyDescent="0.2">
      <c r="A1338" s="2" t="s">
        <v>418</v>
      </c>
      <c r="B1338" s="6">
        <v>1</v>
      </c>
      <c r="C1338" t="s">
        <v>1035</v>
      </c>
      <c r="D1338" t="s">
        <v>8</v>
      </c>
      <c r="F1338" t="s">
        <v>17</v>
      </c>
      <c r="G1338" t="s">
        <v>18</v>
      </c>
      <c r="H1338" s="2" t="s">
        <v>416</v>
      </c>
    </row>
    <row r="1339" spans="1:8" ht="16" x14ac:dyDescent="0.2">
      <c r="A1339" s="2" t="s">
        <v>67</v>
      </c>
      <c r="B1339" s="6">
        <f>(1/((Parameters!$C$23*Parameters!$B$4*Parameters!$B$12)/1000))*Parameters!G35</f>
        <v>3.902331224292801</v>
      </c>
      <c r="C1339" t="s">
        <v>1035</v>
      </c>
      <c r="D1339" t="s">
        <v>8</v>
      </c>
      <c r="F1339" t="s">
        <v>20</v>
      </c>
      <c r="G1339" t="s">
        <v>18</v>
      </c>
      <c r="H1339" s="2" t="s">
        <v>417</v>
      </c>
    </row>
    <row r="1340" spans="1:8" ht="16" x14ac:dyDescent="0.2">
      <c r="A1340" s="2" t="s">
        <v>221</v>
      </c>
      <c r="B1340" s="6">
        <f>(180*Parameters!$B$3)/(Parameters!$B$4*Parameters!$B$12)*Parameters!G35</f>
        <v>5.9287357179998543E-2</v>
      </c>
      <c r="C1340" t="s">
        <v>26</v>
      </c>
      <c r="D1340" t="s">
        <v>19</v>
      </c>
      <c r="F1340" t="s">
        <v>20</v>
      </c>
      <c r="H1340" s="2" t="s">
        <v>222</v>
      </c>
    </row>
    <row r="1341" spans="1:8" ht="16" x14ac:dyDescent="0.2">
      <c r="A1341" s="2" t="s">
        <v>252</v>
      </c>
      <c r="B1341" s="6">
        <f>((304.85/1000)/(Parameters!$B$4*Parameters!$B$12))*Parameters!$G$35</f>
        <v>9.5170053898052845E-2</v>
      </c>
      <c r="C1341" t="s">
        <v>31</v>
      </c>
      <c r="D1341" t="s">
        <v>8</v>
      </c>
      <c r="F1341" t="s">
        <v>20</v>
      </c>
      <c r="H1341" s="2" t="s">
        <v>253</v>
      </c>
    </row>
    <row r="1342" spans="1:8" ht="16" x14ac:dyDescent="0.2">
      <c r="A1342" s="2" t="s">
        <v>254</v>
      </c>
      <c r="B1342" s="6">
        <f>((47.18/1000)/(Parameters!$B$4*Parameters!$B$12))*Parameters!$G$35</f>
        <v>1.4728958972970748E-2</v>
      </c>
      <c r="C1342" t="s">
        <v>255</v>
      </c>
      <c r="D1342" t="s">
        <v>8</v>
      </c>
      <c r="F1342" t="s">
        <v>20</v>
      </c>
      <c r="H1342" s="2" t="s">
        <v>256</v>
      </c>
    </row>
    <row r="1343" spans="1:8" ht="16" x14ac:dyDescent="0.2">
      <c r="A1343" s="2" t="s">
        <v>257</v>
      </c>
      <c r="B1343" s="6">
        <v>0</v>
      </c>
      <c r="C1343" t="s">
        <v>31</v>
      </c>
      <c r="D1343" t="s">
        <v>8</v>
      </c>
      <c r="F1343" t="s">
        <v>20</v>
      </c>
      <c r="H1343" s="2" t="s">
        <v>414</v>
      </c>
    </row>
    <row r="1344" spans="1:8" ht="16" x14ac:dyDescent="0.2">
      <c r="A1344" s="2" t="s">
        <v>370</v>
      </c>
      <c r="B1344" s="6">
        <f>((64.82/1000)/(Parameters!$B$4*Parameters!$B$12))*Parameters!$G$35</f>
        <v>2.023592879669275E-2</v>
      </c>
      <c r="C1344" t="s">
        <v>31</v>
      </c>
      <c r="D1344" t="s">
        <v>8</v>
      </c>
      <c r="F1344" t="s">
        <v>20</v>
      </c>
      <c r="H1344" s="2" t="s">
        <v>371</v>
      </c>
    </row>
    <row r="1345" spans="1:8" ht="16" x14ac:dyDescent="0.2">
      <c r="A1345" s="2" t="s">
        <v>315</v>
      </c>
      <c r="B1345" s="6">
        <v>0</v>
      </c>
      <c r="C1345" t="s">
        <v>31</v>
      </c>
      <c r="D1345" t="s">
        <v>8</v>
      </c>
      <c r="F1345" t="s">
        <v>20</v>
      </c>
      <c r="G1345" t="s">
        <v>314</v>
      </c>
      <c r="H1345" s="2" t="s">
        <v>316</v>
      </c>
    </row>
    <row r="1346" spans="1:8" ht="16" x14ac:dyDescent="0.2">
      <c r="A1346" s="2" t="s">
        <v>384</v>
      </c>
      <c r="B1346" s="6">
        <v>0</v>
      </c>
      <c r="C1346" t="s">
        <v>26</v>
      </c>
      <c r="D1346" t="s">
        <v>8</v>
      </c>
      <c r="F1346" t="s">
        <v>20</v>
      </c>
      <c r="G1346" t="s">
        <v>386</v>
      </c>
      <c r="H1346" s="2" t="s">
        <v>385</v>
      </c>
    </row>
    <row r="1347" spans="1:8" ht="16" x14ac:dyDescent="0.2">
      <c r="A1347" s="2" t="s">
        <v>388</v>
      </c>
      <c r="B1347" s="6">
        <f>((102.06/1000)/(Parameters!$B$4*Parameters!$B$12))*Parameters!G$35</f>
        <v>3.1861753980105864E-2</v>
      </c>
      <c r="C1347" t="s">
        <v>26</v>
      </c>
      <c r="D1347" t="s">
        <v>8</v>
      </c>
      <c r="F1347" t="s">
        <v>20</v>
      </c>
      <c r="G1347" t="s">
        <v>390</v>
      </c>
      <c r="H1347" s="2" t="s">
        <v>389</v>
      </c>
    </row>
    <row r="1348" spans="1:8" x14ac:dyDescent="0.2">
      <c r="A1348" t="s">
        <v>265</v>
      </c>
      <c r="B1348" s="6">
        <f>(B1300*B1339)-Parameters!$B$15</f>
        <v>4.785262090450928</v>
      </c>
      <c r="D1348" t="s">
        <v>8</v>
      </c>
      <c r="E1348" t="s">
        <v>37</v>
      </c>
      <c r="F1348" t="s">
        <v>36</v>
      </c>
      <c r="G1348" t="s">
        <v>428</v>
      </c>
    </row>
    <row r="1349" spans="1:8" x14ac:dyDescent="0.2">
      <c r="A1349" t="s">
        <v>306</v>
      </c>
      <c r="B1349" s="6">
        <f>1/(90000000*20)</f>
        <v>5.5555555555555553E-10</v>
      </c>
      <c r="C1349" t="s">
        <v>26</v>
      </c>
      <c r="D1349" t="s">
        <v>7</v>
      </c>
      <c r="F1349" t="s">
        <v>20</v>
      </c>
      <c r="G1349" t="s">
        <v>308</v>
      </c>
      <c r="H1349" t="s">
        <v>307</v>
      </c>
    </row>
    <row r="1350" spans="1:8" ht="16" x14ac:dyDescent="0.2">
      <c r="A1350" s="2"/>
      <c r="H1350" s="2"/>
    </row>
    <row r="1351" spans="1:8" ht="16" x14ac:dyDescent="0.2">
      <c r="A1351" s="1" t="s">
        <v>1</v>
      </c>
      <c r="B1351" s="71" t="s">
        <v>516</v>
      </c>
    </row>
    <row r="1352" spans="1:8" x14ac:dyDescent="0.2">
      <c r="A1352" t="s">
        <v>2</v>
      </c>
      <c r="B1352" s="6" t="s">
        <v>1035</v>
      </c>
    </row>
    <row r="1353" spans="1:8" x14ac:dyDescent="0.2">
      <c r="A1353" t="s">
        <v>3</v>
      </c>
      <c r="B1353" s="6">
        <v>1</v>
      </c>
    </row>
    <row r="1354" spans="1:8" ht="16" x14ac:dyDescent="0.2">
      <c r="A1354" t="s">
        <v>4</v>
      </c>
      <c r="B1354" s="72" t="s">
        <v>416</v>
      </c>
    </row>
    <row r="1355" spans="1:8" x14ac:dyDescent="0.2">
      <c r="A1355" t="s">
        <v>5</v>
      </c>
      <c r="B1355" s="6" t="s">
        <v>6</v>
      </c>
    </row>
    <row r="1356" spans="1:8" x14ac:dyDescent="0.2">
      <c r="A1356" t="s">
        <v>7</v>
      </c>
      <c r="B1356" s="6" t="s">
        <v>8</v>
      </c>
    </row>
    <row r="1357" spans="1:8" x14ac:dyDescent="0.2">
      <c r="A1357" t="s">
        <v>9</v>
      </c>
      <c r="B1357" s="6" t="s">
        <v>10</v>
      </c>
    </row>
    <row r="1358" spans="1:8" x14ac:dyDescent="0.2">
      <c r="A1358" t="s">
        <v>11</v>
      </c>
      <c r="B1358" s="6" t="s">
        <v>504</v>
      </c>
    </row>
    <row r="1359" spans="1:8" x14ac:dyDescent="0.2">
      <c r="A1359" t="s">
        <v>497</v>
      </c>
      <c r="B1359" s="70">
        <f>Summary!O146</f>
        <v>0.45700828539033739</v>
      </c>
    </row>
    <row r="1360" spans="1:8" ht="16" x14ac:dyDescent="0.2">
      <c r="A1360" s="1" t="s">
        <v>12</v>
      </c>
    </row>
    <row r="1361" spans="1:9" x14ac:dyDescent="0.2">
      <c r="A1361" t="s">
        <v>13</v>
      </c>
      <c r="B1361" s="6" t="s">
        <v>14</v>
      </c>
      <c r="C1361" t="s">
        <v>2</v>
      </c>
      <c r="D1361" t="s">
        <v>7</v>
      </c>
      <c r="E1361" t="s">
        <v>15</v>
      </c>
      <c r="F1361" t="s">
        <v>5</v>
      </c>
      <c r="G1361" t="s">
        <v>11</v>
      </c>
      <c r="H1361" t="s">
        <v>4</v>
      </c>
    </row>
    <row r="1362" spans="1:9" ht="16" x14ac:dyDescent="0.2">
      <c r="A1362" s="2" t="s">
        <v>516</v>
      </c>
      <c r="B1362" s="6">
        <v>1</v>
      </c>
      <c r="C1362" t="s">
        <v>1035</v>
      </c>
      <c r="D1362" t="s">
        <v>8</v>
      </c>
      <c r="F1362" t="s">
        <v>17</v>
      </c>
      <c r="G1362" t="s">
        <v>18</v>
      </c>
      <c r="H1362" s="2" t="s">
        <v>416</v>
      </c>
    </row>
    <row r="1363" spans="1:9" ht="16" x14ac:dyDescent="0.2">
      <c r="A1363" s="2" t="s">
        <v>67</v>
      </c>
      <c r="B1363" s="6">
        <f>(1/((Parameters!$C$23*Parameters!$B$4*Parameters!$B$12)/1000))</f>
        <v>4.1856906305826644</v>
      </c>
      <c r="C1363" t="s">
        <v>1035</v>
      </c>
      <c r="D1363" t="s">
        <v>8</v>
      </c>
      <c r="F1363" t="s">
        <v>20</v>
      </c>
      <c r="G1363" t="s">
        <v>18</v>
      </c>
      <c r="H1363" s="2" t="s">
        <v>417</v>
      </c>
    </row>
    <row r="1364" spans="1:9" ht="16" x14ac:dyDescent="0.2">
      <c r="A1364" s="2" t="s">
        <v>221</v>
      </c>
      <c r="B1364" s="6">
        <f>(180*Parameters!$B$3)/(Parameters!$B$4*Parameters!$B$12)</f>
        <v>6.3592381373341833E-2</v>
      </c>
      <c r="C1364" t="s">
        <v>26</v>
      </c>
      <c r="D1364" t="s">
        <v>19</v>
      </c>
      <c r="F1364" t="s">
        <v>20</v>
      </c>
      <c r="H1364" s="2" t="s">
        <v>222</v>
      </c>
    </row>
    <row r="1365" spans="1:9" ht="16" x14ac:dyDescent="0.2">
      <c r="A1365" s="2" t="s">
        <v>252</v>
      </c>
      <c r="B1365" s="6">
        <f>((304.85/1000)/(Parameters!$B$4*Parameters!$B$12))</f>
        <v>0.10208062309865003</v>
      </c>
      <c r="C1365" t="s">
        <v>31</v>
      </c>
      <c r="D1365" t="s">
        <v>8</v>
      </c>
      <c r="F1365" t="s">
        <v>20</v>
      </c>
      <c r="H1365" s="2" t="s">
        <v>253</v>
      </c>
    </row>
    <row r="1366" spans="1:9" ht="16" x14ac:dyDescent="0.2">
      <c r="A1366" s="2" t="s">
        <v>254</v>
      </c>
      <c r="B1366" s="6">
        <f>((47.18/1000)/(Parameters!$B$4*Parameters!$B$12))</f>
        <v>1.5798470716071208E-2</v>
      </c>
      <c r="C1366" t="s">
        <v>255</v>
      </c>
      <c r="D1366" t="s">
        <v>8</v>
      </c>
      <c r="F1366" t="s">
        <v>20</v>
      </c>
      <c r="H1366" s="2" t="s">
        <v>256</v>
      </c>
    </row>
    <row r="1367" spans="1:9" ht="16" x14ac:dyDescent="0.2">
      <c r="A1367" s="2" t="s">
        <v>257</v>
      </c>
      <c r="B1367" s="6">
        <v>0</v>
      </c>
      <c r="C1367" t="s">
        <v>31</v>
      </c>
      <c r="D1367" t="s">
        <v>8</v>
      </c>
      <c r="F1367" t="s">
        <v>20</v>
      </c>
      <c r="H1367" s="2" t="s">
        <v>414</v>
      </c>
    </row>
    <row r="1368" spans="1:9" ht="16" x14ac:dyDescent="0.2">
      <c r="A1368" s="2" t="s">
        <v>370</v>
      </c>
      <c r="B1368" s="6">
        <f>((64.82/1000)/(Parameters!$B$4*Parameters!$B$12))</f>
        <v>2.1705317333949464E-2</v>
      </c>
      <c r="C1368" t="s">
        <v>31</v>
      </c>
      <c r="D1368" t="s">
        <v>8</v>
      </c>
      <c r="F1368" t="s">
        <v>20</v>
      </c>
      <c r="H1368" s="2" t="s">
        <v>371</v>
      </c>
    </row>
    <row r="1369" spans="1:9" ht="16" x14ac:dyDescent="0.2">
      <c r="A1369" s="2" t="s">
        <v>315</v>
      </c>
      <c r="B1369" s="6">
        <v>0</v>
      </c>
      <c r="C1369" t="s">
        <v>31</v>
      </c>
      <c r="D1369" t="s">
        <v>8</v>
      </c>
      <c r="F1369" t="s">
        <v>20</v>
      </c>
      <c r="G1369" t="s">
        <v>314</v>
      </c>
      <c r="H1369" s="2" t="s">
        <v>316</v>
      </c>
    </row>
    <row r="1370" spans="1:9" ht="16" x14ac:dyDescent="0.2">
      <c r="A1370" s="2" t="s">
        <v>384</v>
      </c>
      <c r="B1370" s="6">
        <v>0</v>
      </c>
      <c r="C1370" t="s">
        <v>26</v>
      </c>
      <c r="D1370" t="s">
        <v>8</v>
      </c>
      <c r="F1370" t="s">
        <v>20</v>
      </c>
      <c r="G1370" t="s">
        <v>386</v>
      </c>
      <c r="H1370" s="2" t="s">
        <v>385</v>
      </c>
    </row>
    <row r="1371" spans="1:9" ht="16" x14ac:dyDescent="0.2">
      <c r="A1371" s="2" t="s">
        <v>388</v>
      </c>
      <c r="B1371" s="6">
        <f>((102.06/1000)/(Parameters!$B$4*Parameters!$B$12))</f>
        <v>3.4175326860581341E-2</v>
      </c>
      <c r="C1371" t="s">
        <v>26</v>
      </c>
      <c r="D1371" t="s">
        <v>8</v>
      </c>
      <c r="F1371" t="s">
        <v>20</v>
      </c>
      <c r="G1371" t="s">
        <v>390</v>
      </c>
      <c r="H1371" s="2" t="s">
        <v>389</v>
      </c>
    </row>
    <row r="1372" spans="1:9" x14ac:dyDescent="0.2">
      <c r="A1372" t="s">
        <v>265</v>
      </c>
      <c r="B1372" s="6">
        <f>(B1300*B1363)-Parameters!$B$15</f>
        <v>5.2717146285422789</v>
      </c>
      <c r="D1372" t="s">
        <v>8</v>
      </c>
      <c r="E1372" t="s">
        <v>37</v>
      </c>
      <c r="F1372" t="s">
        <v>36</v>
      </c>
      <c r="G1372" t="s">
        <v>428</v>
      </c>
    </row>
    <row r="1373" spans="1:9" x14ac:dyDescent="0.2">
      <c r="A1373" t="s">
        <v>306</v>
      </c>
      <c r="B1373" s="6">
        <f>1/(90000000*20)</f>
        <v>5.5555555555555553E-10</v>
      </c>
      <c r="C1373" t="s">
        <v>26</v>
      </c>
      <c r="D1373" t="s">
        <v>7</v>
      </c>
      <c r="F1373" t="s">
        <v>20</v>
      </c>
      <c r="G1373" t="s">
        <v>308</v>
      </c>
      <c r="H1373" t="s">
        <v>307</v>
      </c>
    </row>
    <row r="1374" spans="1:9" x14ac:dyDescent="0.2">
      <c r="A1374" s="35" t="s">
        <v>28</v>
      </c>
      <c r="B1374" s="36">
        <f>Parameters!G22/Parameters!B4*Parameters!B12*-1</f>
        <v>-0.37292496697490091</v>
      </c>
      <c r="C1374" t="s">
        <v>1036</v>
      </c>
      <c r="D1374" s="35" t="s">
        <v>29</v>
      </c>
      <c r="E1374" s="35"/>
      <c r="F1374" s="35" t="s">
        <v>20</v>
      </c>
      <c r="G1374" s="35" t="s">
        <v>505</v>
      </c>
      <c r="H1374" s="35" t="s">
        <v>30</v>
      </c>
      <c r="I1374" s="35"/>
    </row>
    <row r="1375" spans="1:9" ht="16" x14ac:dyDescent="0.2">
      <c r="A1375" s="2"/>
      <c r="H1375" s="2"/>
    </row>
    <row r="1376" spans="1:9" ht="16" x14ac:dyDescent="0.2">
      <c r="A1376" s="1" t="s">
        <v>1</v>
      </c>
      <c r="B1376" s="71" t="s">
        <v>419</v>
      </c>
    </row>
    <row r="1377" spans="1:10" x14ac:dyDescent="0.2">
      <c r="A1377" t="s">
        <v>2</v>
      </c>
      <c r="B1377" s="6" t="s">
        <v>1035</v>
      </c>
    </row>
    <row r="1378" spans="1:10" x14ac:dyDescent="0.2">
      <c r="A1378" t="s">
        <v>3</v>
      </c>
      <c r="B1378" s="6">
        <v>1</v>
      </c>
    </row>
    <row r="1379" spans="1:10" ht="16" x14ac:dyDescent="0.2">
      <c r="A1379" t="s">
        <v>4</v>
      </c>
      <c r="B1379" s="72" t="s">
        <v>337</v>
      </c>
    </row>
    <row r="1380" spans="1:10" x14ac:dyDescent="0.2">
      <c r="A1380" t="s">
        <v>5</v>
      </c>
      <c r="B1380" s="6" t="s">
        <v>6</v>
      </c>
    </row>
    <row r="1381" spans="1:10" x14ac:dyDescent="0.2">
      <c r="A1381" t="s">
        <v>7</v>
      </c>
      <c r="B1381" s="6" t="s">
        <v>8</v>
      </c>
    </row>
    <row r="1382" spans="1:10" x14ac:dyDescent="0.2">
      <c r="A1382" t="s">
        <v>9</v>
      </c>
      <c r="B1382" s="6" t="s">
        <v>393</v>
      </c>
    </row>
    <row r="1383" spans="1:10" x14ac:dyDescent="0.2">
      <c r="A1383" t="s">
        <v>11</v>
      </c>
      <c r="B1383" s="6" t="s">
        <v>362</v>
      </c>
    </row>
    <row r="1384" spans="1:10" ht="16" x14ac:dyDescent="0.2">
      <c r="A1384" s="1" t="s">
        <v>12</v>
      </c>
    </row>
    <row r="1385" spans="1:10" x14ac:dyDescent="0.2">
      <c r="A1385" t="s">
        <v>13</v>
      </c>
      <c r="B1385" s="6" t="s">
        <v>14</v>
      </c>
      <c r="C1385" t="s">
        <v>2</v>
      </c>
      <c r="D1385" t="s">
        <v>7</v>
      </c>
      <c r="E1385" t="s">
        <v>15</v>
      </c>
      <c r="F1385" t="s">
        <v>5</v>
      </c>
      <c r="G1385" t="s">
        <v>338</v>
      </c>
      <c r="H1385" t="s">
        <v>339</v>
      </c>
      <c r="I1385" t="s">
        <v>11</v>
      </c>
      <c r="J1385" t="s">
        <v>4</v>
      </c>
    </row>
    <row r="1386" spans="1:10" x14ac:dyDescent="0.2">
      <c r="A1386" s="35" t="s">
        <v>419</v>
      </c>
      <c r="B1386" s="36">
        <v>1</v>
      </c>
      <c r="C1386" t="s">
        <v>1035</v>
      </c>
      <c r="D1386" s="35" t="s">
        <v>8</v>
      </c>
      <c r="E1386" s="35"/>
      <c r="F1386" s="35" t="s">
        <v>17</v>
      </c>
      <c r="G1386" s="35"/>
      <c r="H1386" s="35"/>
      <c r="I1386" s="35" t="s">
        <v>18</v>
      </c>
      <c r="J1386" s="35" t="s">
        <v>337</v>
      </c>
    </row>
    <row r="1387" spans="1:10" ht="16" x14ac:dyDescent="0.2">
      <c r="A1387" s="2" t="s">
        <v>415</v>
      </c>
      <c r="B1387" s="6">
        <v>1.00057</v>
      </c>
      <c r="C1387" t="s">
        <v>1035</v>
      </c>
      <c r="D1387" t="s">
        <v>8</v>
      </c>
      <c r="F1387" s="35" t="s">
        <v>20</v>
      </c>
      <c r="G1387" t="s">
        <v>18</v>
      </c>
      <c r="I1387" s="35"/>
      <c r="J1387" s="2" t="s">
        <v>416</v>
      </c>
    </row>
    <row r="1388" spans="1:10" x14ac:dyDescent="0.2">
      <c r="A1388" s="35" t="s">
        <v>28</v>
      </c>
      <c r="B1388" s="36">
        <v>6.7000000000000002E-3</v>
      </c>
      <c r="C1388" t="s">
        <v>1036</v>
      </c>
      <c r="D1388" s="35" t="s">
        <v>29</v>
      </c>
      <c r="E1388" s="35"/>
      <c r="F1388" s="35" t="s">
        <v>20</v>
      </c>
      <c r="G1388" s="35"/>
      <c r="H1388" s="35"/>
      <c r="I1388" s="35"/>
      <c r="J1388" s="35" t="s">
        <v>30</v>
      </c>
    </row>
    <row r="1389" spans="1:10" x14ac:dyDescent="0.2">
      <c r="A1389" s="35" t="s">
        <v>340</v>
      </c>
      <c r="B1389" s="36">
        <v>-1.6799999999999999E-4</v>
      </c>
      <c r="C1389" s="35" t="s">
        <v>31</v>
      </c>
      <c r="D1389" s="35" t="s">
        <v>8</v>
      </c>
      <c r="E1389" s="35"/>
      <c r="F1389" s="35" t="s">
        <v>20</v>
      </c>
      <c r="G1389" s="35"/>
      <c r="H1389" s="35"/>
      <c r="I1389" s="35"/>
      <c r="J1389" s="35" t="s">
        <v>341</v>
      </c>
    </row>
    <row r="1390" spans="1:10" x14ac:dyDescent="0.2">
      <c r="A1390" s="35" t="s">
        <v>342</v>
      </c>
      <c r="B1390" s="36">
        <v>5.8399999999999999E-4</v>
      </c>
      <c r="C1390" s="35" t="s">
        <v>31</v>
      </c>
      <c r="D1390" s="35" t="s">
        <v>19</v>
      </c>
      <c r="E1390" s="35"/>
      <c r="F1390" s="35" t="s">
        <v>20</v>
      </c>
      <c r="G1390" s="35"/>
      <c r="H1390" s="35"/>
      <c r="I1390" s="35"/>
      <c r="J1390" s="35" t="s">
        <v>343</v>
      </c>
    </row>
    <row r="1391" spans="1:10" x14ac:dyDescent="0.2">
      <c r="A1391" s="35" t="s">
        <v>344</v>
      </c>
      <c r="B1391" s="36">
        <v>2.5999999999999998E-10</v>
      </c>
      <c r="C1391" s="35" t="s">
        <v>31</v>
      </c>
      <c r="D1391" s="35" t="s">
        <v>7</v>
      </c>
      <c r="E1391" s="35"/>
      <c r="F1391" s="35" t="s">
        <v>20</v>
      </c>
      <c r="G1391" s="35"/>
      <c r="H1391" s="35"/>
      <c r="I1391" s="35"/>
      <c r="J1391" s="35" t="s">
        <v>345</v>
      </c>
    </row>
    <row r="1392" spans="1:10" x14ac:dyDescent="0.2">
      <c r="A1392" s="35" t="s">
        <v>346</v>
      </c>
      <c r="B1392" s="36">
        <v>-6.2700000000000001E-6</v>
      </c>
      <c r="C1392" s="35" t="s">
        <v>31</v>
      </c>
      <c r="D1392" s="35" t="s">
        <v>8</v>
      </c>
      <c r="E1392" s="35"/>
      <c r="F1392" s="35" t="s">
        <v>20</v>
      </c>
      <c r="G1392" s="35"/>
      <c r="H1392" s="35"/>
      <c r="I1392" s="35"/>
      <c r="J1392" s="35" t="s">
        <v>347</v>
      </c>
    </row>
    <row r="1393" spans="1:10" x14ac:dyDescent="0.2">
      <c r="A1393" s="35" t="s">
        <v>348</v>
      </c>
      <c r="B1393" s="36">
        <v>-7.4999999999999993E-5</v>
      </c>
      <c r="C1393" s="35" t="s">
        <v>31</v>
      </c>
      <c r="D1393" s="35" t="s">
        <v>121</v>
      </c>
      <c r="E1393" s="35"/>
      <c r="F1393" s="35" t="s">
        <v>20</v>
      </c>
      <c r="G1393" s="35"/>
      <c r="H1393" s="35"/>
      <c r="I1393" s="35"/>
      <c r="J1393" s="35" t="s">
        <v>349</v>
      </c>
    </row>
    <row r="1394" spans="1:10" x14ac:dyDescent="0.2">
      <c r="A1394" s="35" t="s">
        <v>350</v>
      </c>
      <c r="B1394" s="36">
        <v>6.8900000000000005E-4</v>
      </c>
      <c r="C1394" s="35" t="s">
        <v>31</v>
      </c>
      <c r="D1394" s="35" t="s">
        <v>8</v>
      </c>
      <c r="E1394" s="35"/>
      <c r="F1394" s="35" t="s">
        <v>20</v>
      </c>
      <c r="G1394" s="35"/>
      <c r="H1394" s="35"/>
      <c r="I1394" s="35"/>
      <c r="J1394" s="35" t="s">
        <v>351</v>
      </c>
    </row>
    <row r="1395" spans="1:10" x14ac:dyDescent="0.2">
      <c r="A1395" s="35" t="s">
        <v>100</v>
      </c>
      <c r="B1395" s="36">
        <v>3.3599999999999998E-2</v>
      </c>
      <c r="C1395" s="35" t="s">
        <v>31</v>
      </c>
      <c r="D1395" s="35" t="s">
        <v>41</v>
      </c>
      <c r="E1395" s="35"/>
      <c r="F1395" s="35" t="s">
        <v>20</v>
      </c>
      <c r="G1395" s="35"/>
      <c r="H1395" s="35"/>
      <c r="I1395" s="35"/>
      <c r="J1395" s="35" t="s">
        <v>103</v>
      </c>
    </row>
    <row r="1396" spans="1:10" x14ac:dyDescent="0.2">
      <c r="A1396" s="35" t="s">
        <v>352</v>
      </c>
      <c r="B1396" s="36">
        <v>3.2599999999999997E-2</v>
      </c>
      <c r="C1396" s="35" t="s">
        <v>572</v>
      </c>
      <c r="D1396" s="35" t="s">
        <v>41</v>
      </c>
      <c r="E1396" s="35"/>
      <c r="F1396" s="35" t="s">
        <v>20</v>
      </c>
      <c r="G1396" s="35"/>
      <c r="H1396" s="35"/>
      <c r="I1396" s="35"/>
      <c r="J1396" s="35" t="s">
        <v>353</v>
      </c>
    </row>
    <row r="1397" spans="1:10" x14ac:dyDescent="0.2">
      <c r="A1397" s="35" t="s">
        <v>354</v>
      </c>
      <c r="B1397" s="36">
        <v>-6.8899999999999999E-7</v>
      </c>
      <c r="C1397" s="35" t="s">
        <v>31</v>
      </c>
      <c r="D1397" s="35" t="s">
        <v>121</v>
      </c>
      <c r="E1397" s="35"/>
      <c r="F1397" s="35" t="s">
        <v>20</v>
      </c>
      <c r="G1397" s="35"/>
      <c r="H1397" s="35"/>
      <c r="I1397" s="35"/>
      <c r="J1397" s="35" t="s">
        <v>355</v>
      </c>
    </row>
    <row r="1399" spans="1:10" ht="16" x14ac:dyDescent="0.2">
      <c r="A1399" s="1" t="s">
        <v>1</v>
      </c>
      <c r="B1399" s="71" t="s">
        <v>420</v>
      </c>
    </row>
    <row r="1400" spans="1:10" x14ac:dyDescent="0.2">
      <c r="A1400" t="s">
        <v>2</v>
      </c>
      <c r="B1400" s="6" t="s">
        <v>1035</v>
      </c>
    </row>
    <row r="1401" spans="1:10" x14ac:dyDescent="0.2">
      <c r="A1401" t="s">
        <v>3</v>
      </c>
      <c r="B1401" s="6">
        <v>1</v>
      </c>
    </row>
    <row r="1402" spans="1:10" ht="16" x14ac:dyDescent="0.2">
      <c r="A1402" t="s">
        <v>4</v>
      </c>
      <c r="B1402" s="72" t="s">
        <v>337</v>
      </c>
    </row>
    <row r="1403" spans="1:10" x14ac:dyDescent="0.2">
      <c r="A1403" t="s">
        <v>5</v>
      </c>
      <c r="B1403" s="6" t="s">
        <v>6</v>
      </c>
    </row>
    <row r="1404" spans="1:10" x14ac:dyDescent="0.2">
      <c r="A1404" t="s">
        <v>7</v>
      </c>
      <c r="B1404" s="6" t="s">
        <v>8</v>
      </c>
    </row>
    <row r="1405" spans="1:10" x14ac:dyDescent="0.2">
      <c r="A1405" t="s">
        <v>9</v>
      </c>
      <c r="B1405" s="6" t="s">
        <v>393</v>
      </c>
    </row>
    <row r="1406" spans="1:10" x14ac:dyDescent="0.2">
      <c r="A1406" t="s">
        <v>11</v>
      </c>
      <c r="B1406" s="6" t="s">
        <v>361</v>
      </c>
    </row>
    <row r="1407" spans="1:10" ht="16" x14ac:dyDescent="0.2">
      <c r="A1407" s="1" t="s">
        <v>12</v>
      </c>
    </row>
    <row r="1408" spans="1:10" x14ac:dyDescent="0.2">
      <c r="A1408" t="s">
        <v>13</v>
      </c>
      <c r="B1408" s="6" t="s">
        <v>14</v>
      </c>
      <c r="C1408" t="s">
        <v>2</v>
      </c>
      <c r="D1408" t="s">
        <v>7</v>
      </c>
      <c r="E1408" t="s">
        <v>15</v>
      </c>
      <c r="F1408" t="s">
        <v>5</v>
      </c>
      <c r="G1408" t="s">
        <v>338</v>
      </c>
      <c r="H1408" t="s">
        <v>339</v>
      </c>
      <c r="I1408" t="s">
        <v>11</v>
      </c>
      <c r="J1408" t="s">
        <v>4</v>
      </c>
    </row>
    <row r="1409" spans="1:10" x14ac:dyDescent="0.2">
      <c r="A1409" s="35" t="s">
        <v>420</v>
      </c>
      <c r="B1409" s="36">
        <v>1</v>
      </c>
      <c r="C1409" t="s">
        <v>1035</v>
      </c>
      <c r="D1409" s="35" t="s">
        <v>8</v>
      </c>
      <c r="E1409" s="35"/>
      <c r="F1409" s="35" t="s">
        <v>17</v>
      </c>
      <c r="G1409" s="35"/>
      <c r="H1409" s="35"/>
      <c r="I1409" s="35" t="s">
        <v>18</v>
      </c>
      <c r="J1409" s="35" t="s">
        <v>337</v>
      </c>
    </row>
    <row r="1410" spans="1:10" ht="16" x14ac:dyDescent="0.2">
      <c r="A1410" s="2" t="s">
        <v>418</v>
      </c>
      <c r="B1410" s="6">
        <v>1.00057</v>
      </c>
      <c r="C1410" t="s">
        <v>1035</v>
      </c>
      <c r="D1410" t="s">
        <v>8</v>
      </c>
      <c r="F1410" s="35" t="s">
        <v>20</v>
      </c>
      <c r="G1410" t="s">
        <v>18</v>
      </c>
      <c r="I1410" s="35"/>
      <c r="J1410" s="2" t="s">
        <v>416</v>
      </c>
    </row>
    <row r="1411" spans="1:10" x14ac:dyDescent="0.2">
      <c r="A1411" s="35" t="s">
        <v>28</v>
      </c>
      <c r="B1411" s="36">
        <v>6.7000000000000002E-3</v>
      </c>
      <c r="C1411" t="s">
        <v>1036</v>
      </c>
      <c r="D1411" s="35" t="s">
        <v>29</v>
      </c>
      <c r="E1411" s="35"/>
      <c r="F1411" s="35" t="s">
        <v>20</v>
      </c>
      <c r="G1411" s="35"/>
      <c r="H1411" s="35"/>
      <c r="I1411" s="35"/>
      <c r="J1411" s="35" t="s">
        <v>30</v>
      </c>
    </row>
    <row r="1412" spans="1:10" x14ac:dyDescent="0.2">
      <c r="A1412" s="35" t="s">
        <v>340</v>
      </c>
      <c r="B1412" s="36">
        <v>-1.6799999999999999E-4</v>
      </c>
      <c r="C1412" s="35" t="s">
        <v>31</v>
      </c>
      <c r="D1412" s="35" t="s">
        <v>8</v>
      </c>
      <c r="E1412" s="35"/>
      <c r="F1412" s="35" t="s">
        <v>20</v>
      </c>
      <c r="G1412" s="35"/>
      <c r="H1412" s="35"/>
      <c r="I1412" s="35"/>
      <c r="J1412" s="35" t="s">
        <v>341</v>
      </c>
    </row>
    <row r="1413" spans="1:10" x14ac:dyDescent="0.2">
      <c r="A1413" s="35" t="s">
        <v>342</v>
      </c>
      <c r="B1413" s="36">
        <v>5.8399999999999999E-4</v>
      </c>
      <c r="C1413" s="35" t="s">
        <v>31</v>
      </c>
      <c r="D1413" s="35" t="s">
        <v>19</v>
      </c>
      <c r="E1413" s="35"/>
      <c r="F1413" s="35" t="s">
        <v>20</v>
      </c>
      <c r="G1413" s="35"/>
      <c r="H1413" s="35"/>
      <c r="I1413" s="35"/>
      <c r="J1413" s="35" t="s">
        <v>343</v>
      </c>
    </row>
    <row r="1414" spans="1:10" x14ac:dyDescent="0.2">
      <c r="A1414" s="35" t="s">
        <v>344</v>
      </c>
      <c r="B1414" s="36">
        <v>2.5999999999999998E-10</v>
      </c>
      <c r="C1414" s="35" t="s">
        <v>31</v>
      </c>
      <c r="D1414" s="35" t="s">
        <v>7</v>
      </c>
      <c r="E1414" s="35"/>
      <c r="F1414" s="35" t="s">
        <v>20</v>
      </c>
      <c r="G1414" s="35"/>
      <c r="H1414" s="35"/>
      <c r="I1414" s="35"/>
      <c r="J1414" s="35" t="s">
        <v>345</v>
      </c>
    </row>
    <row r="1415" spans="1:10" x14ac:dyDescent="0.2">
      <c r="A1415" s="35" t="s">
        <v>346</v>
      </c>
      <c r="B1415" s="36">
        <v>-6.2700000000000001E-6</v>
      </c>
      <c r="C1415" s="35" t="s">
        <v>31</v>
      </c>
      <c r="D1415" s="35" t="s">
        <v>8</v>
      </c>
      <c r="E1415" s="35"/>
      <c r="F1415" s="35" t="s">
        <v>20</v>
      </c>
      <c r="G1415" s="35"/>
      <c r="H1415" s="35"/>
      <c r="I1415" s="35"/>
      <c r="J1415" s="35" t="s">
        <v>347</v>
      </c>
    </row>
    <row r="1416" spans="1:10" x14ac:dyDescent="0.2">
      <c r="A1416" s="35" t="s">
        <v>348</v>
      </c>
      <c r="B1416" s="36">
        <v>-7.4999999999999993E-5</v>
      </c>
      <c r="C1416" s="35" t="s">
        <v>31</v>
      </c>
      <c r="D1416" s="35" t="s">
        <v>121</v>
      </c>
      <c r="E1416" s="35"/>
      <c r="F1416" s="35" t="s">
        <v>20</v>
      </c>
      <c r="G1416" s="35"/>
      <c r="H1416" s="35"/>
      <c r="I1416" s="35"/>
      <c r="J1416" s="35" t="s">
        <v>349</v>
      </c>
    </row>
    <row r="1417" spans="1:10" x14ac:dyDescent="0.2">
      <c r="A1417" s="35" t="s">
        <v>350</v>
      </c>
      <c r="B1417" s="36">
        <v>6.8900000000000005E-4</v>
      </c>
      <c r="C1417" s="35" t="s">
        <v>31</v>
      </c>
      <c r="D1417" s="35" t="s">
        <v>8</v>
      </c>
      <c r="E1417" s="35"/>
      <c r="F1417" s="35" t="s">
        <v>20</v>
      </c>
      <c r="G1417" s="35"/>
      <c r="H1417" s="35"/>
      <c r="I1417" s="35"/>
      <c r="J1417" s="35" t="s">
        <v>351</v>
      </c>
    </row>
    <row r="1418" spans="1:10" x14ac:dyDescent="0.2">
      <c r="A1418" s="35" t="s">
        <v>100</v>
      </c>
      <c r="B1418" s="36">
        <v>3.3599999999999998E-2</v>
      </c>
      <c r="C1418" s="35" t="s">
        <v>31</v>
      </c>
      <c r="D1418" s="35" t="s">
        <v>41</v>
      </c>
      <c r="E1418" s="35"/>
      <c r="F1418" s="35" t="s">
        <v>20</v>
      </c>
      <c r="G1418" s="35"/>
      <c r="H1418" s="35"/>
      <c r="I1418" s="35"/>
      <c r="J1418" s="35" t="s">
        <v>103</v>
      </c>
    </row>
    <row r="1419" spans="1:10" x14ac:dyDescent="0.2">
      <c r="A1419" s="35" t="s">
        <v>352</v>
      </c>
      <c r="B1419" s="36">
        <v>3.2599999999999997E-2</v>
      </c>
      <c r="C1419" s="35" t="s">
        <v>572</v>
      </c>
      <c r="D1419" s="35" t="s">
        <v>41</v>
      </c>
      <c r="E1419" s="35"/>
      <c r="F1419" s="35" t="s">
        <v>20</v>
      </c>
      <c r="G1419" s="35"/>
      <c r="H1419" s="35"/>
      <c r="I1419" s="35"/>
      <c r="J1419" s="35" t="s">
        <v>353</v>
      </c>
    </row>
    <row r="1420" spans="1:10" x14ac:dyDescent="0.2">
      <c r="A1420" s="35" t="s">
        <v>354</v>
      </c>
      <c r="B1420" s="36">
        <v>-6.8899999999999999E-7</v>
      </c>
      <c r="C1420" s="35" t="s">
        <v>31</v>
      </c>
      <c r="D1420" s="35" t="s">
        <v>121</v>
      </c>
      <c r="E1420" s="35"/>
      <c r="F1420" s="35" t="s">
        <v>20</v>
      </c>
      <c r="G1420" s="35"/>
      <c r="H1420" s="35"/>
      <c r="I1420" s="35"/>
      <c r="J1420" s="35" t="s">
        <v>355</v>
      </c>
    </row>
    <row r="1421" spans="1:10" x14ac:dyDescent="0.2">
      <c r="A1421" s="35"/>
      <c r="B1421" s="36"/>
      <c r="C1421" s="35"/>
      <c r="D1421" s="35"/>
      <c r="E1421" s="35"/>
      <c r="F1421" s="35"/>
      <c r="G1421" s="35"/>
      <c r="H1421" s="35"/>
      <c r="I1421" s="35"/>
      <c r="J1421" s="35"/>
    </row>
    <row r="1422" spans="1:10" ht="16" x14ac:dyDescent="0.2">
      <c r="A1422" s="1" t="s">
        <v>1</v>
      </c>
      <c r="B1422" s="71" t="s">
        <v>517</v>
      </c>
    </row>
    <row r="1423" spans="1:10" x14ac:dyDescent="0.2">
      <c r="A1423" t="s">
        <v>2</v>
      </c>
      <c r="B1423" s="6" t="s">
        <v>1035</v>
      </c>
    </row>
    <row r="1424" spans="1:10" x14ac:dyDescent="0.2">
      <c r="A1424" t="s">
        <v>3</v>
      </c>
      <c r="B1424" s="6">
        <v>1</v>
      </c>
    </row>
    <row r="1425" spans="1:10" ht="16" x14ac:dyDescent="0.2">
      <c r="A1425" t="s">
        <v>4</v>
      </c>
      <c r="B1425" s="72" t="s">
        <v>337</v>
      </c>
    </row>
    <row r="1426" spans="1:10" x14ac:dyDescent="0.2">
      <c r="A1426" t="s">
        <v>5</v>
      </c>
      <c r="B1426" s="6" t="s">
        <v>6</v>
      </c>
    </row>
    <row r="1427" spans="1:10" x14ac:dyDescent="0.2">
      <c r="A1427" t="s">
        <v>7</v>
      </c>
      <c r="B1427" s="6" t="s">
        <v>8</v>
      </c>
    </row>
    <row r="1428" spans="1:10" x14ac:dyDescent="0.2">
      <c r="A1428" t="s">
        <v>9</v>
      </c>
      <c r="B1428" s="6" t="s">
        <v>393</v>
      </c>
    </row>
    <row r="1429" spans="1:10" x14ac:dyDescent="0.2">
      <c r="A1429" t="s">
        <v>11</v>
      </c>
      <c r="B1429" s="6" t="s">
        <v>507</v>
      </c>
    </row>
    <row r="1430" spans="1:10" ht="16" x14ac:dyDescent="0.2">
      <c r="A1430" s="1" t="s">
        <v>12</v>
      </c>
    </row>
    <row r="1431" spans="1:10" x14ac:dyDescent="0.2">
      <c r="A1431" t="s">
        <v>13</v>
      </c>
      <c r="B1431" s="6" t="s">
        <v>14</v>
      </c>
      <c r="C1431" t="s">
        <v>2</v>
      </c>
      <c r="D1431" t="s">
        <v>7</v>
      </c>
      <c r="E1431" t="s">
        <v>15</v>
      </c>
      <c r="F1431" t="s">
        <v>5</v>
      </c>
      <c r="G1431" t="s">
        <v>338</v>
      </c>
      <c r="H1431" t="s">
        <v>339</v>
      </c>
      <c r="I1431" t="s">
        <v>11</v>
      </c>
      <c r="J1431" t="s">
        <v>4</v>
      </c>
    </row>
    <row r="1432" spans="1:10" x14ac:dyDescent="0.2">
      <c r="A1432" s="35" t="s">
        <v>517</v>
      </c>
      <c r="B1432" s="36">
        <v>1</v>
      </c>
      <c r="C1432" t="s">
        <v>1035</v>
      </c>
      <c r="D1432" s="35" t="s">
        <v>8</v>
      </c>
      <c r="E1432" s="35"/>
      <c r="F1432" s="35" t="s">
        <v>17</v>
      </c>
      <c r="G1432" s="35"/>
      <c r="H1432" s="35"/>
      <c r="I1432" s="35" t="s">
        <v>18</v>
      </c>
      <c r="J1432" s="35" t="s">
        <v>337</v>
      </c>
    </row>
    <row r="1433" spans="1:10" ht="16" x14ac:dyDescent="0.2">
      <c r="A1433" s="2" t="s">
        <v>516</v>
      </c>
      <c r="B1433" s="6">
        <v>1.00057</v>
      </c>
      <c r="C1433" t="s">
        <v>1035</v>
      </c>
      <c r="D1433" t="s">
        <v>8</v>
      </c>
      <c r="F1433" s="35" t="s">
        <v>20</v>
      </c>
      <c r="G1433" t="s">
        <v>18</v>
      </c>
      <c r="I1433" s="35"/>
      <c r="J1433" s="2" t="s">
        <v>416</v>
      </c>
    </row>
    <row r="1434" spans="1:10" x14ac:dyDescent="0.2">
      <c r="A1434" s="35" t="s">
        <v>28</v>
      </c>
      <c r="B1434" s="36">
        <v>6.7000000000000002E-3</v>
      </c>
      <c r="C1434" t="s">
        <v>1036</v>
      </c>
      <c r="D1434" s="35" t="s">
        <v>29</v>
      </c>
      <c r="E1434" s="35"/>
      <c r="F1434" s="35" t="s">
        <v>20</v>
      </c>
      <c r="G1434" s="35"/>
      <c r="H1434" s="35"/>
      <c r="I1434" s="35"/>
      <c r="J1434" s="35" t="s">
        <v>30</v>
      </c>
    </row>
    <row r="1435" spans="1:10" x14ac:dyDescent="0.2">
      <c r="A1435" s="35" t="s">
        <v>340</v>
      </c>
      <c r="B1435" s="36">
        <v>-1.6799999999999999E-4</v>
      </c>
      <c r="C1435" s="35" t="s">
        <v>31</v>
      </c>
      <c r="D1435" s="35" t="s">
        <v>8</v>
      </c>
      <c r="E1435" s="35"/>
      <c r="F1435" s="35" t="s">
        <v>20</v>
      </c>
      <c r="G1435" s="35"/>
      <c r="H1435" s="35"/>
      <c r="I1435" s="35"/>
      <c r="J1435" s="35" t="s">
        <v>341</v>
      </c>
    </row>
    <row r="1436" spans="1:10" x14ac:dyDescent="0.2">
      <c r="A1436" s="35" t="s">
        <v>342</v>
      </c>
      <c r="B1436" s="36">
        <v>5.8399999999999999E-4</v>
      </c>
      <c r="C1436" s="35" t="s">
        <v>31</v>
      </c>
      <c r="D1436" s="35" t="s">
        <v>19</v>
      </c>
      <c r="E1436" s="35"/>
      <c r="F1436" s="35" t="s">
        <v>20</v>
      </c>
      <c r="G1436" s="35"/>
      <c r="H1436" s="35"/>
      <c r="I1436" s="35"/>
      <c r="J1436" s="35" t="s">
        <v>343</v>
      </c>
    </row>
    <row r="1437" spans="1:10" x14ac:dyDescent="0.2">
      <c r="A1437" s="35" t="s">
        <v>344</v>
      </c>
      <c r="B1437" s="36">
        <v>2.5999999999999998E-10</v>
      </c>
      <c r="C1437" s="35" t="s">
        <v>31</v>
      </c>
      <c r="D1437" s="35" t="s">
        <v>7</v>
      </c>
      <c r="E1437" s="35"/>
      <c r="F1437" s="35" t="s">
        <v>20</v>
      </c>
      <c r="G1437" s="35"/>
      <c r="H1437" s="35"/>
      <c r="I1437" s="35"/>
      <c r="J1437" s="35" t="s">
        <v>345</v>
      </c>
    </row>
    <row r="1438" spans="1:10" x14ac:dyDescent="0.2">
      <c r="A1438" s="35" t="s">
        <v>346</v>
      </c>
      <c r="B1438" s="36">
        <v>-6.2700000000000001E-6</v>
      </c>
      <c r="C1438" s="35" t="s">
        <v>31</v>
      </c>
      <c r="D1438" s="35" t="s">
        <v>8</v>
      </c>
      <c r="E1438" s="35"/>
      <c r="F1438" s="35" t="s">
        <v>20</v>
      </c>
      <c r="G1438" s="35"/>
      <c r="H1438" s="35"/>
      <c r="I1438" s="35"/>
      <c r="J1438" s="35" t="s">
        <v>347</v>
      </c>
    </row>
    <row r="1439" spans="1:10" x14ac:dyDescent="0.2">
      <c r="A1439" s="35" t="s">
        <v>348</v>
      </c>
      <c r="B1439" s="36">
        <v>-7.4999999999999993E-5</v>
      </c>
      <c r="C1439" s="35" t="s">
        <v>31</v>
      </c>
      <c r="D1439" s="35" t="s">
        <v>121</v>
      </c>
      <c r="E1439" s="35"/>
      <c r="F1439" s="35" t="s">
        <v>20</v>
      </c>
      <c r="G1439" s="35"/>
      <c r="H1439" s="35"/>
      <c r="I1439" s="35"/>
      <c r="J1439" s="35" t="s">
        <v>349</v>
      </c>
    </row>
    <row r="1440" spans="1:10" x14ac:dyDescent="0.2">
      <c r="A1440" s="35" t="s">
        <v>350</v>
      </c>
      <c r="B1440" s="36">
        <v>6.8900000000000005E-4</v>
      </c>
      <c r="C1440" s="35" t="s">
        <v>31</v>
      </c>
      <c r="D1440" s="35" t="s">
        <v>8</v>
      </c>
      <c r="E1440" s="35"/>
      <c r="F1440" s="35" t="s">
        <v>20</v>
      </c>
      <c r="G1440" s="35"/>
      <c r="H1440" s="35"/>
      <c r="I1440" s="35"/>
      <c r="J1440" s="35" t="s">
        <v>351</v>
      </c>
    </row>
    <row r="1441" spans="1:10" x14ac:dyDescent="0.2">
      <c r="A1441" s="35" t="s">
        <v>100</v>
      </c>
      <c r="B1441" s="36">
        <v>3.3599999999999998E-2</v>
      </c>
      <c r="C1441" s="35" t="s">
        <v>31</v>
      </c>
      <c r="D1441" s="35" t="s">
        <v>41</v>
      </c>
      <c r="E1441" s="35"/>
      <c r="F1441" s="35" t="s">
        <v>20</v>
      </c>
      <c r="G1441" s="35"/>
      <c r="H1441" s="35"/>
      <c r="I1441" s="35"/>
      <c r="J1441" s="35" t="s">
        <v>103</v>
      </c>
    </row>
    <row r="1442" spans="1:10" x14ac:dyDescent="0.2">
      <c r="A1442" s="35" t="s">
        <v>352</v>
      </c>
      <c r="B1442" s="36">
        <v>3.2599999999999997E-2</v>
      </c>
      <c r="C1442" s="35" t="s">
        <v>572</v>
      </c>
      <c r="D1442" s="35" t="s">
        <v>41</v>
      </c>
      <c r="E1442" s="35"/>
      <c r="F1442" s="35" t="s">
        <v>20</v>
      </c>
      <c r="G1442" s="35"/>
      <c r="H1442" s="35"/>
      <c r="I1442" s="35"/>
      <c r="J1442" s="35" t="s">
        <v>353</v>
      </c>
    </row>
    <row r="1443" spans="1:10" x14ac:dyDescent="0.2">
      <c r="A1443" s="35" t="s">
        <v>354</v>
      </c>
      <c r="B1443" s="36">
        <v>-6.8899999999999999E-7</v>
      </c>
      <c r="C1443" s="35" t="s">
        <v>31</v>
      </c>
      <c r="D1443" s="35" t="s">
        <v>121</v>
      </c>
      <c r="E1443" s="35"/>
      <c r="F1443" s="35" t="s">
        <v>20</v>
      </c>
      <c r="G1443" s="35"/>
      <c r="H1443" s="35"/>
      <c r="I1443" s="35"/>
      <c r="J1443" s="35" t="s">
        <v>355</v>
      </c>
    </row>
    <row r="1445" spans="1:10" ht="16" x14ac:dyDescent="0.2">
      <c r="A1445" s="1" t="s">
        <v>1</v>
      </c>
      <c r="B1445" s="71" t="s">
        <v>76</v>
      </c>
    </row>
    <row r="1446" spans="1:10" x14ac:dyDescent="0.2">
      <c r="A1446" t="s">
        <v>2</v>
      </c>
      <c r="B1446" s="6" t="s">
        <v>1035</v>
      </c>
    </row>
    <row r="1447" spans="1:10" x14ac:dyDescent="0.2">
      <c r="A1447" t="s">
        <v>3</v>
      </c>
      <c r="B1447" s="6">
        <v>1</v>
      </c>
    </row>
    <row r="1448" spans="1:10" ht="16" x14ac:dyDescent="0.2">
      <c r="A1448" t="s">
        <v>4</v>
      </c>
      <c r="B1448" s="72" t="s">
        <v>77</v>
      </c>
    </row>
    <row r="1449" spans="1:10" x14ac:dyDescent="0.2">
      <c r="A1449" t="s">
        <v>5</v>
      </c>
      <c r="B1449" s="6" t="s">
        <v>6</v>
      </c>
    </row>
    <row r="1450" spans="1:10" x14ac:dyDescent="0.2">
      <c r="A1450" t="s">
        <v>7</v>
      </c>
      <c r="B1450" s="6" t="s">
        <v>8</v>
      </c>
    </row>
    <row r="1451" spans="1:10" x14ac:dyDescent="0.2">
      <c r="A1451" t="s">
        <v>9</v>
      </c>
      <c r="B1451" s="6" t="s">
        <v>10</v>
      </c>
    </row>
    <row r="1452" spans="1:10" x14ac:dyDescent="0.2">
      <c r="A1452" t="s">
        <v>11</v>
      </c>
      <c r="B1452" s="6" t="s">
        <v>363</v>
      </c>
    </row>
    <row r="1453" spans="1:10" x14ac:dyDescent="0.2">
      <c r="A1453" t="s">
        <v>841</v>
      </c>
      <c r="B1453" s="5">
        <f>Summary!R12</f>
        <v>13.063460875088559</v>
      </c>
    </row>
    <row r="1454" spans="1:10" x14ac:dyDescent="0.2">
      <c r="A1454" t="s">
        <v>847</v>
      </c>
      <c r="B1454" s="76">
        <f>Summary!Q12</f>
        <v>0.75</v>
      </c>
    </row>
    <row r="1455" spans="1:10" ht="16" x14ac:dyDescent="0.2">
      <c r="A1455" s="1" t="s">
        <v>12</v>
      </c>
    </row>
    <row r="1456" spans="1:10" x14ac:dyDescent="0.2">
      <c r="A1456" t="s">
        <v>13</v>
      </c>
      <c r="B1456" s="6" t="s">
        <v>14</v>
      </c>
      <c r="C1456" t="s">
        <v>2</v>
      </c>
      <c r="D1456" t="s">
        <v>7</v>
      </c>
      <c r="E1456" t="s">
        <v>15</v>
      </c>
      <c r="F1456" t="s">
        <v>5</v>
      </c>
      <c r="G1456" t="s">
        <v>11</v>
      </c>
      <c r="H1456" t="s">
        <v>4</v>
      </c>
    </row>
    <row r="1457" spans="1:8" ht="16" x14ac:dyDescent="0.2">
      <c r="A1457" s="2" t="s">
        <v>76</v>
      </c>
      <c r="B1457" s="6">
        <v>1</v>
      </c>
      <c r="C1457" t="s">
        <v>1035</v>
      </c>
      <c r="D1457" t="s">
        <v>8</v>
      </c>
      <c r="F1457" t="s">
        <v>17</v>
      </c>
      <c r="G1457" t="s">
        <v>18</v>
      </c>
      <c r="H1457" s="2" t="s">
        <v>77</v>
      </c>
    </row>
    <row r="1458" spans="1:8" x14ac:dyDescent="0.2">
      <c r="A1458" t="s">
        <v>22</v>
      </c>
      <c r="B1458" s="6">
        <f>36385*Parameters!$B$3/1000</f>
        <v>3.8388208921499994E-2</v>
      </c>
      <c r="C1458" t="s">
        <v>26</v>
      </c>
      <c r="D1458" t="s">
        <v>19</v>
      </c>
      <c r="F1458" t="s">
        <v>20</v>
      </c>
      <c r="G1458" t="s">
        <v>79</v>
      </c>
      <c r="H1458" t="s">
        <v>23</v>
      </c>
    </row>
    <row r="1459" spans="1:8" x14ac:dyDescent="0.2">
      <c r="A1459" t="s">
        <v>78</v>
      </c>
      <c r="B1459" s="6">
        <f>11685*Parameters!$B$3/1000</f>
        <v>1.2328328191499999E-2</v>
      </c>
      <c r="C1459" t="s">
        <v>26</v>
      </c>
      <c r="D1459" t="s">
        <v>19</v>
      </c>
      <c r="F1459" t="s">
        <v>20</v>
      </c>
      <c r="G1459" t="s">
        <v>80</v>
      </c>
      <c r="H1459" t="s">
        <v>78</v>
      </c>
    </row>
    <row r="1460" spans="1:8" x14ac:dyDescent="0.2">
      <c r="A1460" t="s">
        <v>81</v>
      </c>
      <c r="B1460" s="6">
        <f>(20425+17955)*Parameters!$B$3/1000</f>
        <v>4.0493045441999997E-2</v>
      </c>
      <c r="C1460" t="s">
        <v>26</v>
      </c>
      <c r="D1460" t="s">
        <v>19</v>
      </c>
      <c r="F1460" t="s">
        <v>20</v>
      </c>
      <c r="G1460" t="s">
        <v>83</v>
      </c>
      <c r="H1460" t="s">
        <v>82</v>
      </c>
    </row>
    <row r="1461" spans="1:8" x14ac:dyDescent="0.2">
      <c r="A1461" t="s">
        <v>28</v>
      </c>
      <c r="B1461" s="6">
        <f>8550*Parameters!$B$3/1000/3.6</f>
        <v>2.5057577624999997E-3</v>
      </c>
      <c r="C1461" t="s">
        <v>1036</v>
      </c>
      <c r="D1461" t="s">
        <v>29</v>
      </c>
      <c r="F1461" t="s">
        <v>20</v>
      </c>
      <c r="H1461" t="s">
        <v>30</v>
      </c>
    </row>
    <row r="1462" spans="1:8" x14ac:dyDescent="0.2">
      <c r="A1462" t="s">
        <v>352</v>
      </c>
      <c r="B1462" s="6">
        <f>12*Parameters!$B$9/1000</f>
        <v>1.932E-2</v>
      </c>
      <c r="C1462" t="s">
        <v>572</v>
      </c>
      <c r="D1462" t="s">
        <v>41</v>
      </c>
      <c r="F1462" t="s">
        <v>20</v>
      </c>
      <c r="G1462" t="s">
        <v>84</v>
      </c>
      <c r="H1462" t="s">
        <v>353</v>
      </c>
    </row>
    <row r="1463" spans="1:8" x14ac:dyDescent="0.2">
      <c r="A1463" t="s">
        <v>42</v>
      </c>
      <c r="B1463" s="6">
        <f>1.0493/1000</f>
        <v>1.0493E-3</v>
      </c>
      <c r="C1463" t="s">
        <v>1036</v>
      </c>
      <c r="D1463" t="s">
        <v>8</v>
      </c>
      <c r="F1463" t="s">
        <v>20</v>
      </c>
      <c r="H1463" t="s">
        <v>43</v>
      </c>
    </row>
    <row r="1464" spans="1:8" x14ac:dyDescent="0.2">
      <c r="A1464" t="s">
        <v>44</v>
      </c>
      <c r="B1464" s="6">
        <f>0.3329/1000</f>
        <v>3.3289999999999996E-4</v>
      </c>
      <c r="C1464" t="s">
        <v>1036</v>
      </c>
      <c r="D1464" t="s">
        <v>8</v>
      </c>
      <c r="F1464" t="s">
        <v>20</v>
      </c>
      <c r="H1464" t="s">
        <v>45</v>
      </c>
    </row>
    <row r="1465" spans="1:8" x14ac:dyDescent="0.2">
      <c r="A1465" t="s">
        <v>46</v>
      </c>
      <c r="B1465" s="6">
        <f>1.7056/1000</f>
        <v>1.7056E-3</v>
      </c>
      <c r="C1465" t="s">
        <v>1036</v>
      </c>
      <c r="D1465" t="s">
        <v>8</v>
      </c>
      <c r="F1465" t="s">
        <v>20</v>
      </c>
      <c r="H1465" t="s">
        <v>47</v>
      </c>
    </row>
    <row r="1466" spans="1:8" ht="16" x14ac:dyDescent="0.2">
      <c r="A1466" s="7" t="s">
        <v>48</v>
      </c>
      <c r="B1466" s="6">
        <f>5.2/1000</f>
        <v>5.1999999999999998E-3</v>
      </c>
      <c r="C1466" t="s">
        <v>26</v>
      </c>
      <c r="D1466" t="s">
        <v>8</v>
      </c>
      <c r="F1466" t="s">
        <v>20</v>
      </c>
      <c r="H1466" s="7" t="s">
        <v>49</v>
      </c>
    </row>
    <row r="1467" spans="1:8" x14ac:dyDescent="0.2">
      <c r="A1467" t="s">
        <v>105</v>
      </c>
      <c r="B1467" s="6">
        <f>2.5*1.14/1000/1000</f>
        <v>2.8499999999999998E-6</v>
      </c>
      <c r="C1467" t="s">
        <v>26</v>
      </c>
      <c r="D1467" t="s">
        <v>8</v>
      </c>
      <c r="F1467" t="s">
        <v>20</v>
      </c>
      <c r="G1467" t="s">
        <v>52</v>
      </c>
      <c r="H1467" t="s">
        <v>106</v>
      </c>
    </row>
    <row r="1468" spans="1:8" x14ac:dyDescent="0.2">
      <c r="A1468" t="s">
        <v>50</v>
      </c>
      <c r="B1468" s="6">
        <f>45*1.14/1000/1000</f>
        <v>5.13E-5</v>
      </c>
      <c r="C1468" t="s">
        <v>26</v>
      </c>
      <c r="D1468" t="s">
        <v>8</v>
      </c>
      <c r="F1468" t="s">
        <v>20</v>
      </c>
      <c r="G1468" t="s">
        <v>51</v>
      </c>
      <c r="H1468" t="s">
        <v>53</v>
      </c>
    </row>
    <row r="1469" spans="1:8" x14ac:dyDescent="0.2">
      <c r="A1469" t="s">
        <v>54</v>
      </c>
      <c r="B1469" s="6">
        <f>0.744/1000*Parameters!$B$8</f>
        <v>3.3747839999999997E-4</v>
      </c>
      <c r="C1469" t="s">
        <v>26</v>
      </c>
      <c r="D1469" t="s">
        <v>8</v>
      </c>
      <c r="F1469" t="s">
        <v>20</v>
      </c>
      <c r="G1469" t="s">
        <v>56</v>
      </c>
      <c r="H1469" t="s">
        <v>55</v>
      </c>
    </row>
    <row r="1470" spans="1:8" x14ac:dyDescent="0.2">
      <c r="A1470" t="s">
        <v>120</v>
      </c>
      <c r="B1470" s="6">
        <v>4.2599999999999999E-2</v>
      </c>
      <c r="C1470" t="s">
        <v>1036</v>
      </c>
      <c r="D1470" t="s">
        <v>121</v>
      </c>
      <c r="F1470" t="s">
        <v>20</v>
      </c>
      <c r="G1470" t="s">
        <v>125</v>
      </c>
      <c r="H1470" t="s">
        <v>122</v>
      </c>
    </row>
    <row r="1471" spans="1:8" x14ac:dyDescent="0.2">
      <c r="A1471" t="s">
        <v>325</v>
      </c>
      <c r="B1471" s="6">
        <f>(0.808+1.126)/1000</f>
        <v>1.934E-3</v>
      </c>
      <c r="D1471" t="s">
        <v>8</v>
      </c>
      <c r="E1471" t="s">
        <v>37</v>
      </c>
      <c r="F1471" t="s">
        <v>36</v>
      </c>
      <c r="G1471" t="s">
        <v>992</v>
      </c>
    </row>
    <row r="1472" spans="1:8" x14ac:dyDescent="0.2">
      <c r="A1472" t="s">
        <v>981</v>
      </c>
      <c r="B1472" s="6">
        <f>29.38/1000000</f>
        <v>2.938E-5</v>
      </c>
      <c r="D1472" t="s">
        <v>8</v>
      </c>
      <c r="E1472" t="s">
        <v>37</v>
      </c>
      <c r="F1472" t="s">
        <v>36</v>
      </c>
      <c r="G1472" t="s">
        <v>993</v>
      </c>
    </row>
    <row r="1473" spans="1:7" x14ac:dyDescent="0.2">
      <c r="A1473" t="s">
        <v>40</v>
      </c>
      <c r="B1473" s="6">
        <f>33.748/1000000</f>
        <v>3.3747999999999996E-5</v>
      </c>
      <c r="D1473" t="s">
        <v>8</v>
      </c>
      <c r="E1473" t="s">
        <v>37</v>
      </c>
      <c r="F1473" t="s">
        <v>36</v>
      </c>
      <c r="G1473" t="s">
        <v>994</v>
      </c>
    </row>
    <row r="1474" spans="1:7" x14ac:dyDescent="0.2">
      <c r="A1474" t="s">
        <v>158</v>
      </c>
      <c r="B1474" s="6">
        <v>2.3126999999999999E-6</v>
      </c>
      <c r="D1474" t="s">
        <v>8</v>
      </c>
      <c r="E1474" t="s">
        <v>170</v>
      </c>
      <c r="F1474" t="s">
        <v>36</v>
      </c>
      <c r="G1474" t="s">
        <v>365</v>
      </c>
    </row>
    <row r="1475" spans="1:7" x14ac:dyDescent="0.2">
      <c r="A1475" t="s">
        <v>189</v>
      </c>
      <c r="B1475" s="6">
        <v>3.5645999999999997E-5</v>
      </c>
      <c r="D1475" t="s">
        <v>8</v>
      </c>
      <c r="E1475" t="s">
        <v>170</v>
      </c>
      <c r="F1475" t="s">
        <v>36</v>
      </c>
      <c r="G1475" t="s">
        <v>365</v>
      </c>
    </row>
    <row r="1476" spans="1:7" x14ac:dyDescent="0.2">
      <c r="A1476" t="s">
        <v>127</v>
      </c>
      <c r="B1476" s="6">
        <v>2.48605E-4</v>
      </c>
      <c r="D1476" t="s">
        <v>8</v>
      </c>
      <c r="E1476" t="s">
        <v>169</v>
      </c>
      <c r="F1476" t="s">
        <v>36</v>
      </c>
      <c r="G1476" t="s">
        <v>365</v>
      </c>
    </row>
    <row r="1477" spans="1:7" x14ac:dyDescent="0.2">
      <c r="A1477" t="s">
        <v>190</v>
      </c>
      <c r="B1477" s="6">
        <v>2.5372999999999998E-6</v>
      </c>
      <c r="D1477" t="s">
        <v>8</v>
      </c>
      <c r="E1477" t="s">
        <v>170</v>
      </c>
      <c r="F1477" t="s">
        <v>36</v>
      </c>
      <c r="G1477" t="s">
        <v>365</v>
      </c>
    </row>
    <row r="1478" spans="1:7" x14ac:dyDescent="0.2">
      <c r="A1478" t="s">
        <v>150</v>
      </c>
      <c r="B1478" s="6">
        <v>9.3513999999999999E-6</v>
      </c>
      <c r="D1478" t="s">
        <v>8</v>
      </c>
      <c r="E1478" t="s">
        <v>170</v>
      </c>
      <c r="F1478" t="s">
        <v>36</v>
      </c>
      <c r="G1478" t="s">
        <v>365</v>
      </c>
    </row>
    <row r="1479" spans="1:7" x14ac:dyDescent="0.2">
      <c r="A1479" t="s">
        <v>148</v>
      </c>
      <c r="B1479" s="6">
        <v>2.8088E-8</v>
      </c>
      <c r="D1479" t="s">
        <v>8</v>
      </c>
      <c r="E1479" t="s">
        <v>170</v>
      </c>
      <c r="F1479" t="s">
        <v>36</v>
      </c>
      <c r="G1479" t="s">
        <v>365</v>
      </c>
    </row>
    <row r="1480" spans="1:7" x14ac:dyDescent="0.2">
      <c r="A1480" t="s">
        <v>265</v>
      </c>
      <c r="B1480" s="6">
        <v>7.1538421000000005E-2</v>
      </c>
      <c r="D1480" t="s">
        <v>8</v>
      </c>
      <c r="E1480" t="s">
        <v>169</v>
      </c>
      <c r="F1480" t="s">
        <v>36</v>
      </c>
      <c r="G1480" t="s">
        <v>365</v>
      </c>
    </row>
    <row r="1481" spans="1:7" x14ac:dyDescent="0.2">
      <c r="A1481" t="s">
        <v>1031</v>
      </c>
      <c r="B1481" s="6">
        <v>0.44</v>
      </c>
      <c r="D1481" t="s">
        <v>8</v>
      </c>
      <c r="E1481" t="s">
        <v>1032</v>
      </c>
      <c r="F1481" t="s">
        <v>36</v>
      </c>
      <c r="G1481" t="s">
        <v>477</v>
      </c>
    </row>
    <row r="1482" spans="1:7" x14ac:dyDescent="0.2">
      <c r="A1482" t="s">
        <v>191</v>
      </c>
      <c r="B1482" s="6">
        <v>0.03</v>
      </c>
      <c r="D1482" t="s">
        <v>8</v>
      </c>
      <c r="E1482" t="s">
        <v>197</v>
      </c>
      <c r="F1482" t="s">
        <v>36</v>
      </c>
      <c r="G1482" t="s">
        <v>365</v>
      </c>
    </row>
    <row r="1483" spans="1:7" x14ac:dyDescent="0.2">
      <c r="A1483" t="s">
        <v>145</v>
      </c>
      <c r="B1483" s="6">
        <v>2.1009E-7</v>
      </c>
      <c r="D1483" t="s">
        <v>8</v>
      </c>
      <c r="E1483" t="s">
        <v>170</v>
      </c>
      <c r="F1483" t="s">
        <v>36</v>
      </c>
      <c r="G1483" t="s">
        <v>365</v>
      </c>
    </row>
    <row r="1484" spans="1:7" x14ac:dyDescent="0.2">
      <c r="A1484" t="s">
        <v>132</v>
      </c>
      <c r="B1484" s="6">
        <v>1.3009E-7</v>
      </c>
      <c r="D1484" t="s">
        <v>8</v>
      </c>
      <c r="E1484" t="s">
        <v>170</v>
      </c>
      <c r="F1484" t="s">
        <v>36</v>
      </c>
      <c r="G1484" t="s">
        <v>365</v>
      </c>
    </row>
    <row r="1485" spans="1:7" x14ac:dyDescent="0.2">
      <c r="A1485" t="s">
        <v>108</v>
      </c>
      <c r="B1485" s="6">
        <v>4.9478001594543501</v>
      </c>
      <c r="D1485" t="s">
        <v>19</v>
      </c>
      <c r="E1485" t="s">
        <v>112</v>
      </c>
      <c r="F1485" t="s">
        <v>36</v>
      </c>
      <c r="G1485" t="s">
        <v>365</v>
      </c>
    </row>
    <row r="1486" spans="1:7" x14ac:dyDescent="0.2">
      <c r="A1486" t="s">
        <v>155</v>
      </c>
      <c r="B1486" s="6">
        <v>3.3181999999999998E-6</v>
      </c>
      <c r="D1486" t="s">
        <v>8</v>
      </c>
      <c r="E1486" t="s">
        <v>170</v>
      </c>
      <c r="F1486" t="s">
        <v>36</v>
      </c>
      <c r="G1486" t="s">
        <v>365</v>
      </c>
    </row>
    <row r="1487" spans="1:7" x14ac:dyDescent="0.2">
      <c r="A1487" t="s">
        <v>168</v>
      </c>
      <c r="B1487" s="6">
        <v>2.1526999999999999E-7</v>
      </c>
      <c r="D1487" t="s">
        <v>8</v>
      </c>
      <c r="E1487" t="s">
        <v>170</v>
      </c>
      <c r="F1487" t="s">
        <v>36</v>
      </c>
      <c r="G1487" t="s">
        <v>365</v>
      </c>
    </row>
    <row r="1488" spans="1:7" x14ac:dyDescent="0.2">
      <c r="A1488" t="s">
        <v>192</v>
      </c>
      <c r="B1488" s="6">
        <v>7.7928999999999995E-6</v>
      </c>
      <c r="D1488" t="s">
        <v>8</v>
      </c>
      <c r="E1488" t="s">
        <v>170</v>
      </c>
      <c r="F1488" t="s">
        <v>36</v>
      </c>
      <c r="G1488" t="s">
        <v>365</v>
      </c>
    </row>
    <row r="1489" spans="1:7" x14ac:dyDescent="0.2">
      <c r="A1489" t="s">
        <v>193</v>
      </c>
      <c r="B1489" s="6">
        <v>2.8600000000000001E-4</v>
      </c>
      <c r="D1489" t="s">
        <v>8</v>
      </c>
      <c r="E1489" t="s">
        <v>197</v>
      </c>
      <c r="F1489" t="s">
        <v>36</v>
      </c>
      <c r="G1489" t="s">
        <v>365</v>
      </c>
    </row>
    <row r="1490" spans="1:7" x14ac:dyDescent="0.2">
      <c r="A1490" t="s">
        <v>138</v>
      </c>
      <c r="B1490" s="6">
        <v>1.0490000000000001E-7</v>
      </c>
      <c r="D1490" t="s">
        <v>8</v>
      </c>
      <c r="E1490" t="s">
        <v>170</v>
      </c>
      <c r="F1490" t="s">
        <v>36</v>
      </c>
      <c r="G1490" t="s">
        <v>365</v>
      </c>
    </row>
    <row r="1491" spans="1:7" x14ac:dyDescent="0.2">
      <c r="A1491" t="s">
        <v>172</v>
      </c>
      <c r="B1491" s="6">
        <v>1.7521259999999999E-3</v>
      </c>
      <c r="D1491" t="s">
        <v>8</v>
      </c>
      <c r="E1491" t="s">
        <v>179</v>
      </c>
      <c r="F1491" t="s">
        <v>36</v>
      </c>
      <c r="G1491" t="s">
        <v>365</v>
      </c>
    </row>
    <row r="1492" spans="1:7" x14ac:dyDescent="0.2">
      <c r="A1492" t="s">
        <v>38</v>
      </c>
      <c r="B1492" s="6">
        <v>4.4222639999999998E-6</v>
      </c>
      <c r="D1492" t="s">
        <v>8</v>
      </c>
      <c r="E1492" t="s">
        <v>169</v>
      </c>
      <c r="F1492" t="s">
        <v>36</v>
      </c>
      <c r="G1492" t="s">
        <v>365</v>
      </c>
    </row>
    <row r="1493" spans="1:7" x14ac:dyDescent="0.2">
      <c r="A1493" t="s">
        <v>194</v>
      </c>
      <c r="B1493" s="6">
        <v>0.13575000000000001</v>
      </c>
      <c r="D1493" t="s">
        <v>113</v>
      </c>
      <c r="E1493" t="s">
        <v>114</v>
      </c>
      <c r="F1493" t="s">
        <v>36</v>
      </c>
      <c r="G1493" t="s">
        <v>365</v>
      </c>
    </row>
    <row r="1494" spans="1:7" x14ac:dyDescent="0.2">
      <c r="A1494" t="s">
        <v>39</v>
      </c>
      <c r="B1494" s="6">
        <v>3.0000000000000001E-3</v>
      </c>
      <c r="D1494" t="s">
        <v>8</v>
      </c>
      <c r="E1494" t="s">
        <v>197</v>
      </c>
      <c r="F1494" t="s">
        <v>36</v>
      </c>
      <c r="G1494" t="s">
        <v>365</v>
      </c>
    </row>
    <row r="1495" spans="1:7" x14ac:dyDescent="0.2">
      <c r="A1495" t="s">
        <v>173</v>
      </c>
      <c r="B1495" s="6">
        <v>3.0072000000000002E-6</v>
      </c>
      <c r="D1495" t="s">
        <v>8</v>
      </c>
      <c r="E1495" t="s">
        <v>171</v>
      </c>
      <c r="F1495" t="s">
        <v>36</v>
      </c>
      <c r="G1495" t="s">
        <v>365</v>
      </c>
    </row>
    <row r="1496" spans="1:7" x14ac:dyDescent="0.2">
      <c r="A1496" t="s">
        <v>173</v>
      </c>
      <c r="B1496" s="6">
        <v>1.0557999999999999E-6</v>
      </c>
      <c r="D1496" t="s">
        <v>8</v>
      </c>
      <c r="E1496" t="s">
        <v>179</v>
      </c>
      <c r="F1496" t="s">
        <v>36</v>
      </c>
      <c r="G1496" t="s">
        <v>365</v>
      </c>
    </row>
    <row r="1497" spans="1:7" x14ac:dyDescent="0.2">
      <c r="A1497" t="s">
        <v>195</v>
      </c>
      <c r="B1497" s="6">
        <v>0.15082999999999999</v>
      </c>
      <c r="D1497" t="s">
        <v>115</v>
      </c>
      <c r="E1497" t="s">
        <v>114</v>
      </c>
      <c r="F1497" t="s">
        <v>36</v>
      </c>
      <c r="G1497" t="s">
        <v>365</v>
      </c>
    </row>
    <row r="1498" spans="1:7" x14ac:dyDescent="0.2">
      <c r="A1498" t="s">
        <v>196</v>
      </c>
      <c r="B1498" s="6">
        <v>0.15082999999999999</v>
      </c>
      <c r="D1498" t="s">
        <v>115</v>
      </c>
      <c r="E1498" t="s">
        <v>114</v>
      </c>
      <c r="F1498" t="s">
        <v>36</v>
      </c>
      <c r="G1498" t="s">
        <v>365</v>
      </c>
    </row>
    <row r="1499" spans="1:7" x14ac:dyDescent="0.2">
      <c r="A1499" t="s">
        <v>126</v>
      </c>
      <c r="B1499" s="6">
        <v>1.40841069805568E-2</v>
      </c>
      <c r="D1499" t="s">
        <v>121</v>
      </c>
      <c r="E1499" t="s">
        <v>179</v>
      </c>
      <c r="F1499" t="s">
        <v>36</v>
      </c>
      <c r="G1499" t="s">
        <v>365</v>
      </c>
    </row>
    <row r="1500" spans="1:7" x14ac:dyDescent="0.2">
      <c r="A1500" t="s">
        <v>126</v>
      </c>
      <c r="B1500" s="6">
        <v>2.5020866274303999E-2</v>
      </c>
      <c r="D1500" t="s">
        <v>121</v>
      </c>
      <c r="E1500" t="s">
        <v>37</v>
      </c>
      <c r="F1500" t="s">
        <v>36</v>
      </c>
      <c r="G1500" t="s">
        <v>365</v>
      </c>
    </row>
    <row r="1501" spans="1:7" x14ac:dyDescent="0.2">
      <c r="A1501" t="s">
        <v>126</v>
      </c>
      <c r="B1501" s="6">
        <v>3.5210267451392099E-3</v>
      </c>
      <c r="D1501" t="s">
        <v>121</v>
      </c>
      <c r="E1501" t="s">
        <v>171</v>
      </c>
      <c r="F1501" t="s">
        <v>36</v>
      </c>
      <c r="G1501" t="s">
        <v>365</v>
      </c>
    </row>
    <row r="1502" spans="1:7" x14ac:dyDescent="0.2">
      <c r="A1502" t="s">
        <v>142</v>
      </c>
      <c r="B1502" s="6">
        <v>2.1604999999999999E-6</v>
      </c>
      <c r="D1502" t="s">
        <v>8</v>
      </c>
      <c r="E1502" t="s">
        <v>170</v>
      </c>
      <c r="F1502" t="s">
        <v>36</v>
      </c>
      <c r="G1502" t="s">
        <v>365</v>
      </c>
    </row>
    <row r="1504" spans="1:7" ht="16" x14ac:dyDescent="0.2">
      <c r="A1504" s="1" t="s">
        <v>1</v>
      </c>
      <c r="B1504" s="71" t="s">
        <v>287</v>
      </c>
    </row>
    <row r="1505" spans="1:8" x14ac:dyDescent="0.2">
      <c r="A1505" t="s">
        <v>2</v>
      </c>
      <c r="B1505" s="6" t="s">
        <v>1035</v>
      </c>
    </row>
    <row r="1506" spans="1:8" x14ac:dyDescent="0.2">
      <c r="A1506" t="s">
        <v>3</v>
      </c>
      <c r="B1506" s="6">
        <v>1</v>
      </c>
    </row>
    <row r="1507" spans="1:8" ht="16" x14ac:dyDescent="0.2">
      <c r="A1507" t="s">
        <v>4</v>
      </c>
      <c r="B1507" s="72" t="s">
        <v>286</v>
      </c>
    </row>
    <row r="1508" spans="1:8" x14ac:dyDescent="0.2">
      <c r="A1508" t="s">
        <v>5</v>
      </c>
      <c r="B1508" s="6" t="s">
        <v>6</v>
      </c>
    </row>
    <row r="1509" spans="1:8" x14ac:dyDescent="0.2">
      <c r="A1509" t="s">
        <v>7</v>
      </c>
      <c r="B1509" s="6" t="s">
        <v>8</v>
      </c>
    </row>
    <row r="1510" spans="1:8" x14ac:dyDescent="0.2">
      <c r="A1510" t="s">
        <v>9</v>
      </c>
      <c r="B1510" s="6" t="s">
        <v>10</v>
      </c>
    </row>
    <row r="1511" spans="1:8" x14ac:dyDescent="0.2">
      <c r="A1511" t="s">
        <v>11</v>
      </c>
      <c r="B1511" s="6" t="s">
        <v>230</v>
      </c>
    </row>
    <row r="1512" spans="1:8" x14ac:dyDescent="0.2">
      <c r="A1512" t="s">
        <v>497</v>
      </c>
      <c r="B1512" s="70">
        <f>Summary!O109</f>
        <v>3.2896251826874732</v>
      </c>
    </row>
    <row r="1513" spans="1:8" ht="16" x14ac:dyDescent="0.2">
      <c r="A1513" s="1" t="s">
        <v>12</v>
      </c>
    </row>
    <row r="1514" spans="1:8" x14ac:dyDescent="0.2">
      <c r="A1514" t="s">
        <v>13</v>
      </c>
      <c r="B1514" s="6" t="s">
        <v>14</v>
      </c>
      <c r="C1514" t="s">
        <v>2</v>
      </c>
      <c r="D1514" t="s">
        <v>7</v>
      </c>
      <c r="E1514" t="s">
        <v>15</v>
      </c>
      <c r="F1514" t="s">
        <v>5</v>
      </c>
      <c r="G1514" t="s">
        <v>11</v>
      </c>
      <c r="H1514" t="s">
        <v>4</v>
      </c>
    </row>
    <row r="1515" spans="1:8" ht="16" x14ac:dyDescent="0.2">
      <c r="A1515" s="2" t="s">
        <v>287</v>
      </c>
      <c r="B1515" s="6">
        <v>1</v>
      </c>
      <c r="C1515" t="s">
        <v>1035</v>
      </c>
      <c r="D1515" t="s">
        <v>8</v>
      </c>
      <c r="F1515" t="s">
        <v>17</v>
      </c>
      <c r="G1515" t="s">
        <v>18</v>
      </c>
      <c r="H1515" s="2" t="s">
        <v>286</v>
      </c>
    </row>
    <row r="1516" spans="1:8" ht="16" x14ac:dyDescent="0.2">
      <c r="A1516" s="2" t="s">
        <v>76</v>
      </c>
      <c r="B1516" s="6">
        <f>(1/((Parameters!$C$42*Parameters!$B$4*Parameters!$B$12)/1000))*Parameters!$F$50*(1-B1454)</f>
        <v>2.7644693176628423</v>
      </c>
      <c r="C1516" t="s">
        <v>1035</v>
      </c>
      <c r="D1516" t="s">
        <v>8</v>
      </c>
      <c r="F1516" t="s">
        <v>20</v>
      </c>
      <c r="G1516" t="s">
        <v>18</v>
      </c>
      <c r="H1516" s="2" t="s">
        <v>409</v>
      </c>
    </row>
    <row r="1517" spans="1:8" ht="16" x14ac:dyDescent="0.2">
      <c r="A1517" s="2" t="s">
        <v>221</v>
      </c>
      <c r="B1517" s="6">
        <f>(300*Parameters!$B$3)/(Parameters!$B$4*Parameters!$B$12)*Parameters!$F$50</f>
        <v>7.4900076970727938E-2</v>
      </c>
      <c r="C1517" t="s">
        <v>26</v>
      </c>
      <c r="D1517" t="s">
        <v>19</v>
      </c>
      <c r="F1517" t="s">
        <v>20</v>
      </c>
      <c r="G1517" t="s">
        <v>412</v>
      </c>
      <c r="H1517" s="2" t="s">
        <v>222</v>
      </c>
    </row>
    <row r="1518" spans="1:8" x14ac:dyDescent="0.2">
      <c r="A1518" t="s">
        <v>214</v>
      </c>
      <c r="B1518" s="6">
        <f>((41.1/1000)/(Parameters!$B$4*Parameters!$B$12))*Parameters!$F$50</f>
        <v>9.7258453746287086E-3</v>
      </c>
      <c r="C1518" t="s">
        <v>31</v>
      </c>
      <c r="D1518" t="s">
        <v>8</v>
      </c>
      <c r="F1518" t="s">
        <v>20</v>
      </c>
      <c r="G1518" t="s">
        <v>413</v>
      </c>
      <c r="H1518" t="s">
        <v>215</v>
      </c>
    </row>
    <row r="1519" spans="1:8" x14ac:dyDescent="0.2">
      <c r="A1519" t="s">
        <v>265</v>
      </c>
      <c r="B1519" s="6">
        <f>(B1481*B1516)-Parameters!$B$15</f>
        <v>-0.69763350022834936</v>
      </c>
      <c r="D1519" t="s">
        <v>8</v>
      </c>
      <c r="E1519" t="s">
        <v>37</v>
      </c>
      <c r="F1519" t="s">
        <v>36</v>
      </c>
      <c r="G1519" t="s">
        <v>428</v>
      </c>
    </row>
    <row r="1520" spans="1:8" x14ac:dyDescent="0.2">
      <c r="A1520" t="s">
        <v>306</v>
      </c>
      <c r="B1520" s="6">
        <f>1/(90000000*20)</f>
        <v>5.5555555555555553E-10</v>
      </c>
      <c r="C1520" t="s">
        <v>26</v>
      </c>
      <c r="D1520" t="s">
        <v>7</v>
      </c>
      <c r="F1520" t="s">
        <v>20</v>
      </c>
      <c r="G1520" t="s">
        <v>308</v>
      </c>
      <c r="H1520" t="s">
        <v>307</v>
      </c>
    </row>
    <row r="1521" spans="1:8" ht="16" x14ac:dyDescent="0.2">
      <c r="A1521" s="2"/>
      <c r="H1521" s="2"/>
    </row>
    <row r="1522" spans="1:8" ht="16" x14ac:dyDescent="0.2">
      <c r="A1522" s="1" t="s">
        <v>1</v>
      </c>
      <c r="B1522" s="71" t="s">
        <v>301</v>
      </c>
    </row>
    <row r="1523" spans="1:8" x14ac:dyDescent="0.2">
      <c r="A1523" t="s">
        <v>2</v>
      </c>
      <c r="B1523" s="6" t="s">
        <v>1035</v>
      </c>
    </row>
    <row r="1524" spans="1:8" x14ac:dyDescent="0.2">
      <c r="A1524" t="s">
        <v>3</v>
      </c>
      <c r="B1524" s="6">
        <v>1</v>
      </c>
    </row>
    <row r="1525" spans="1:8" ht="16" x14ac:dyDescent="0.2">
      <c r="A1525" t="s">
        <v>4</v>
      </c>
      <c r="B1525" s="72" t="s">
        <v>286</v>
      </c>
    </row>
    <row r="1526" spans="1:8" x14ac:dyDescent="0.2">
      <c r="A1526" t="s">
        <v>5</v>
      </c>
      <c r="B1526" s="6" t="s">
        <v>6</v>
      </c>
    </row>
    <row r="1527" spans="1:8" x14ac:dyDescent="0.2">
      <c r="A1527" t="s">
        <v>7</v>
      </c>
      <c r="B1527" s="6" t="s">
        <v>8</v>
      </c>
    </row>
    <row r="1528" spans="1:8" x14ac:dyDescent="0.2">
      <c r="A1528" t="s">
        <v>9</v>
      </c>
      <c r="B1528" s="6" t="s">
        <v>10</v>
      </c>
    </row>
    <row r="1529" spans="1:8" x14ac:dyDescent="0.2">
      <c r="A1529" t="s">
        <v>11</v>
      </c>
      <c r="B1529" s="6" t="s">
        <v>373</v>
      </c>
    </row>
    <row r="1530" spans="1:8" x14ac:dyDescent="0.2">
      <c r="A1530" t="s">
        <v>497</v>
      </c>
      <c r="B1530" s="70">
        <f>Summary!O40</f>
        <v>0.69141916014187699</v>
      </c>
    </row>
    <row r="1531" spans="1:8" ht="16" x14ac:dyDescent="0.2">
      <c r="A1531" s="1" t="s">
        <v>12</v>
      </c>
    </row>
    <row r="1532" spans="1:8" x14ac:dyDescent="0.2">
      <c r="A1532" t="s">
        <v>13</v>
      </c>
      <c r="B1532" s="6" t="s">
        <v>14</v>
      </c>
      <c r="C1532" t="s">
        <v>2</v>
      </c>
      <c r="D1532" t="s">
        <v>7</v>
      </c>
      <c r="E1532" t="s">
        <v>15</v>
      </c>
      <c r="F1532" t="s">
        <v>5</v>
      </c>
      <c r="G1532" t="s">
        <v>11</v>
      </c>
      <c r="H1532" t="s">
        <v>4</v>
      </c>
    </row>
    <row r="1533" spans="1:8" ht="16" x14ac:dyDescent="0.2">
      <c r="A1533" s="2" t="s">
        <v>301</v>
      </c>
      <c r="B1533" s="6">
        <v>1</v>
      </c>
      <c r="C1533" t="s">
        <v>1035</v>
      </c>
      <c r="D1533" t="s">
        <v>8</v>
      </c>
      <c r="F1533" t="s">
        <v>17</v>
      </c>
      <c r="G1533" t="s">
        <v>18</v>
      </c>
      <c r="H1533" s="2" t="s">
        <v>286</v>
      </c>
    </row>
    <row r="1534" spans="1:8" ht="16" x14ac:dyDescent="0.2">
      <c r="A1534" s="2" t="s">
        <v>76</v>
      </c>
      <c r="B1534" s="6">
        <f>(1/((Parameters!$C$42*Parameters!$B$4*Parameters!$B$12)/1000))*Parameters!$G$50*(1-B1454)</f>
        <v>3.288189136342587</v>
      </c>
      <c r="C1534" t="s">
        <v>1035</v>
      </c>
      <c r="D1534" t="s">
        <v>8</v>
      </c>
      <c r="F1534" t="s">
        <v>20</v>
      </c>
      <c r="G1534" t="s">
        <v>18</v>
      </c>
      <c r="H1534" s="2" t="s">
        <v>409</v>
      </c>
    </row>
    <row r="1535" spans="1:8" ht="16" x14ac:dyDescent="0.2">
      <c r="A1535" s="2" t="s">
        <v>221</v>
      </c>
      <c r="B1535" s="6">
        <f>(300*Parameters!$B$3)/(Parameters!$B$4*Parameters!$B$12)*Parameters!$G$50</f>
        <v>8.9089655592411415E-2</v>
      </c>
      <c r="C1535" t="s">
        <v>26</v>
      </c>
      <c r="D1535" t="s">
        <v>19</v>
      </c>
      <c r="F1535" t="s">
        <v>20</v>
      </c>
      <c r="G1535" t="s">
        <v>412</v>
      </c>
      <c r="H1535" s="2" t="s">
        <v>222</v>
      </c>
    </row>
    <row r="1536" spans="1:8" x14ac:dyDescent="0.2">
      <c r="A1536" t="s">
        <v>214</v>
      </c>
      <c r="B1536" s="6">
        <f>((41.1/1000)/(Parameters!$B$4*Parameters!$B$12))*Parameters!$G$50</f>
        <v>1.1568375491915039E-2</v>
      </c>
      <c r="C1536" t="s">
        <v>31</v>
      </c>
      <c r="D1536" t="s">
        <v>8</v>
      </c>
      <c r="F1536" t="s">
        <v>20</v>
      </c>
      <c r="G1536" t="s">
        <v>413</v>
      </c>
      <c r="H1536" t="s">
        <v>215</v>
      </c>
    </row>
    <row r="1537" spans="1:8" x14ac:dyDescent="0.2">
      <c r="A1537" t="s">
        <v>265</v>
      </c>
      <c r="B1537" s="6">
        <f>(B1481*B1534)-Parameters!$B$15</f>
        <v>-0.46719678000926157</v>
      </c>
      <c r="D1537" t="s">
        <v>8</v>
      </c>
      <c r="E1537" t="s">
        <v>37</v>
      </c>
      <c r="F1537" t="s">
        <v>36</v>
      </c>
      <c r="G1537" t="s">
        <v>428</v>
      </c>
    </row>
    <row r="1538" spans="1:8" x14ac:dyDescent="0.2">
      <c r="A1538" t="s">
        <v>306</v>
      </c>
      <c r="B1538" s="6">
        <f>1/(90000000*20)</f>
        <v>5.5555555555555553E-10</v>
      </c>
      <c r="C1538" t="s">
        <v>26</v>
      </c>
      <c r="D1538" t="s">
        <v>7</v>
      </c>
      <c r="F1538" t="s">
        <v>20</v>
      </c>
      <c r="G1538" t="s">
        <v>308</v>
      </c>
      <c r="H1538" t="s">
        <v>307</v>
      </c>
    </row>
    <row r="1539" spans="1:8" ht="16" x14ac:dyDescent="0.2">
      <c r="A1539" s="2"/>
      <c r="H1539" s="2"/>
    </row>
    <row r="1540" spans="1:8" ht="16" x14ac:dyDescent="0.2">
      <c r="A1540" s="1" t="s">
        <v>1</v>
      </c>
      <c r="B1540" s="71" t="s">
        <v>518</v>
      </c>
    </row>
    <row r="1541" spans="1:8" x14ac:dyDescent="0.2">
      <c r="A1541" t="s">
        <v>2</v>
      </c>
      <c r="B1541" s="6" t="s">
        <v>1035</v>
      </c>
    </row>
    <row r="1542" spans="1:8" x14ac:dyDescent="0.2">
      <c r="A1542" t="s">
        <v>3</v>
      </c>
      <c r="B1542" s="6">
        <v>1</v>
      </c>
    </row>
    <row r="1543" spans="1:8" ht="16" x14ac:dyDescent="0.2">
      <c r="A1543" t="s">
        <v>4</v>
      </c>
      <c r="B1543" s="72" t="s">
        <v>286</v>
      </c>
    </row>
    <row r="1544" spans="1:8" x14ac:dyDescent="0.2">
      <c r="A1544" t="s">
        <v>5</v>
      </c>
      <c r="B1544" s="6" t="s">
        <v>6</v>
      </c>
    </row>
    <row r="1545" spans="1:8" x14ac:dyDescent="0.2">
      <c r="A1545" t="s">
        <v>7</v>
      </c>
      <c r="B1545" s="6" t="s">
        <v>8</v>
      </c>
    </row>
    <row r="1546" spans="1:8" x14ac:dyDescent="0.2">
      <c r="A1546" t="s">
        <v>9</v>
      </c>
      <c r="B1546" s="6" t="s">
        <v>10</v>
      </c>
    </row>
    <row r="1547" spans="1:8" x14ac:dyDescent="0.2">
      <c r="A1547" t="s">
        <v>11</v>
      </c>
      <c r="B1547" s="6" t="s">
        <v>504</v>
      </c>
    </row>
    <row r="1548" spans="1:8" x14ac:dyDescent="0.2">
      <c r="A1548" t="s">
        <v>497</v>
      </c>
      <c r="B1548" s="70">
        <f>Summary!O147</f>
        <v>2.324742436754466</v>
      </c>
    </row>
    <row r="1549" spans="1:8" ht="16" x14ac:dyDescent="0.2">
      <c r="A1549" s="1" t="s">
        <v>12</v>
      </c>
    </row>
    <row r="1550" spans="1:8" x14ac:dyDescent="0.2">
      <c r="A1550" t="s">
        <v>13</v>
      </c>
      <c r="B1550" s="6" t="s">
        <v>14</v>
      </c>
      <c r="C1550" t="s">
        <v>2</v>
      </c>
      <c r="D1550" t="s">
        <v>7</v>
      </c>
      <c r="E1550" t="s">
        <v>15</v>
      </c>
      <c r="F1550" t="s">
        <v>5</v>
      </c>
      <c r="G1550" t="s">
        <v>11</v>
      </c>
      <c r="H1550" t="s">
        <v>4</v>
      </c>
    </row>
    <row r="1551" spans="1:8" ht="16" x14ac:dyDescent="0.2">
      <c r="A1551" s="2" t="s">
        <v>518</v>
      </c>
      <c r="B1551" s="6">
        <v>1</v>
      </c>
      <c r="C1551" t="s">
        <v>1035</v>
      </c>
      <c r="D1551" t="s">
        <v>8</v>
      </c>
      <c r="F1551" t="s">
        <v>17</v>
      </c>
      <c r="G1551" t="s">
        <v>18</v>
      </c>
      <c r="H1551" s="2" t="s">
        <v>286</v>
      </c>
    </row>
    <row r="1552" spans="1:8" ht="16" x14ac:dyDescent="0.2">
      <c r="A1552" s="2" t="s">
        <v>76</v>
      </c>
      <c r="B1552" s="6">
        <f>(1/((Parameters!$C$42*Parameters!$B$4*Parameters!$B$12)/1000))*(1-B1454)</f>
        <v>3.9118604024137049</v>
      </c>
      <c r="C1552" t="s">
        <v>1035</v>
      </c>
      <c r="D1552" t="s">
        <v>8</v>
      </c>
      <c r="F1552" t="s">
        <v>20</v>
      </c>
      <c r="G1552" t="s">
        <v>18</v>
      </c>
      <c r="H1552" s="2" t="s">
        <v>409</v>
      </c>
    </row>
    <row r="1553" spans="1:9" ht="16" x14ac:dyDescent="0.2">
      <c r="A1553" s="2" t="s">
        <v>221</v>
      </c>
      <c r="B1553" s="6">
        <f>(300*Parameters!$B$3)/(Parameters!$B$4*Parameters!$B$12)</f>
        <v>0.10598730228890306</v>
      </c>
      <c r="C1553" t="s">
        <v>26</v>
      </c>
      <c r="D1553" t="s">
        <v>19</v>
      </c>
      <c r="F1553" t="s">
        <v>20</v>
      </c>
      <c r="G1553" t="s">
        <v>412</v>
      </c>
      <c r="H1553" s="2" t="s">
        <v>222</v>
      </c>
    </row>
    <row r="1554" spans="1:9" x14ac:dyDescent="0.2">
      <c r="A1554" t="s">
        <v>214</v>
      </c>
      <c r="B1554" s="6">
        <f>((41.1/1000)/(Parameters!$B$4*Parameters!$B$12))</f>
        <v>1.3762550793355803E-2</v>
      </c>
      <c r="C1554" t="s">
        <v>31</v>
      </c>
      <c r="D1554" t="s">
        <v>8</v>
      </c>
      <c r="F1554" t="s">
        <v>20</v>
      </c>
      <c r="G1554" t="s">
        <v>413</v>
      </c>
      <c r="H1554" t="s">
        <v>215</v>
      </c>
    </row>
    <row r="1555" spans="1:9" x14ac:dyDescent="0.2">
      <c r="A1555" t="s">
        <v>265</v>
      </c>
      <c r="B1555" s="6">
        <f>(B1481*B1552)-Parameters!$B$15</f>
        <v>-0.19278142293796985</v>
      </c>
      <c r="D1555" t="s">
        <v>8</v>
      </c>
      <c r="E1555" t="s">
        <v>37</v>
      </c>
      <c r="F1555" t="s">
        <v>36</v>
      </c>
      <c r="G1555" t="s">
        <v>428</v>
      </c>
    </row>
    <row r="1556" spans="1:9" x14ac:dyDescent="0.2">
      <c r="A1556" t="s">
        <v>306</v>
      </c>
      <c r="B1556" s="6">
        <f>1/(90000000*20)</f>
        <v>5.5555555555555553E-10</v>
      </c>
      <c r="C1556" t="s">
        <v>26</v>
      </c>
      <c r="D1556" t="s">
        <v>7</v>
      </c>
      <c r="F1556" t="s">
        <v>20</v>
      </c>
      <c r="G1556" t="s">
        <v>308</v>
      </c>
      <c r="H1556" t="s">
        <v>307</v>
      </c>
    </row>
    <row r="1557" spans="1:9" x14ac:dyDescent="0.2">
      <c r="A1557" s="35" t="s">
        <v>28</v>
      </c>
      <c r="B1557" s="36">
        <f>Parameters!C41/Parameters!B4*Parameters!B12*-1</f>
        <v>-0.97410752972258918</v>
      </c>
      <c r="C1557" t="s">
        <v>1036</v>
      </c>
      <c r="D1557" s="35" t="s">
        <v>29</v>
      </c>
      <c r="E1557" s="35"/>
      <c r="F1557" s="35" t="s">
        <v>20</v>
      </c>
      <c r="G1557" s="35" t="s">
        <v>505</v>
      </c>
      <c r="H1557" s="35" t="s">
        <v>30</v>
      </c>
      <c r="I1557" s="35"/>
    </row>
    <row r="1558" spans="1:9" ht="16" x14ac:dyDescent="0.2">
      <c r="A1558" s="2"/>
      <c r="H1558" s="2"/>
    </row>
    <row r="1560" spans="1:9" ht="16" x14ac:dyDescent="0.2">
      <c r="A1560" s="1" t="s">
        <v>1</v>
      </c>
      <c r="B1560" s="71" t="s">
        <v>1086</v>
      </c>
    </row>
    <row r="1561" spans="1:9" x14ac:dyDescent="0.2">
      <c r="A1561" t="s">
        <v>2</v>
      </c>
      <c r="B1561" s="6" t="s">
        <v>1035</v>
      </c>
    </row>
    <row r="1562" spans="1:9" x14ac:dyDescent="0.2">
      <c r="A1562" t="s">
        <v>3</v>
      </c>
      <c r="B1562" s="6">
        <v>1</v>
      </c>
    </row>
    <row r="1563" spans="1:9" ht="16" x14ac:dyDescent="0.2">
      <c r="A1563" t="s">
        <v>4</v>
      </c>
      <c r="B1563" s="72" t="s">
        <v>286</v>
      </c>
    </row>
    <row r="1564" spans="1:9" x14ac:dyDescent="0.2">
      <c r="A1564" t="s">
        <v>5</v>
      </c>
      <c r="B1564" s="6" t="s">
        <v>6</v>
      </c>
    </row>
    <row r="1565" spans="1:9" x14ac:dyDescent="0.2">
      <c r="A1565" t="s">
        <v>7</v>
      </c>
      <c r="B1565" s="6" t="s">
        <v>8</v>
      </c>
    </row>
    <row r="1566" spans="1:9" x14ac:dyDescent="0.2">
      <c r="A1566" t="s">
        <v>9</v>
      </c>
      <c r="B1566" s="6" t="s">
        <v>10</v>
      </c>
    </row>
    <row r="1567" spans="1:9" x14ac:dyDescent="0.2">
      <c r="A1567" t="s">
        <v>11</v>
      </c>
      <c r="B1567" s="6" t="s">
        <v>1090</v>
      </c>
    </row>
    <row r="1568" spans="1:9" x14ac:dyDescent="0.2">
      <c r="A1568" t="s">
        <v>497</v>
      </c>
      <c r="B1568" s="70">
        <f>Summary!O165</f>
        <v>2.324742436754466</v>
      </c>
    </row>
    <row r="1569" spans="1:9" ht="16" x14ac:dyDescent="0.2">
      <c r="A1569" s="1" t="s">
        <v>12</v>
      </c>
    </row>
    <row r="1570" spans="1:9" x14ac:dyDescent="0.2">
      <c r="A1570" t="s">
        <v>13</v>
      </c>
      <c r="B1570" s="6" t="s">
        <v>14</v>
      </c>
      <c r="C1570" t="s">
        <v>2</v>
      </c>
      <c r="D1570" t="s">
        <v>7</v>
      </c>
      <c r="E1570" t="s">
        <v>15</v>
      </c>
      <c r="F1570" t="s">
        <v>5</v>
      </c>
      <c r="G1570" t="s">
        <v>11</v>
      </c>
      <c r="H1570" t="s">
        <v>4</v>
      </c>
    </row>
    <row r="1571" spans="1:9" ht="16" x14ac:dyDescent="0.2">
      <c r="A1571" s="2" t="s">
        <v>1086</v>
      </c>
      <c r="B1571" s="6">
        <v>1</v>
      </c>
      <c r="C1571" t="s">
        <v>1035</v>
      </c>
      <c r="D1571" t="s">
        <v>8</v>
      </c>
      <c r="F1571" t="s">
        <v>17</v>
      </c>
      <c r="G1571" t="s">
        <v>18</v>
      </c>
      <c r="H1571" s="2" t="s">
        <v>286</v>
      </c>
    </row>
    <row r="1572" spans="1:9" ht="16" x14ac:dyDescent="0.2">
      <c r="A1572" s="2" t="s">
        <v>76</v>
      </c>
      <c r="B1572" s="6">
        <f>(1/((Parameters!$C$42*Parameters!$B$4*Parameters!$B$12)/1000))*Parameters!$F$50*(1-B1454)</f>
        <v>2.7644693176628423</v>
      </c>
      <c r="C1572" t="s">
        <v>1035</v>
      </c>
      <c r="D1572" t="s">
        <v>8</v>
      </c>
      <c r="F1572" t="s">
        <v>20</v>
      </c>
      <c r="G1572" t="s">
        <v>18</v>
      </c>
      <c r="H1572" s="2" t="s">
        <v>409</v>
      </c>
    </row>
    <row r="1573" spans="1:9" ht="16" x14ac:dyDescent="0.2">
      <c r="A1573" s="2" t="s">
        <v>221</v>
      </c>
      <c r="B1573" s="6">
        <f>(300*Parameters!$B$3)/(Parameters!$B$4*Parameters!$B$12)*Parameters!$F$50</f>
        <v>7.4900076970727938E-2</v>
      </c>
      <c r="C1573" t="s">
        <v>26</v>
      </c>
      <c r="D1573" t="s">
        <v>19</v>
      </c>
      <c r="F1573" t="s">
        <v>20</v>
      </c>
      <c r="G1573" t="s">
        <v>412</v>
      </c>
      <c r="H1573" s="2" t="s">
        <v>222</v>
      </c>
    </row>
    <row r="1574" spans="1:9" x14ac:dyDescent="0.2">
      <c r="A1574" t="s">
        <v>214</v>
      </c>
      <c r="B1574" s="6">
        <f>((41.1/1000)/(Parameters!$B$4*Parameters!$B$12))*Parameters!$F$50</f>
        <v>9.7258453746287086E-3</v>
      </c>
      <c r="C1574" t="s">
        <v>31</v>
      </c>
      <c r="D1574" t="s">
        <v>8</v>
      </c>
      <c r="F1574" t="s">
        <v>20</v>
      </c>
      <c r="G1574" t="s">
        <v>413</v>
      </c>
      <c r="H1574" t="s">
        <v>215</v>
      </c>
    </row>
    <row r="1575" spans="1:9" x14ac:dyDescent="0.2">
      <c r="A1575" t="s">
        <v>265</v>
      </c>
      <c r="B1575" s="6">
        <f>((B1481*B1572)-Parameters!$B$15)*(1-0.975)</f>
        <v>-1.744083750570875E-2</v>
      </c>
      <c r="D1575" t="s">
        <v>8</v>
      </c>
      <c r="E1575" t="s">
        <v>37</v>
      </c>
      <c r="F1575" t="s">
        <v>36</v>
      </c>
      <c r="G1575" t="s">
        <v>428</v>
      </c>
    </row>
    <row r="1576" spans="1:9" x14ac:dyDescent="0.2">
      <c r="A1576" t="s">
        <v>306</v>
      </c>
      <c r="B1576" s="6">
        <f>1/(90000000*20)</f>
        <v>5.5555555555555553E-10</v>
      </c>
      <c r="C1576" t="s">
        <v>26</v>
      </c>
      <c r="D1576" t="s">
        <v>7</v>
      </c>
      <c r="F1576" t="s">
        <v>20</v>
      </c>
      <c r="G1576" t="s">
        <v>308</v>
      </c>
      <c r="H1576" t="s">
        <v>307</v>
      </c>
    </row>
    <row r="1577" spans="1:9" x14ac:dyDescent="0.2">
      <c r="A1577" s="35" t="s">
        <v>28</v>
      </c>
      <c r="B1577" s="36">
        <f>(180/1000)*((B1481*B1572)-Parameters!$B$15)*0.975</f>
        <v>-0.1224346792900753</v>
      </c>
      <c r="C1577" t="s">
        <v>1036</v>
      </c>
      <c r="D1577" s="35" t="s">
        <v>29</v>
      </c>
      <c r="E1577" s="35"/>
      <c r="F1577" s="35" t="s">
        <v>20</v>
      </c>
      <c r="G1577" s="35" t="s">
        <v>1089</v>
      </c>
      <c r="H1577" s="35" t="s">
        <v>30</v>
      </c>
      <c r="I1577" s="35"/>
    </row>
    <row r="1578" spans="1:9" x14ac:dyDescent="0.2">
      <c r="A1578" t="s">
        <v>1067</v>
      </c>
      <c r="B1578" s="6">
        <f>((B1481*B1572)-Parameters!$B$15)*0.975</f>
        <v>-0.68019266272264056</v>
      </c>
      <c r="C1578" t="s">
        <v>572</v>
      </c>
      <c r="D1578" t="s">
        <v>8</v>
      </c>
      <c r="F1578" s="35" t="s">
        <v>20</v>
      </c>
      <c r="H1578" t="s">
        <v>1067</v>
      </c>
    </row>
    <row r="1579" spans="1:9" ht="16" x14ac:dyDescent="0.2">
      <c r="A1579" s="2"/>
      <c r="H1579" s="2"/>
    </row>
    <row r="1580" spans="1:9" ht="16" x14ac:dyDescent="0.2">
      <c r="A1580" s="1" t="s">
        <v>1</v>
      </c>
      <c r="B1580" s="71" t="s">
        <v>1087</v>
      </c>
    </row>
    <row r="1581" spans="1:9" x14ac:dyDescent="0.2">
      <c r="A1581" t="s">
        <v>2</v>
      </c>
      <c r="B1581" s="6" t="s">
        <v>1035</v>
      </c>
    </row>
    <row r="1582" spans="1:9" x14ac:dyDescent="0.2">
      <c r="A1582" t="s">
        <v>3</v>
      </c>
      <c r="B1582" s="6">
        <v>1</v>
      </c>
    </row>
    <row r="1583" spans="1:9" ht="16" x14ac:dyDescent="0.2">
      <c r="A1583" t="s">
        <v>4</v>
      </c>
      <c r="B1583" s="72" t="s">
        <v>286</v>
      </c>
    </row>
    <row r="1584" spans="1:9" x14ac:dyDescent="0.2">
      <c r="A1584" t="s">
        <v>5</v>
      </c>
      <c r="B1584" s="6" t="s">
        <v>6</v>
      </c>
    </row>
    <row r="1585" spans="1:9" x14ac:dyDescent="0.2">
      <c r="A1585" t="s">
        <v>7</v>
      </c>
      <c r="B1585" s="6" t="s">
        <v>8</v>
      </c>
    </row>
    <row r="1586" spans="1:9" x14ac:dyDescent="0.2">
      <c r="A1586" t="s">
        <v>9</v>
      </c>
      <c r="B1586" s="6" t="s">
        <v>10</v>
      </c>
    </row>
    <row r="1587" spans="1:9" x14ac:dyDescent="0.2">
      <c r="A1587" t="s">
        <v>11</v>
      </c>
      <c r="B1587" s="6" t="s">
        <v>373</v>
      </c>
    </row>
    <row r="1588" spans="1:9" x14ac:dyDescent="0.2">
      <c r="A1588" t="s">
        <v>497</v>
      </c>
      <c r="B1588" s="70">
        <f>Summary!O108</f>
        <v>0.52962528992547164</v>
      </c>
    </row>
    <row r="1589" spans="1:9" ht="16" x14ac:dyDescent="0.2">
      <c r="A1589" s="1" t="s">
        <v>12</v>
      </c>
    </row>
    <row r="1590" spans="1:9" x14ac:dyDescent="0.2">
      <c r="A1590" t="s">
        <v>13</v>
      </c>
      <c r="B1590" s="6" t="s">
        <v>14</v>
      </c>
      <c r="C1590" t="s">
        <v>2</v>
      </c>
      <c r="D1590" t="s">
        <v>7</v>
      </c>
      <c r="E1590" t="s">
        <v>15</v>
      </c>
      <c r="F1590" t="s">
        <v>5</v>
      </c>
      <c r="G1590" t="s">
        <v>11</v>
      </c>
      <c r="H1590" t="s">
        <v>4</v>
      </c>
    </row>
    <row r="1591" spans="1:9" ht="16" x14ac:dyDescent="0.2">
      <c r="A1591" s="2" t="s">
        <v>1087</v>
      </c>
      <c r="B1591" s="6">
        <v>1</v>
      </c>
      <c r="C1591" t="s">
        <v>1035</v>
      </c>
      <c r="D1591" t="s">
        <v>8</v>
      </c>
      <c r="F1591" t="s">
        <v>17</v>
      </c>
      <c r="G1591" t="s">
        <v>18</v>
      </c>
      <c r="H1591" s="2" t="s">
        <v>286</v>
      </c>
    </row>
    <row r="1592" spans="1:9" ht="16" x14ac:dyDescent="0.2">
      <c r="A1592" s="2" t="s">
        <v>76</v>
      </c>
      <c r="B1592" s="6">
        <f>(1/((Parameters!$C$42*Parameters!$B$4*Parameters!$B$12)/1000))*Parameters!$G$50*(1-B1454)</f>
        <v>3.288189136342587</v>
      </c>
      <c r="C1592" t="s">
        <v>1035</v>
      </c>
      <c r="D1592" t="s">
        <v>8</v>
      </c>
      <c r="F1592" t="s">
        <v>20</v>
      </c>
      <c r="G1592" t="s">
        <v>18</v>
      </c>
      <c r="H1592" s="2" t="s">
        <v>409</v>
      </c>
    </row>
    <row r="1593" spans="1:9" ht="16" x14ac:dyDescent="0.2">
      <c r="A1593" s="2" t="s">
        <v>221</v>
      </c>
      <c r="B1593" s="6">
        <f>(300*Parameters!$B$3)/(Parameters!$B$4*Parameters!$B$12)*Parameters!$G$50</f>
        <v>8.9089655592411415E-2</v>
      </c>
      <c r="C1593" t="s">
        <v>26</v>
      </c>
      <c r="D1593" t="s">
        <v>19</v>
      </c>
      <c r="F1593" t="s">
        <v>20</v>
      </c>
      <c r="G1593" t="s">
        <v>412</v>
      </c>
      <c r="H1593" s="2" t="s">
        <v>222</v>
      </c>
    </row>
    <row r="1594" spans="1:9" x14ac:dyDescent="0.2">
      <c r="A1594" t="s">
        <v>214</v>
      </c>
      <c r="B1594" s="6">
        <f>((41.1/1000)/(Parameters!$B$4*Parameters!$B$12))*Parameters!$G$50</f>
        <v>1.1568375491915039E-2</v>
      </c>
      <c r="C1594" t="s">
        <v>31</v>
      </c>
      <c r="D1594" t="s">
        <v>8</v>
      </c>
      <c r="F1594" t="s">
        <v>20</v>
      </c>
      <c r="G1594" t="s">
        <v>413</v>
      </c>
      <c r="H1594" t="s">
        <v>215</v>
      </c>
    </row>
    <row r="1595" spans="1:9" x14ac:dyDescent="0.2">
      <c r="A1595" t="s">
        <v>265</v>
      </c>
      <c r="B1595" s="6">
        <f>((B1481*B1592)-Parameters!$B$15)*(1-0.975)</f>
        <v>-1.1679919500231549E-2</v>
      </c>
      <c r="D1595" t="s">
        <v>8</v>
      </c>
      <c r="E1595" t="s">
        <v>37</v>
      </c>
      <c r="F1595" t="s">
        <v>36</v>
      </c>
      <c r="G1595" t="s">
        <v>428</v>
      </c>
    </row>
    <row r="1596" spans="1:9" x14ac:dyDescent="0.2">
      <c r="A1596" t="s">
        <v>306</v>
      </c>
      <c r="B1596" s="6">
        <f>1/(90000000*20)</f>
        <v>5.5555555555555553E-10</v>
      </c>
      <c r="C1596" t="s">
        <v>26</v>
      </c>
      <c r="D1596" t="s">
        <v>7</v>
      </c>
      <c r="F1596" t="s">
        <v>20</v>
      </c>
      <c r="G1596" t="s">
        <v>308</v>
      </c>
      <c r="H1596" t="s">
        <v>307</v>
      </c>
    </row>
    <row r="1597" spans="1:9" x14ac:dyDescent="0.2">
      <c r="A1597" s="35" t="s">
        <v>28</v>
      </c>
      <c r="B1597" s="36">
        <f>(180/1000)*((B1481*B1592)-Parameters!$B$15)*0.975</f>
        <v>-8.1993034891625405E-2</v>
      </c>
      <c r="C1597" t="s">
        <v>1036</v>
      </c>
      <c r="D1597" s="35" t="s">
        <v>29</v>
      </c>
      <c r="E1597" s="35"/>
      <c r="F1597" s="35" t="s">
        <v>20</v>
      </c>
      <c r="G1597" s="35" t="s">
        <v>1089</v>
      </c>
      <c r="H1597" s="35" t="s">
        <v>30</v>
      </c>
      <c r="I1597" s="35"/>
    </row>
    <row r="1598" spans="1:9" x14ac:dyDescent="0.2">
      <c r="A1598" t="s">
        <v>1067</v>
      </c>
      <c r="B1598" s="6">
        <f>((B1481*B1592)-Parameters!$B$15)*0.975</f>
        <v>-0.45551686050903001</v>
      </c>
      <c r="C1598" t="s">
        <v>572</v>
      </c>
      <c r="D1598" t="s">
        <v>8</v>
      </c>
      <c r="F1598" s="35" t="s">
        <v>20</v>
      </c>
      <c r="H1598" t="s">
        <v>1067</v>
      </c>
    </row>
    <row r="1599" spans="1:9" ht="16" x14ac:dyDescent="0.2">
      <c r="A1599" s="2"/>
      <c r="H1599" s="2"/>
    </row>
    <row r="1600" spans="1:9" ht="16" x14ac:dyDescent="0.2">
      <c r="A1600" s="1" t="s">
        <v>1</v>
      </c>
      <c r="B1600" s="71" t="s">
        <v>1088</v>
      </c>
    </row>
    <row r="1601" spans="1:8" x14ac:dyDescent="0.2">
      <c r="A1601" t="s">
        <v>2</v>
      </c>
      <c r="B1601" s="6" t="s">
        <v>1035</v>
      </c>
    </row>
    <row r="1602" spans="1:8" x14ac:dyDescent="0.2">
      <c r="A1602" t="s">
        <v>3</v>
      </c>
      <c r="B1602" s="6">
        <v>1</v>
      </c>
    </row>
    <row r="1603" spans="1:8" ht="16" x14ac:dyDescent="0.2">
      <c r="A1603" t="s">
        <v>4</v>
      </c>
      <c r="B1603" s="72" t="s">
        <v>286</v>
      </c>
    </row>
    <row r="1604" spans="1:8" x14ac:dyDescent="0.2">
      <c r="A1604" t="s">
        <v>5</v>
      </c>
      <c r="B1604" s="6" t="s">
        <v>6</v>
      </c>
    </row>
    <row r="1605" spans="1:8" x14ac:dyDescent="0.2">
      <c r="A1605" t="s">
        <v>7</v>
      </c>
      <c r="B1605" s="6" t="s">
        <v>8</v>
      </c>
    </row>
    <row r="1606" spans="1:8" x14ac:dyDescent="0.2">
      <c r="A1606" t="s">
        <v>9</v>
      </c>
      <c r="B1606" s="6" t="s">
        <v>10</v>
      </c>
    </row>
    <row r="1607" spans="1:8" x14ac:dyDescent="0.2">
      <c r="A1607" t="s">
        <v>11</v>
      </c>
      <c r="B1607" s="6" t="s">
        <v>504</v>
      </c>
    </row>
    <row r="1608" spans="1:8" x14ac:dyDescent="0.2">
      <c r="A1608" t="s">
        <v>497</v>
      </c>
      <c r="B1608" s="70">
        <f>Summary!O203</f>
        <v>0</v>
      </c>
    </row>
    <row r="1609" spans="1:8" ht="16" x14ac:dyDescent="0.2">
      <c r="A1609" s="1" t="s">
        <v>12</v>
      </c>
    </row>
    <row r="1610" spans="1:8" x14ac:dyDescent="0.2">
      <c r="A1610" t="s">
        <v>13</v>
      </c>
      <c r="B1610" s="6" t="s">
        <v>14</v>
      </c>
      <c r="C1610" t="s">
        <v>2</v>
      </c>
      <c r="D1610" t="s">
        <v>7</v>
      </c>
      <c r="E1610" t="s">
        <v>15</v>
      </c>
      <c r="F1610" t="s">
        <v>5</v>
      </c>
      <c r="G1610" t="s">
        <v>11</v>
      </c>
      <c r="H1610" t="s">
        <v>4</v>
      </c>
    </row>
    <row r="1611" spans="1:8" ht="16" x14ac:dyDescent="0.2">
      <c r="A1611" s="2" t="s">
        <v>1088</v>
      </c>
      <c r="B1611" s="6">
        <v>1</v>
      </c>
      <c r="C1611" t="s">
        <v>1035</v>
      </c>
      <c r="D1611" t="s">
        <v>8</v>
      </c>
      <c r="F1611" t="s">
        <v>17</v>
      </c>
      <c r="G1611" t="s">
        <v>18</v>
      </c>
      <c r="H1611" s="2" t="s">
        <v>286</v>
      </c>
    </row>
    <row r="1612" spans="1:8" ht="16" x14ac:dyDescent="0.2">
      <c r="A1612" s="2" t="s">
        <v>76</v>
      </c>
      <c r="B1612" s="6">
        <f>(1/((Parameters!$C$42*Parameters!$B$4*Parameters!$B$12)/1000))*(1-B1454)</f>
        <v>3.9118604024137049</v>
      </c>
      <c r="C1612" t="s">
        <v>1035</v>
      </c>
      <c r="D1612" t="s">
        <v>8</v>
      </c>
      <c r="F1612" t="s">
        <v>20</v>
      </c>
      <c r="G1612" t="s">
        <v>18</v>
      </c>
      <c r="H1612" s="2" t="s">
        <v>409</v>
      </c>
    </row>
    <row r="1613" spans="1:8" ht="16" x14ac:dyDescent="0.2">
      <c r="A1613" s="2" t="s">
        <v>221</v>
      </c>
      <c r="B1613" s="6">
        <f>(300*Parameters!$B$3)/(Parameters!$B$4*Parameters!$B$12)</f>
        <v>0.10598730228890306</v>
      </c>
      <c r="C1613" t="s">
        <v>26</v>
      </c>
      <c r="D1613" t="s">
        <v>19</v>
      </c>
      <c r="F1613" t="s">
        <v>20</v>
      </c>
      <c r="G1613" t="s">
        <v>412</v>
      </c>
      <c r="H1613" s="2" t="s">
        <v>222</v>
      </c>
    </row>
    <row r="1614" spans="1:8" x14ac:dyDescent="0.2">
      <c r="A1614" t="s">
        <v>214</v>
      </c>
      <c r="B1614" s="6">
        <f>((41.1/1000)/(Parameters!$B$4*Parameters!$B$12))</f>
        <v>1.3762550793355803E-2</v>
      </c>
      <c r="C1614" t="s">
        <v>31</v>
      </c>
      <c r="D1614" t="s">
        <v>8</v>
      </c>
      <c r="F1614" t="s">
        <v>20</v>
      </c>
      <c r="G1614" t="s">
        <v>413</v>
      </c>
      <c r="H1614" t="s">
        <v>215</v>
      </c>
    </row>
    <row r="1615" spans="1:8" x14ac:dyDescent="0.2">
      <c r="A1615" t="s">
        <v>265</v>
      </c>
      <c r="B1615" s="6">
        <f>((B1481*B1612)-Parameters!$B$15)*(1-0.975)</f>
        <v>-4.8195355734492505E-3</v>
      </c>
      <c r="D1615" t="s">
        <v>8</v>
      </c>
      <c r="E1615" t="s">
        <v>37</v>
      </c>
      <c r="F1615" t="s">
        <v>36</v>
      </c>
      <c r="G1615" t="s">
        <v>428</v>
      </c>
    </row>
    <row r="1616" spans="1:8" x14ac:dyDescent="0.2">
      <c r="A1616" t="s">
        <v>306</v>
      </c>
      <c r="B1616" s="6">
        <f>1/(90000000*20)</f>
        <v>5.5555555555555553E-10</v>
      </c>
      <c r="C1616" t="s">
        <v>26</v>
      </c>
      <c r="D1616" t="s">
        <v>7</v>
      </c>
      <c r="F1616" t="s">
        <v>20</v>
      </c>
      <c r="G1616" t="s">
        <v>308</v>
      </c>
      <c r="H1616" t="s">
        <v>307</v>
      </c>
    </row>
    <row r="1617" spans="1:10" x14ac:dyDescent="0.2">
      <c r="A1617" s="35" t="s">
        <v>28</v>
      </c>
      <c r="B1617" s="36">
        <f>(Parameters!C41/Parameters!B4*Parameters!B12*-1)+((180/1000)*((B1481*B1612)-Parameters!$B$15)*0.975)</f>
        <v>-1.0079406694482029</v>
      </c>
      <c r="C1617" t="s">
        <v>1036</v>
      </c>
      <c r="D1617" s="35" t="s">
        <v>29</v>
      </c>
      <c r="E1617" s="35"/>
      <c r="F1617" s="35" t="s">
        <v>20</v>
      </c>
      <c r="G1617" s="35" t="s">
        <v>505</v>
      </c>
      <c r="H1617" s="35" t="s">
        <v>30</v>
      </c>
      <c r="I1617" s="35"/>
    </row>
    <row r="1618" spans="1:10" x14ac:dyDescent="0.2">
      <c r="A1618" t="s">
        <v>1067</v>
      </c>
      <c r="B1618" s="6">
        <f>((B1481*B1612)-Parameters!$B$15)*0.975</f>
        <v>-0.1879618873645206</v>
      </c>
      <c r="C1618" t="s">
        <v>572</v>
      </c>
      <c r="D1618" t="s">
        <v>8</v>
      </c>
      <c r="F1618" s="35" t="s">
        <v>20</v>
      </c>
      <c r="H1618" t="s">
        <v>1067</v>
      </c>
    </row>
    <row r="1619" spans="1:10" ht="16" x14ac:dyDescent="0.2">
      <c r="A1619" s="2"/>
      <c r="H1619" s="2"/>
    </row>
    <row r="1620" spans="1:10" ht="16" x14ac:dyDescent="0.2">
      <c r="A1620" s="1" t="s">
        <v>1</v>
      </c>
      <c r="B1620" s="71" t="s">
        <v>356</v>
      </c>
    </row>
    <row r="1621" spans="1:10" x14ac:dyDescent="0.2">
      <c r="A1621" t="s">
        <v>2</v>
      </c>
      <c r="B1621" s="6" t="s">
        <v>1035</v>
      </c>
    </row>
    <row r="1622" spans="1:10" x14ac:dyDescent="0.2">
      <c r="A1622" t="s">
        <v>3</v>
      </c>
      <c r="B1622" s="6">
        <v>1</v>
      </c>
    </row>
    <row r="1623" spans="1:10" ht="16" x14ac:dyDescent="0.2">
      <c r="A1623" t="s">
        <v>4</v>
      </c>
      <c r="B1623" s="72" t="s">
        <v>337</v>
      </c>
    </row>
    <row r="1624" spans="1:10" x14ac:dyDescent="0.2">
      <c r="A1624" t="s">
        <v>5</v>
      </c>
      <c r="B1624" s="6" t="s">
        <v>6</v>
      </c>
    </row>
    <row r="1625" spans="1:10" x14ac:dyDescent="0.2">
      <c r="A1625" t="s">
        <v>7</v>
      </c>
      <c r="B1625" s="6" t="s">
        <v>8</v>
      </c>
    </row>
    <row r="1626" spans="1:10" x14ac:dyDescent="0.2">
      <c r="A1626" t="s">
        <v>9</v>
      </c>
      <c r="B1626" s="6" t="s">
        <v>393</v>
      </c>
    </row>
    <row r="1627" spans="1:10" x14ac:dyDescent="0.2">
      <c r="A1627" t="s">
        <v>11</v>
      </c>
      <c r="B1627" s="6" t="s">
        <v>362</v>
      </c>
    </row>
    <row r="1628" spans="1:10" ht="16" x14ac:dyDescent="0.2">
      <c r="A1628" s="1" t="s">
        <v>12</v>
      </c>
    </row>
    <row r="1629" spans="1:10" x14ac:dyDescent="0.2">
      <c r="A1629" t="s">
        <v>13</v>
      </c>
      <c r="B1629" s="6" t="s">
        <v>14</v>
      </c>
      <c r="C1629" t="s">
        <v>2</v>
      </c>
      <c r="D1629" t="s">
        <v>7</v>
      </c>
      <c r="E1629" t="s">
        <v>15</v>
      </c>
      <c r="F1629" t="s">
        <v>5</v>
      </c>
      <c r="G1629" t="s">
        <v>338</v>
      </c>
      <c r="H1629" t="s">
        <v>339</v>
      </c>
      <c r="I1629" t="s">
        <v>11</v>
      </c>
      <c r="J1629" t="s">
        <v>4</v>
      </c>
    </row>
    <row r="1630" spans="1:10" x14ac:dyDescent="0.2">
      <c r="A1630" s="35" t="s">
        <v>356</v>
      </c>
      <c r="B1630" s="36">
        <v>1</v>
      </c>
      <c r="C1630" t="s">
        <v>1035</v>
      </c>
      <c r="D1630" s="35" t="s">
        <v>8</v>
      </c>
      <c r="E1630" s="35"/>
      <c r="F1630" s="35" t="s">
        <v>17</v>
      </c>
      <c r="G1630" s="35"/>
      <c r="H1630" s="35"/>
      <c r="I1630" s="35" t="s">
        <v>18</v>
      </c>
      <c r="J1630" s="35" t="s">
        <v>337</v>
      </c>
    </row>
    <row r="1631" spans="1:10" ht="16" x14ac:dyDescent="0.2">
      <c r="A1631" s="2" t="s">
        <v>287</v>
      </c>
      <c r="B1631" s="6">
        <v>1.00057</v>
      </c>
      <c r="C1631" t="s">
        <v>1035</v>
      </c>
      <c r="D1631" t="s">
        <v>8</v>
      </c>
      <c r="F1631" s="35" t="s">
        <v>20</v>
      </c>
      <c r="G1631" t="s">
        <v>18</v>
      </c>
      <c r="I1631" s="35"/>
      <c r="J1631" s="2" t="s">
        <v>286</v>
      </c>
    </row>
    <row r="1632" spans="1:10" x14ac:dyDescent="0.2">
      <c r="A1632" s="35" t="s">
        <v>28</v>
      </c>
      <c r="B1632" s="36">
        <v>6.7000000000000002E-3</v>
      </c>
      <c r="C1632" t="s">
        <v>1036</v>
      </c>
      <c r="D1632" s="35" t="s">
        <v>29</v>
      </c>
      <c r="E1632" s="35"/>
      <c r="F1632" s="35" t="s">
        <v>20</v>
      </c>
      <c r="G1632" s="35"/>
      <c r="H1632" s="35"/>
      <c r="I1632" s="35"/>
      <c r="J1632" s="35" t="s">
        <v>30</v>
      </c>
    </row>
    <row r="1633" spans="1:10" x14ac:dyDescent="0.2">
      <c r="A1633" s="35" t="s">
        <v>340</v>
      </c>
      <c r="B1633" s="36">
        <v>-1.6799999999999999E-4</v>
      </c>
      <c r="C1633" s="35" t="s">
        <v>31</v>
      </c>
      <c r="D1633" s="35" t="s">
        <v>8</v>
      </c>
      <c r="E1633" s="35"/>
      <c r="F1633" s="35" t="s">
        <v>20</v>
      </c>
      <c r="G1633" s="35"/>
      <c r="H1633" s="35"/>
      <c r="I1633" s="35"/>
      <c r="J1633" s="35" t="s">
        <v>341</v>
      </c>
    </row>
    <row r="1634" spans="1:10" x14ac:dyDescent="0.2">
      <c r="A1634" s="35" t="s">
        <v>342</v>
      </c>
      <c r="B1634" s="36">
        <v>5.8399999999999999E-4</v>
      </c>
      <c r="C1634" s="35" t="s">
        <v>31</v>
      </c>
      <c r="D1634" s="35" t="s">
        <v>19</v>
      </c>
      <c r="E1634" s="35"/>
      <c r="F1634" s="35" t="s">
        <v>20</v>
      </c>
      <c r="G1634" s="35"/>
      <c r="H1634" s="35"/>
      <c r="I1634" s="35"/>
      <c r="J1634" s="35" t="s">
        <v>343</v>
      </c>
    </row>
    <row r="1635" spans="1:10" x14ac:dyDescent="0.2">
      <c r="A1635" s="35" t="s">
        <v>344</v>
      </c>
      <c r="B1635" s="36">
        <v>2.5999999999999998E-10</v>
      </c>
      <c r="C1635" s="35" t="s">
        <v>31</v>
      </c>
      <c r="D1635" s="35" t="s">
        <v>7</v>
      </c>
      <c r="E1635" s="35"/>
      <c r="F1635" s="35" t="s">
        <v>20</v>
      </c>
      <c r="G1635" s="35"/>
      <c r="H1635" s="35"/>
      <c r="I1635" s="35"/>
      <c r="J1635" s="35" t="s">
        <v>345</v>
      </c>
    </row>
    <row r="1636" spans="1:10" x14ac:dyDescent="0.2">
      <c r="A1636" s="35" t="s">
        <v>346</v>
      </c>
      <c r="B1636" s="36">
        <v>-6.2700000000000001E-6</v>
      </c>
      <c r="C1636" s="35" t="s">
        <v>31</v>
      </c>
      <c r="D1636" s="35" t="s">
        <v>8</v>
      </c>
      <c r="E1636" s="35"/>
      <c r="F1636" s="35" t="s">
        <v>20</v>
      </c>
      <c r="G1636" s="35"/>
      <c r="H1636" s="35"/>
      <c r="I1636" s="35"/>
      <c r="J1636" s="35" t="s">
        <v>347</v>
      </c>
    </row>
    <row r="1637" spans="1:10" x14ac:dyDescent="0.2">
      <c r="A1637" s="35" t="s">
        <v>348</v>
      </c>
      <c r="B1637" s="36">
        <v>-7.4999999999999993E-5</v>
      </c>
      <c r="C1637" s="35" t="s">
        <v>31</v>
      </c>
      <c r="D1637" s="35" t="s">
        <v>121</v>
      </c>
      <c r="E1637" s="35"/>
      <c r="F1637" s="35" t="s">
        <v>20</v>
      </c>
      <c r="G1637" s="35"/>
      <c r="H1637" s="35"/>
      <c r="I1637" s="35"/>
      <c r="J1637" s="35" t="s">
        <v>349</v>
      </c>
    </row>
    <row r="1638" spans="1:10" x14ac:dyDescent="0.2">
      <c r="A1638" s="35" t="s">
        <v>350</v>
      </c>
      <c r="B1638" s="36">
        <v>6.8900000000000005E-4</v>
      </c>
      <c r="C1638" s="35" t="s">
        <v>31</v>
      </c>
      <c r="D1638" s="35" t="s">
        <v>8</v>
      </c>
      <c r="E1638" s="35"/>
      <c r="F1638" s="35" t="s">
        <v>20</v>
      </c>
      <c r="G1638" s="35"/>
      <c r="H1638" s="35"/>
      <c r="I1638" s="35"/>
      <c r="J1638" s="35" t="s">
        <v>351</v>
      </c>
    </row>
    <row r="1639" spans="1:10" x14ac:dyDescent="0.2">
      <c r="A1639" s="35" t="s">
        <v>100</v>
      </c>
      <c r="B1639" s="36">
        <v>3.3599999999999998E-2</v>
      </c>
      <c r="C1639" s="35" t="s">
        <v>31</v>
      </c>
      <c r="D1639" s="35" t="s">
        <v>41</v>
      </c>
      <c r="E1639" s="35"/>
      <c r="F1639" s="35" t="s">
        <v>20</v>
      </c>
      <c r="G1639" s="35"/>
      <c r="H1639" s="35"/>
      <c r="I1639" s="35"/>
      <c r="J1639" s="35" t="s">
        <v>103</v>
      </c>
    </row>
    <row r="1640" spans="1:10" x14ac:dyDescent="0.2">
      <c r="A1640" s="35" t="s">
        <v>352</v>
      </c>
      <c r="B1640" s="36">
        <v>3.2599999999999997E-2</v>
      </c>
      <c r="C1640" s="35" t="s">
        <v>572</v>
      </c>
      <c r="D1640" s="35" t="s">
        <v>41</v>
      </c>
      <c r="E1640" s="35"/>
      <c r="F1640" s="35" t="s">
        <v>20</v>
      </c>
      <c r="G1640" s="35"/>
      <c r="H1640" s="35"/>
      <c r="I1640" s="35"/>
      <c r="J1640" s="35" t="s">
        <v>353</v>
      </c>
    </row>
    <row r="1641" spans="1:10" x14ac:dyDescent="0.2">
      <c r="A1641" s="35" t="s">
        <v>354</v>
      </c>
      <c r="B1641" s="36">
        <v>-6.8899999999999999E-7</v>
      </c>
      <c r="C1641" s="35" t="s">
        <v>31</v>
      </c>
      <c r="D1641" s="35" t="s">
        <v>121</v>
      </c>
      <c r="E1641" s="35"/>
      <c r="F1641" s="35" t="s">
        <v>20</v>
      </c>
      <c r="G1641" s="35"/>
      <c r="H1641" s="35"/>
      <c r="I1641" s="35"/>
      <c r="J1641" s="35" t="s">
        <v>355</v>
      </c>
    </row>
    <row r="1643" spans="1:10" ht="16" x14ac:dyDescent="0.2">
      <c r="A1643" s="1" t="s">
        <v>1</v>
      </c>
      <c r="B1643" s="71" t="s">
        <v>357</v>
      </c>
    </row>
    <row r="1644" spans="1:10" x14ac:dyDescent="0.2">
      <c r="A1644" t="s">
        <v>2</v>
      </c>
      <c r="B1644" s="6" t="s">
        <v>1035</v>
      </c>
    </row>
    <row r="1645" spans="1:10" x14ac:dyDescent="0.2">
      <c r="A1645" t="s">
        <v>3</v>
      </c>
      <c r="B1645" s="6">
        <v>1</v>
      </c>
    </row>
    <row r="1646" spans="1:10" ht="16" x14ac:dyDescent="0.2">
      <c r="A1646" t="s">
        <v>4</v>
      </c>
      <c r="B1646" s="72" t="s">
        <v>337</v>
      </c>
    </row>
    <row r="1647" spans="1:10" x14ac:dyDescent="0.2">
      <c r="A1647" t="s">
        <v>5</v>
      </c>
      <c r="B1647" s="6" t="s">
        <v>6</v>
      </c>
    </row>
    <row r="1648" spans="1:10" x14ac:dyDescent="0.2">
      <c r="A1648" t="s">
        <v>7</v>
      </c>
      <c r="B1648" s="6" t="s">
        <v>8</v>
      </c>
    </row>
    <row r="1649" spans="1:10" x14ac:dyDescent="0.2">
      <c r="A1649" t="s">
        <v>9</v>
      </c>
      <c r="B1649" s="6" t="s">
        <v>393</v>
      </c>
    </row>
    <row r="1650" spans="1:10" x14ac:dyDescent="0.2">
      <c r="A1650" t="s">
        <v>11</v>
      </c>
      <c r="B1650" s="6" t="s">
        <v>361</v>
      </c>
    </row>
    <row r="1651" spans="1:10" ht="16" x14ac:dyDescent="0.2">
      <c r="A1651" s="1" t="s">
        <v>12</v>
      </c>
    </row>
    <row r="1652" spans="1:10" x14ac:dyDescent="0.2">
      <c r="A1652" t="s">
        <v>13</v>
      </c>
      <c r="B1652" s="6" t="s">
        <v>14</v>
      </c>
      <c r="C1652" t="s">
        <v>2</v>
      </c>
      <c r="D1652" t="s">
        <v>7</v>
      </c>
      <c r="E1652" t="s">
        <v>15</v>
      </c>
      <c r="F1652" t="s">
        <v>5</v>
      </c>
      <c r="G1652" t="s">
        <v>338</v>
      </c>
      <c r="H1652" t="s">
        <v>339</v>
      </c>
      <c r="I1652" t="s">
        <v>11</v>
      </c>
      <c r="J1652" t="s">
        <v>4</v>
      </c>
    </row>
    <row r="1653" spans="1:10" x14ac:dyDescent="0.2">
      <c r="A1653" s="35" t="s">
        <v>357</v>
      </c>
      <c r="B1653" s="36">
        <v>1</v>
      </c>
      <c r="C1653" t="s">
        <v>1035</v>
      </c>
      <c r="D1653" s="35" t="s">
        <v>8</v>
      </c>
      <c r="E1653" s="35"/>
      <c r="F1653" s="35" t="s">
        <v>17</v>
      </c>
      <c r="G1653" s="35"/>
      <c r="H1653" s="35"/>
      <c r="I1653" s="35" t="s">
        <v>18</v>
      </c>
      <c r="J1653" s="35" t="s">
        <v>337</v>
      </c>
    </row>
    <row r="1654" spans="1:10" ht="16" x14ac:dyDescent="0.2">
      <c r="A1654" s="2" t="s">
        <v>301</v>
      </c>
      <c r="B1654" s="6">
        <v>1.00057</v>
      </c>
      <c r="C1654" t="s">
        <v>1035</v>
      </c>
      <c r="D1654" t="s">
        <v>8</v>
      </c>
      <c r="F1654" s="35" t="s">
        <v>20</v>
      </c>
      <c r="G1654" t="s">
        <v>18</v>
      </c>
      <c r="I1654" s="35"/>
      <c r="J1654" s="2" t="s">
        <v>286</v>
      </c>
    </row>
    <row r="1655" spans="1:10" x14ac:dyDescent="0.2">
      <c r="A1655" s="35" t="s">
        <v>28</v>
      </c>
      <c r="B1655" s="36">
        <v>6.7000000000000002E-3</v>
      </c>
      <c r="C1655" t="s">
        <v>1036</v>
      </c>
      <c r="D1655" s="35" t="s">
        <v>29</v>
      </c>
      <c r="E1655" s="35"/>
      <c r="F1655" s="35" t="s">
        <v>20</v>
      </c>
      <c r="G1655" s="35"/>
      <c r="H1655" s="35"/>
      <c r="I1655" s="35"/>
      <c r="J1655" s="35" t="s">
        <v>30</v>
      </c>
    </row>
    <row r="1656" spans="1:10" x14ac:dyDescent="0.2">
      <c r="A1656" s="35" t="s">
        <v>340</v>
      </c>
      <c r="B1656" s="36">
        <v>-1.6799999999999999E-4</v>
      </c>
      <c r="C1656" s="35" t="s">
        <v>31</v>
      </c>
      <c r="D1656" s="35" t="s">
        <v>8</v>
      </c>
      <c r="E1656" s="35"/>
      <c r="F1656" s="35" t="s">
        <v>20</v>
      </c>
      <c r="G1656" s="35"/>
      <c r="H1656" s="35"/>
      <c r="I1656" s="35"/>
      <c r="J1656" s="35" t="s">
        <v>341</v>
      </c>
    </row>
    <row r="1657" spans="1:10" x14ac:dyDescent="0.2">
      <c r="A1657" s="35" t="s">
        <v>342</v>
      </c>
      <c r="B1657" s="36">
        <v>5.8399999999999999E-4</v>
      </c>
      <c r="C1657" s="35" t="s">
        <v>31</v>
      </c>
      <c r="D1657" s="35" t="s">
        <v>19</v>
      </c>
      <c r="E1657" s="35"/>
      <c r="F1657" s="35" t="s">
        <v>20</v>
      </c>
      <c r="G1657" s="35"/>
      <c r="H1657" s="35"/>
      <c r="I1657" s="35"/>
      <c r="J1657" s="35" t="s">
        <v>343</v>
      </c>
    </row>
    <row r="1658" spans="1:10" x14ac:dyDescent="0.2">
      <c r="A1658" s="35" t="s">
        <v>344</v>
      </c>
      <c r="B1658" s="36">
        <v>2.5999999999999998E-10</v>
      </c>
      <c r="C1658" s="35" t="s">
        <v>31</v>
      </c>
      <c r="D1658" s="35" t="s">
        <v>7</v>
      </c>
      <c r="E1658" s="35"/>
      <c r="F1658" s="35" t="s">
        <v>20</v>
      </c>
      <c r="G1658" s="35"/>
      <c r="H1658" s="35"/>
      <c r="I1658" s="35"/>
      <c r="J1658" s="35" t="s">
        <v>345</v>
      </c>
    </row>
    <row r="1659" spans="1:10" x14ac:dyDescent="0.2">
      <c r="A1659" s="35" t="s">
        <v>346</v>
      </c>
      <c r="B1659" s="36">
        <v>-6.2700000000000001E-6</v>
      </c>
      <c r="C1659" s="35" t="s">
        <v>31</v>
      </c>
      <c r="D1659" s="35" t="s">
        <v>8</v>
      </c>
      <c r="E1659" s="35"/>
      <c r="F1659" s="35" t="s">
        <v>20</v>
      </c>
      <c r="G1659" s="35"/>
      <c r="H1659" s="35"/>
      <c r="I1659" s="35"/>
      <c r="J1659" s="35" t="s">
        <v>347</v>
      </c>
    </row>
    <row r="1660" spans="1:10" x14ac:dyDescent="0.2">
      <c r="A1660" s="35" t="s">
        <v>348</v>
      </c>
      <c r="B1660" s="36">
        <v>-7.4999999999999993E-5</v>
      </c>
      <c r="C1660" s="35" t="s">
        <v>31</v>
      </c>
      <c r="D1660" s="35" t="s">
        <v>121</v>
      </c>
      <c r="E1660" s="35"/>
      <c r="F1660" s="35" t="s">
        <v>20</v>
      </c>
      <c r="G1660" s="35"/>
      <c r="H1660" s="35"/>
      <c r="I1660" s="35"/>
      <c r="J1660" s="35" t="s">
        <v>349</v>
      </c>
    </row>
    <row r="1661" spans="1:10" x14ac:dyDescent="0.2">
      <c r="A1661" s="35" t="s">
        <v>350</v>
      </c>
      <c r="B1661" s="36">
        <v>6.8900000000000005E-4</v>
      </c>
      <c r="C1661" s="35" t="s">
        <v>31</v>
      </c>
      <c r="D1661" s="35" t="s">
        <v>8</v>
      </c>
      <c r="E1661" s="35"/>
      <c r="F1661" s="35" t="s">
        <v>20</v>
      </c>
      <c r="G1661" s="35"/>
      <c r="H1661" s="35"/>
      <c r="I1661" s="35"/>
      <c r="J1661" s="35" t="s">
        <v>351</v>
      </c>
    </row>
    <row r="1662" spans="1:10" x14ac:dyDescent="0.2">
      <c r="A1662" s="35" t="s">
        <v>100</v>
      </c>
      <c r="B1662" s="36">
        <v>3.3599999999999998E-2</v>
      </c>
      <c r="C1662" s="35" t="s">
        <v>31</v>
      </c>
      <c r="D1662" s="35" t="s">
        <v>41</v>
      </c>
      <c r="E1662" s="35"/>
      <c r="F1662" s="35" t="s">
        <v>20</v>
      </c>
      <c r="G1662" s="35"/>
      <c r="H1662" s="35"/>
      <c r="I1662" s="35"/>
      <c r="J1662" s="35" t="s">
        <v>103</v>
      </c>
    </row>
    <row r="1663" spans="1:10" x14ac:dyDescent="0.2">
      <c r="A1663" s="35" t="s">
        <v>352</v>
      </c>
      <c r="B1663" s="36">
        <v>3.2599999999999997E-2</v>
      </c>
      <c r="C1663" s="35" t="s">
        <v>572</v>
      </c>
      <c r="D1663" s="35" t="s">
        <v>41</v>
      </c>
      <c r="E1663" s="35"/>
      <c r="F1663" s="35" t="s">
        <v>20</v>
      </c>
      <c r="G1663" s="35"/>
      <c r="H1663" s="35"/>
      <c r="I1663" s="35"/>
      <c r="J1663" s="35" t="s">
        <v>353</v>
      </c>
    </row>
    <row r="1664" spans="1:10" x14ac:dyDescent="0.2">
      <c r="A1664" s="35" t="s">
        <v>354</v>
      </c>
      <c r="B1664" s="36">
        <v>-6.8899999999999999E-7</v>
      </c>
      <c r="C1664" s="35" t="s">
        <v>31</v>
      </c>
      <c r="D1664" s="35" t="s">
        <v>121</v>
      </c>
      <c r="E1664" s="35"/>
      <c r="F1664" s="35" t="s">
        <v>20</v>
      </c>
      <c r="G1664" s="35"/>
      <c r="H1664" s="35"/>
      <c r="I1664" s="35"/>
      <c r="J1664" s="35" t="s">
        <v>355</v>
      </c>
    </row>
    <row r="1665" spans="1:10" x14ac:dyDescent="0.2">
      <c r="A1665" s="35"/>
      <c r="B1665" s="36"/>
      <c r="C1665" s="35"/>
      <c r="D1665" s="35"/>
      <c r="E1665" s="35"/>
      <c r="F1665" s="35"/>
      <c r="G1665" s="35"/>
      <c r="H1665" s="35"/>
      <c r="I1665" s="35"/>
      <c r="J1665" s="35"/>
    </row>
    <row r="1666" spans="1:10" ht="16" x14ac:dyDescent="0.2">
      <c r="A1666" s="1" t="s">
        <v>1</v>
      </c>
      <c r="B1666" s="71" t="s">
        <v>519</v>
      </c>
    </row>
    <row r="1667" spans="1:10" x14ac:dyDescent="0.2">
      <c r="A1667" t="s">
        <v>2</v>
      </c>
      <c r="B1667" s="6" t="s">
        <v>1035</v>
      </c>
    </row>
    <row r="1668" spans="1:10" x14ac:dyDescent="0.2">
      <c r="A1668" t="s">
        <v>3</v>
      </c>
      <c r="B1668" s="6">
        <v>1</v>
      </c>
    </row>
    <row r="1669" spans="1:10" ht="16" x14ac:dyDescent="0.2">
      <c r="A1669" t="s">
        <v>4</v>
      </c>
      <c r="B1669" s="72" t="s">
        <v>337</v>
      </c>
    </row>
    <row r="1670" spans="1:10" x14ac:dyDescent="0.2">
      <c r="A1670" t="s">
        <v>5</v>
      </c>
      <c r="B1670" s="6" t="s">
        <v>6</v>
      </c>
    </row>
    <row r="1671" spans="1:10" x14ac:dyDescent="0.2">
      <c r="A1671" t="s">
        <v>7</v>
      </c>
      <c r="B1671" s="6" t="s">
        <v>8</v>
      </c>
    </row>
    <row r="1672" spans="1:10" x14ac:dyDescent="0.2">
      <c r="A1672" t="s">
        <v>9</v>
      </c>
      <c r="B1672" s="6" t="s">
        <v>393</v>
      </c>
    </row>
    <row r="1673" spans="1:10" x14ac:dyDescent="0.2">
      <c r="A1673" t="s">
        <v>11</v>
      </c>
      <c r="B1673" s="6" t="s">
        <v>507</v>
      </c>
    </row>
    <row r="1674" spans="1:10" ht="16" x14ac:dyDescent="0.2">
      <c r="A1674" s="1" t="s">
        <v>12</v>
      </c>
    </row>
    <row r="1675" spans="1:10" x14ac:dyDescent="0.2">
      <c r="A1675" t="s">
        <v>13</v>
      </c>
      <c r="B1675" s="6" t="s">
        <v>14</v>
      </c>
      <c r="C1675" t="s">
        <v>2</v>
      </c>
      <c r="D1675" t="s">
        <v>7</v>
      </c>
      <c r="E1675" t="s">
        <v>15</v>
      </c>
      <c r="F1675" t="s">
        <v>5</v>
      </c>
      <c r="G1675" t="s">
        <v>338</v>
      </c>
      <c r="H1675" t="s">
        <v>339</v>
      </c>
      <c r="I1675" t="s">
        <v>11</v>
      </c>
      <c r="J1675" t="s">
        <v>4</v>
      </c>
    </row>
    <row r="1676" spans="1:10" x14ac:dyDescent="0.2">
      <c r="A1676" s="35" t="s">
        <v>519</v>
      </c>
      <c r="B1676" s="36">
        <v>1</v>
      </c>
      <c r="C1676" t="s">
        <v>1035</v>
      </c>
      <c r="D1676" s="35" t="s">
        <v>8</v>
      </c>
      <c r="E1676" s="35"/>
      <c r="F1676" s="35" t="s">
        <v>17</v>
      </c>
      <c r="G1676" s="35"/>
      <c r="H1676" s="35"/>
      <c r="I1676" s="35" t="s">
        <v>18</v>
      </c>
      <c r="J1676" s="35" t="s">
        <v>337</v>
      </c>
    </row>
    <row r="1677" spans="1:10" ht="16" x14ac:dyDescent="0.2">
      <c r="A1677" s="2" t="s">
        <v>518</v>
      </c>
      <c r="B1677" s="6">
        <v>1.00057</v>
      </c>
      <c r="C1677" t="s">
        <v>1035</v>
      </c>
      <c r="D1677" t="s">
        <v>8</v>
      </c>
      <c r="F1677" s="35" t="s">
        <v>20</v>
      </c>
      <c r="G1677" t="s">
        <v>18</v>
      </c>
      <c r="I1677" s="35"/>
      <c r="J1677" s="2" t="s">
        <v>286</v>
      </c>
    </row>
    <row r="1678" spans="1:10" x14ac:dyDescent="0.2">
      <c r="A1678" s="35" t="s">
        <v>28</v>
      </c>
      <c r="B1678" s="36">
        <v>6.7000000000000002E-3</v>
      </c>
      <c r="C1678" t="s">
        <v>1036</v>
      </c>
      <c r="D1678" s="35" t="s">
        <v>29</v>
      </c>
      <c r="E1678" s="35"/>
      <c r="F1678" s="35" t="s">
        <v>20</v>
      </c>
      <c r="G1678" s="35"/>
      <c r="H1678" s="35"/>
      <c r="I1678" s="35"/>
      <c r="J1678" s="35" t="s">
        <v>30</v>
      </c>
    </row>
    <row r="1679" spans="1:10" x14ac:dyDescent="0.2">
      <c r="A1679" s="35" t="s">
        <v>340</v>
      </c>
      <c r="B1679" s="36">
        <v>-1.6799999999999999E-4</v>
      </c>
      <c r="C1679" s="35" t="s">
        <v>31</v>
      </c>
      <c r="D1679" s="35" t="s">
        <v>8</v>
      </c>
      <c r="E1679" s="35"/>
      <c r="F1679" s="35" t="s">
        <v>20</v>
      </c>
      <c r="G1679" s="35"/>
      <c r="H1679" s="35"/>
      <c r="I1679" s="35"/>
      <c r="J1679" s="35" t="s">
        <v>341</v>
      </c>
    </row>
    <row r="1680" spans="1:10" x14ac:dyDescent="0.2">
      <c r="A1680" s="35" t="s">
        <v>342</v>
      </c>
      <c r="B1680" s="36">
        <v>5.8399999999999999E-4</v>
      </c>
      <c r="C1680" s="35" t="s">
        <v>31</v>
      </c>
      <c r="D1680" s="35" t="s">
        <v>19</v>
      </c>
      <c r="E1680" s="35"/>
      <c r="F1680" s="35" t="s">
        <v>20</v>
      </c>
      <c r="G1680" s="35"/>
      <c r="H1680" s="35"/>
      <c r="I1680" s="35"/>
      <c r="J1680" s="35" t="s">
        <v>343</v>
      </c>
    </row>
    <row r="1681" spans="1:10" x14ac:dyDescent="0.2">
      <c r="A1681" s="35" t="s">
        <v>344</v>
      </c>
      <c r="B1681" s="36">
        <v>2.5999999999999998E-10</v>
      </c>
      <c r="C1681" s="35" t="s">
        <v>31</v>
      </c>
      <c r="D1681" s="35" t="s">
        <v>7</v>
      </c>
      <c r="E1681" s="35"/>
      <c r="F1681" s="35" t="s">
        <v>20</v>
      </c>
      <c r="G1681" s="35"/>
      <c r="H1681" s="35"/>
      <c r="I1681" s="35"/>
      <c r="J1681" s="35" t="s">
        <v>345</v>
      </c>
    </row>
    <row r="1682" spans="1:10" x14ac:dyDescent="0.2">
      <c r="A1682" s="35" t="s">
        <v>346</v>
      </c>
      <c r="B1682" s="36">
        <v>-6.2700000000000001E-6</v>
      </c>
      <c r="C1682" s="35" t="s">
        <v>31</v>
      </c>
      <c r="D1682" s="35" t="s">
        <v>8</v>
      </c>
      <c r="E1682" s="35"/>
      <c r="F1682" s="35" t="s">
        <v>20</v>
      </c>
      <c r="G1682" s="35"/>
      <c r="H1682" s="35"/>
      <c r="I1682" s="35"/>
      <c r="J1682" s="35" t="s">
        <v>347</v>
      </c>
    </row>
    <row r="1683" spans="1:10" x14ac:dyDescent="0.2">
      <c r="A1683" s="35" t="s">
        <v>348</v>
      </c>
      <c r="B1683" s="36">
        <v>-7.4999999999999993E-5</v>
      </c>
      <c r="C1683" s="35" t="s">
        <v>31</v>
      </c>
      <c r="D1683" s="35" t="s">
        <v>121</v>
      </c>
      <c r="E1683" s="35"/>
      <c r="F1683" s="35" t="s">
        <v>20</v>
      </c>
      <c r="G1683" s="35"/>
      <c r="H1683" s="35"/>
      <c r="I1683" s="35"/>
      <c r="J1683" s="35" t="s">
        <v>349</v>
      </c>
    </row>
    <row r="1684" spans="1:10" x14ac:dyDescent="0.2">
      <c r="A1684" s="35" t="s">
        <v>350</v>
      </c>
      <c r="B1684" s="36">
        <v>6.8900000000000005E-4</v>
      </c>
      <c r="C1684" s="35" t="s">
        <v>31</v>
      </c>
      <c r="D1684" s="35" t="s">
        <v>8</v>
      </c>
      <c r="E1684" s="35"/>
      <c r="F1684" s="35" t="s">
        <v>20</v>
      </c>
      <c r="G1684" s="35"/>
      <c r="H1684" s="35"/>
      <c r="I1684" s="35"/>
      <c r="J1684" s="35" t="s">
        <v>351</v>
      </c>
    </row>
    <row r="1685" spans="1:10" x14ac:dyDescent="0.2">
      <c r="A1685" s="35" t="s">
        <v>100</v>
      </c>
      <c r="B1685" s="36">
        <v>3.3599999999999998E-2</v>
      </c>
      <c r="C1685" s="35" t="s">
        <v>31</v>
      </c>
      <c r="D1685" s="35" t="s">
        <v>41</v>
      </c>
      <c r="E1685" s="35"/>
      <c r="F1685" s="35" t="s">
        <v>20</v>
      </c>
      <c r="G1685" s="35"/>
      <c r="H1685" s="35"/>
      <c r="I1685" s="35"/>
      <c r="J1685" s="35" t="s">
        <v>103</v>
      </c>
    </row>
    <row r="1686" spans="1:10" x14ac:dyDescent="0.2">
      <c r="A1686" s="35" t="s">
        <v>352</v>
      </c>
      <c r="B1686" s="36">
        <v>3.2599999999999997E-2</v>
      </c>
      <c r="C1686" s="35" t="s">
        <v>572</v>
      </c>
      <c r="D1686" s="35" t="s">
        <v>41</v>
      </c>
      <c r="E1686" s="35"/>
      <c r="F1686" s="35" t="s">
        <v>20</v>
      </c>
      <c r="G1686" s="35"/>
      <c r="H1686" s="35"/>
      <c r="I1686" s="35"/>
      <c r="J1686" s="35" t="s">
        <v>353</v>
      </c>
    </row>
    <row r="1687" spans="1:10" x14ac:dyDescent="0.2">
      <c r="A1687" s="35" t="s">
        <v>354</v>
      </c>
      <c r="B1687" s="36">
        <v>-6.8899999999999999E-7</v>
      </c>
      <c r="C1687" s="35" t="s">
        <v>31</v>
      </c>
      <c r="D1687" s="35" t="s">
        <v>121</v>
      </c>
      <c r="E1687" s="35"/>
      <c r="F1687" s="35" t="s">
        <v>20</v>
      </c>
      <c r="G1687" s="35"/>
      <c r="H1687" s="35"/>
      <c r="I1687" s="35"/>
      <c r="J1687" s="35" t="s">
        <v>355</v>
      </c>
    </row>
    <row r="1688" spans="1:10" x14ac:dyDescent="0.2">
      <c r="A1688" s="35"/>
      <c r="B1688" s="36"/>
      <c r="C1688" s="35"/>
      <c r="D1688" s="35"/>
      <c r="E1688" s="35"/>
      <c r="F1688" s="35"/>
      <c r="G1688" s="35"/>
      <c r="H1688" s="35"/>
      <c r="I1688" s="35"/>
      <c r="J1688" s="35"/>
    </row>
    <row r="1689" spans="1:10" ht="16" x14ac:dyDescent="0.2">
      <c r="A1689" s="2"/>
      <c r="H1689" s="2"/>
    </row>
    <row r="1690" spans="1:10" ht="16" x14ac:dyDescent="0.2">
      <c r="A1690" s="1" t="s">
        <v>1</v>
      </c>
      <c r="B1690" s="71" t="s">
        <v>1091</v>
      </c>
    </row>
    <row r="1691" spans="1:10" x14ac:dyDescent="0.2">
      <c r="A1691" t="s">
        <v>2</v>
      </c>
      <c r="B1691" s="6" t="s">
        <v>1035</v>
      </c>
    </row>
    <row r="1692" spans="1:10" x14ac:dyDescent="0.2">
      <c r="A1692" t="s">
        <v>3</v>
      </c>
      <c r="B1692" s="6">
        <v>1</v>
      </c>
    </row>
    <row r="1693" spans="1:10" ht="16" x14ac:dyDescent="0.2">
      <c r="A1693" t="s">
        <v>4</v>
      </c>
      <c r="B1693" s="72" t="s">
        <v>337</v>
      </c>
    </row>
    <row r="1694" spans="1:10" x14ac:dyDescent="0.2">
      <c r="A1694" t="s">
        <v>5</v>
      </c>
      <c r="B1694" s="6" t="s">
        <v>6</v>
      </c>
    </row>
    <row r="1695" spans="1:10" x14ac:dyDescent="0.2">
      <c r="A1695" t="s">
        <v>7</v>
      </c>
      <c r="B1695" s="6" t="s">
        <v>8</v>
      </c>
    </row>
    <row r="1696" spans="1:10" x14ac:dyDescent="0.2">
      <c r="A1696" t="s">
        <v>9</v>
      </c>
      <c r="B1696" s="6" t="s">
        <v>393</v>
      </c>
    </row>
    <row r="1697" spans="1:10" x14ac:dyDescent="0.2">
      <c r="A1697" t="s">
        <v>11</v>
      </c>
      <c r="B1697" s="6" t="s">
        <v>362</v>
      </c>
    </row>
    <row r="1698" spans="1:10" ht="16" x14ac:dyDescent="0.2">
      <c r="A1698" s="1" t="s">
        <v>12</v>
      </c>
    </row>
    <row r="1699" spans="1:10" x14ac:dyDescent="0.2">
      <c r="A1699" t="s">
        <v>13</v>
      </c>
      <c r="B1699" s="6" t="s">
        <v>14</v>
      </c>
      <c r="C1699" t="s">
        <v>2</v>
      </c>
      <c r="D1699" t="s">
        <v>7</v>
      </c>
      <c r="E1699" t="s">
        <v>15</v>
      </c>
      <c r="F1699" t="s">
        <v>5</v>
      </c>
      <c r="G1699" t="s">
        <v>338</v>
      </c>
      <c r="H1699" t="s">
        <v>339</v>
      </c>
      <c r="I1699" t="s">
        <v>11</v>
      </c>
      <c r="J1699" t="s">
        <v>4</v>
      </c>
    </row>
    <row r="1700" spans="1:10" x14ac:dyDescent="0.2">
      <c r="A1700" s="35" t="s">
        <v>1091</v>
      </c>
      <c r="B1700" s="36">
        <v>1</v>
      </c>
      <c r="C1700" t="s">
        <v>1035</v>
      </c>
      <c r="D1700" s="35" t="s">
        <v>8</v>
      </c>
      <c r="E1700" s="35"/>
      <c r="F1700" s="35" t="s">
        <v>17</v>
      </c>
      <c r="G1700" s="35"/>
      <c r="H1700" s="35"/>
      <c r="I1700" s="35" t="s">
        <v>18</v>
      </c>
      <c r="J1700" s="35" t="s">
        <v>337</v>
      </c>
    </row>
    <row r="1701" spans="1:10" ht="16" x14ac:dyDescent="0.2">
      <c r="A1701" s="2" t="s">
        <v>1086</v>
      </c>
      <c r="B1701" s="6">
        <v>1.00057</v>
      </c>
      <c r="C1701" t="s">
        <v>1035</v>
      </c>
      <c r="D1701" t="s">
        <v>8</v>
      </c>
      <c r="F1701" s="35" t="s">
        <v>20</v>
      </c>
      <c r="G1701" t="s">
        <v>18</v>
      </c>
      <c r="I1701" s="35"/>
      <c r="J1701" s="2" t="s">
        <v>286</v>
      </c>
    </row>
    <row r="1702" spans="1:10" x14ac:dyDescent="0.2">
      <c r="A1702" s="35" t="s">
        <v>28</v>
      </c>
      <c r="B1702" s="36">
        <v>6.7000000000000002E-3</v>
      </c>
      <c r="C1702" t="s">
        <v>1036</v>
      </c>
      <c r="D1702" s="35" t="s">
        <v>29</v>
      </c>
      <c r="E1702" s="35"/>
      <c r="F1702" s="35" t="s">
        <v>20</v>
      </c>
      <c r="G1702" s="35"/>
      <c r="H1702" s="35"/>
      <c r="I1702" s="35"/>
      <c r="J1702" s="35" t="s">
        <v>30</v>
      </c>
    </row>
    <row r="1703" spans="1:10" x14ac:dyDescent="0.2">
      <c r="A1703" s="35" t="s">
        <v>340</v>
      </c>
      <c r="B1703" s="36">
        <v>-1.6799999999999999E-4</v>
      </c>
      <c r="C1703" s="35" t="s">
        <v>31</v>
      </c>
      <c r="D1703" s="35" t="s">
        <v>8</v>
      </c>
      <c r="E1703" s="35"/>
      <c r="F1703" s="35" t="s">
        <v>20</v>
      </c>
      <c r="G1703" s="35"/>
      <c r="H1703" s="35"/>
      <c r="I1703" s="35"/>
      <c r="J1703" s="35" t="s">
        <v>341</v>
      </c>
    </row>
    <row r="1704" spans="1:10" x14ac:dyDescent="0.2">
      <c r="A1704" s="35" t="s">
        <v>342</v>
      </c>
      <c r="B1704" s="36">
        <v>5.8399999999999999E-4</v>
      </c>
      <c r="C1704" s="35" t="s">
        <v>31</v>
      </c>
      <c r="D1704" s="35" t="s">
        <v>19</v>
      </c>
      <c r="E1704" s="35"/>
      <c r="F1704" s="35" t="s">
        <v>20</v>
      </c>
      <c r="G1704" s="35"/>
      <c r="H1704" s="35"/>
      <c r="I1704" s="35"/>
      <c r="J1704" s="35" t="s">
        <v>343</v>
      </c>
    </row>
    <row r="1705" spans="1:10" x14ac:dyDescent="0.2">
      <c r="A1705" s="35" t="s">
        <v>344</v>
      </c>
      <c r="B1705" s="36">
        <v>2.5999999999999998E-10</v>
      </c>
      <c r="C1705" s="35" t="s">
        <v>31</v>
      </c>
      <c r="D1705" s="35" t="s">
        <v>7</v>
      </c>
      <c r="E1705" s="35"/>
      <c r="F1705" s="35" t="s">
        <v>20</v>
      </c>
      <c r="G1705" s="35"/>
      <c r="H1705" s="35"/>
      <c r="I1705" s="35"/>
      <c r="J1705" s="35" t="s">
        <v>345</v>
      </c>
    </row>
    <row r="1706" spans="1:10" x14ac:dyDescent="0.2">
      <c r="A1706" s="35" t="s">
        <v>346</v>
      </c>
      <c r="B1706" s="36">
        <v>-6.2700000000000001E-6</v>
      </c>
      <c r="C1706" s="35" t="s">
        <v>31</v>
      </c>
      <c r="D1706" s="35" t="s">
        <v>8</v>
      </c>
      <c r="E1706" s="35"/>
      <c r="F1706" s="35" t="s">
        <v>20</v>
      </c>
      <c r="G1706" s="35"/>
      <c r="H1706" s="35"/>
      <c r="I1706" s="35"/>
      <c r="J1706" s="35" t="s">
        <v>347</v>
      </c>
    </row>
    <row r="1707" spans="1:10" x14ac:dyDescent="0.2">
      <c r="A1707" s="35" t="s">
        <v>348</v>
      </c>
      <c r="B1707" s="36">
        <v>-7.4999999999999993E-5</v>
      </c>
      <c r="C1707" s="35" t="s">
        <v>31</v>
      </c>
      <c r="D1707" s="35" t="s">
        <v>121</v>
      </c>
      <c r="E1707" s="35"/>
      <c r="F1707" s="35" t="s">
        <v>20</v>
      </c>
      <c r="G1707" s="35"/>
      <c r="H1707" s="35"/>
      <c r="I1707" s="35"/>
      <c r="J1707" s="35" t="s">
        <v>349</v>
      </c>
    </row>
    <row r="1708" spans="1:10" x14ac:dyDescent="0.2">
      <c r="A1708" s="35" t="s">
        <v>350</v>
      </c>
      <c r="B1708" s="36">
        <v>6.8900000000000005E-4</v>
      </c>
      <c r="C1708" s="35" t="s">
        <v>31</v>
      </c>
      <c r="D1708" s="35" t="s">
        <v>8</v>
      </c>
      <c r="E1708" s="35"/>
      <c r="F1708" s="35" t="s">
        <v>20</v>
      </c>
      <c r="G1708" s="35"/>
      <c r="H1708" s="35"/>
      <c r="I1708" s="35"/>
      <c r="J1708" s="35" t="s">
        <v>351</v>
      </c>
    </row>
    <row r="1709" spans="1:10" x14ac:dyDescent="0.2">
      <c r="A1709" s="35" t="s">
        <v>100</v>
      </c>
      <c r="B1709" s="36">
        <v>3.3599999999999998E-2</v>
      </c>
      <c r="C1709" s="35" t="s">
        <v>31</v>
      </c>
      <c r="D1709" s="35" t="s">
        <v>41</v>
      </c>
      <c r="E1709" s="35"/>
      <c r="F1709" s="35" t="s">
        <v>20</v>
      </c>
      <c r="G1709" s="35"/>
      <c r="H1709" s="35"/>
      <c r="I1709" s="35"/>
      <c r="J1709" s="35" t="s">
        <v>103</v>
      </c>
    </row>
    <row r="1710" spans="1:10" x14ac:dyDescent="0.2">
      <c r="A1710" s="35" t="s">
        <v>352</v>
      </c>
      <c r="B1710" s="36">
        <v>3.2599999999999997E-2</v>
      </c>
      <c r="C1710" s="35" t="s">
        <v>572</v>
      </c>
      <c r="D1710" s="35" t="s">
        <v>41</v>
      </c>
      <c r="E1710" s="35"/>
      <c r="F1710" s="35" t="s">
        <v>20</v>
      </c>
      <c r="G1710" s="35"/>
      <c r="H1710" s="35"/>
      <c r="I1710" s="35"/>
      <c r="J1710" s="35" t="s">
        <v>353</v>
      </c>
    </row>
    <row r="1711" spans="1:10" x14ac:dyDescent="0.2">
      <c r="A1711" s="35" t="s">
        <v>354</v>
      </c>
      <c r="B1711" s="36">
        <v>-6.8899999999999999E-7</v>
      </c>
      <c r="C1711" s="35" t="s">
        <v>31</v>
      </c>
      <c r="D1711" s="35" t="s">
        <v>121</v>
      </c>
      <c r="E1711" s="35"/>
      <c r="F1711" s="35" t="s">
        <v>20</v>
      </c>
      <c r="G1711" s="35"/>
      <c r="H1711" s="35"/>
      <c r="I1711" s="35"/>
      <c r="J1711" s="35" t="s">
        <v>355</v>
      </c>
    </row>
    <row r="1713" spans="1:10" ht="16" x14ac:dyDescent="0.2">
      <c r="A1713" s="1" t="s">
        <v>1</v>
      </c>
      <c r="B1713" s="71" t="s">
        <v>1092</v>
      </c>
    </row>
    <row r="1714" spans="1:10" x14ac:dyDescent="0.2">
      <c r="A1714" t="s">
        <v>2</v>
      </c>
      <c r="B1714" s="6" t="s">
        <v>1035</v>
      </c>
    </row>
    <row r="1715" spans="1:10" x14ac:dyDescent="0.2">
      <c r="A1715" t="s">
        <v>3</v>
      </c>
      <c r="B1715" s="6">
        <v>1</v>
      </c>
    </row>
    <row r="1716" spans="1:10" ht="16" x14ac:dyDescent="0.2">
      <c r="A1716" t="s">
        <v>4</v>
      </c>
      <c r="B1716" s="72" t="s">
        <v>337</v>
      </c>
    </row>
    <row r="1717" spans="1:10" x14ac:dyDescent="0.2">
      <c r="A1717" t="s">
        <v>5</v>
      </c>
      <c r="B1717" s="6" t="s">
        <v>6</v>
      </c>
    </row>
    <row r="1718" spans="1:10" x14ac:dyDescent="0.2">
      <c r="A1718" t="s">
        <v>7</v>
      </c>
      <c r="B1718" s="6" t="s">
        <v>8</v>
      </c>
    </row>
    <row r="1719" spans="1:10" x14ac:dyDescent="0.2">
      <c r="A1719" t="s">
        <v>9</v>
      </c>
      <c r="B1719" s="6" t="s">
        <v>393</v>
      </c>
    </row>
    <row r="1720" spans="1:10" x14ac:dyDescent="0.2">
      <c r="A1720" t="s">
        <v>11</v>
      </c>
      <c r="B1720" s="6" t="s">
        <v>361</v>
      </c>
    </row>
    <row r="1721" spans="1:10" ht="16" x14ac:dyDescent="0.2">
      <c r="A1721" s="1" t="s">
        <v>12</v>
      </c>
    </row>
    <row r="1722" spans="1:10" x14ac:dyDescent="0.2">
      <c r="A1722" t="s">
        <v>13</v>
      </c>
      <c r="B1722" s="6" t="s">
        <v>14</v>
      </c>
      <c r="C1722" t="s">
        <v>2</v>
      </c>
      <c r="D1722" t="s">
        <v>7</v>
      </c>
      <c r="E1722" t="s">
        <v>15</v>
      </c>
      <c r="F1722" t="s">
        <v>5</v>
      </c>
      <c r="G1722" t="s">
        <v>338</v>
      </c>
      <c r="H1722" t="s">
        <v>339</v>
      </c>
      <c r="I1722" t="s">
        <v>11</v>
      </c>
      <c r="J1722" t="s">
        <v>4</v>
      </c>
    </row>
    <row r="1723" spans="1:10" x14ac:dyDescent="0.2">
      <c r="A1723" s="35" t="s">
        <v>1092</v>
      </c>
      <c r="B1723" s="36">
        <v>1</v>
      </c>
      <c r="C1723" t="s">
        <v>1035</v>
      </c>
      <c r="D1723" s="35" t="s">
        <v>8</v>
      </c>
      <c r="E1723" s="35"/>
      <c r="F1723" s="35" t="s">
        <v>17</v>
      </c>
      <c r="G1723" s="35"/>
      <c r="H1723" s="35"/>
      <c r="I1723" s="35" t="s">
        <v>18</v>
      </c>
      <c r="J1723" s="35" t="s">
        <v>337</v>
      </c>
    </row>
    <row r="1724" spans="1:10" ht="16" x14ac:dyDescent="0.2">
      <c r="A1724" s="2" t="s">
        <v>1087</v>
      </c>
      <c r="B1724" s="6">
        <v>1.00057</v>
      </c>
      <c r="C1724" t="s">
        <v>1035</v>
      </c>
      <c r="D1724" t="s">
        <v>8</v>
      </c>
      <c r="F1724" s="35" t="s">
        <v>20</v>
      </c>
      <c r="G1724" t="s">
        <v>18</v>
      </c>
      <c r="I1724" s="35"/>
      <c r="J1724" s="2" t="s">
        <v>286</v>
      </c>
    </row>
    <row r="1725" spans="1:10" x14ac:dyDescent="0.2">
      <c r="A1725" s="35" t="s">
        <v>28</v>
      </c>
      <c r="B1725" s="36">
        <v>6.7000000000000002E-3</v>
      </c>
      <c r="C1725" t="s">
        <v>1036</v>
      </c>
      <c r="D1725" s="35" t="s">
        <v>29</v>
      </c>
      <c r="E1725" s="35"/>
      <c r="F1725" s="35" t="s">
        <v>20</v>
      </c>
      <c r="G1725" s="35"/>
      <c r="H1725" s="35"/>
      <c r="I1725" s="35"/>
      <c r="J1725" s="35" t="s">
        <v>30</v>
      </c>
    </row>
    <row r="1726" spans="1:10" x14ac:dyDescent="0.2">
      <c r="A1726" s="35" t="s">
        <v>340</v>
      </c>
      <c r="B1726" s="36">
        <v>-1.6799999999999999E-4</v>
      </c>
      <c r="C1726" s="35" t="s">
        <v>31</v>
      </c>
      <c r="D1726" s="35" t="s">
        <v>8</v>
      </c>
      <c r="E1726" s="35"/>
      <c r="F1726" s="35" t="s">
        <v>20</v>
      </c>
      <c r="G1726" s="35"/>
      <c r="H1726" s="35"/>
      <c r="I1726" s="35"/>
      <c r="J1726" s="35" t="s">
        <v>341</v>
      </c>
    </row>
    <row r="1727" spans="1:10" x14ac:dyDescent="0.2">
      <c r="A1727" s="35" t="s">
        <v>342</v>
      </c>
      <c r="B1727" s="36">
        <v>5.8399999999999999E-4</v>
      </c>
      <c r="C1727" s="35" t="s">
        <v>31</v>
      </c>
      <c r="D1727" s="35" t="s">
        <v>19</v>
      </c>
      <c r="E1727" s="35"/>
      <c r="F1727" s="35" t="s">
        <v>20</v>
      </c>
      <c r="G1727" s="35"/>
      <c r="H1727" s="35"/>
      <c r="I1727" s="35"/>
      <c r="J1727" s="35" t="s">
        <v>343</v>
      </c>
    </row>
    <row r="1728" spans="1:10" x14ac:dyDescent="0.2">
      <c r="A1728" s="35" t="s">
        <v>344</v>
      </c>
      <c r="B1728" s="36">
        <v>2.5999999999999998E-10</v>
      </c>
      <c r="C1728" s="35" t="s">
        <v>31</v>
      </c>
      <c r="D1728" s="35" t="s">
        <v>7</v>
      </c>
      <c r="E1728" s="35"/>
      <c r="F1728" s="35" t="s">
        <v>20</v>
      </c>
      <c r="G1728" s="35"/>
      <c r="H1728" s="35"/>
      <c r="I1728" s="35"/>
      <c r="J1728" s="35" t="s">
        <v>345</v>
      </c>
    </row>
    <row r="1729" spans="1:10" x14ac:dyDescent="0.2">
      <c r="A1729" s="35" t="s">
        <v>346</v>
      </c>
      <c r="B1729" s="36">
        <v>-6.2700000000000001E-6</v>
      </c>
      <c r="C1729" s="35" t="s">
        <v>31</v>
      </c>
      <c r="D1729" s="35" t="s">
        <v>8</v>
      </c>
      <c r="E1729" s="35"/>
      <c r="F1729" s="35" t="s">
        <v>20</v>
      </c>
      <c r="G1729" s="35"/>
      <c r="H1729" s="35"/>
      <c r="I1729" s="35"/>
      <c r="J1729" s="35" t="s">
        <v>347</v>
      </c>
    </row>
    <row r="1730" spans="1:10" x14ac:dyDescent="0.2">
      <c r="A1730" s="35" t="s">
        <v>348</v>
      </c>
      <c r="B1730" s="36">
        <v>-7.4999999999999993E-5</v>
      </c>
      <c r="C1730" s="35" t="s">
        <v>31</v>
      </c>
      <c r="D1730" s="35" t="s">
        <v>121</v>
      </c>
      <c r="E1730" s="35"/>
      <c r="F1730" s="35" t="s">
        <v>20</v>
      </c>
      <c r="G1730" s="35"/>
      <c r="H1730" s="35"/>
      <c r="I1730" s="35"/>
      <c r="J1730" s="35" t="s">
        <v>349</v>
      </c>
    </row>
    <row r="1731" spans="1:10" x14ac:dyDescent="0.2">
      <c r="A1731" s="35" t="s">
        <v>350</v>
      </c>
      <c r="B1731" s="36">
        <v>6.8900000000000005E-4</v>
      </c>
      <c r="C1731" s="35" t="s">
        <v>31</v>
      </c>
      <c r="D1731" s="35" t="s">
        <v>8</v>
      </c>
      <c r="E1731" s="35"/>
      <c r="F1731" s="35" t="s">
        <v>20</v>
      </c>
      <c r="G1731" s="35"/>
      <c r="H1731" s="35"/>
      <c r="I1731" s="35"/>
      <c r="J1731" s="35" t="s">
        <v>351</v>
      </c>
    </row>
    <row r="1732" spans="1:10" x14ac:dyDescent="0.2">
      <c r="A1732" s="35" t="s">
        <v>100</v>
      </c>
      <c r="B1732" s="36">
        <v>3.3599999999999998E-2</v>
      </c>
      <c r="C1732" s="35" t="s">
        <v>31</v>
      </c>
      <c r="D1732" s="35" t="s">
        <v>41</v>
      </c>
      <c r="E1732" s="35"/>
      <c r="F1732" s="35" t="s">
        <v>20</v>
      </c>
      <c r="G1732" s="35"/>
      <c r="H1732" s="35"/>
      <c r="I1732" s="35"/>
      <c r="J1732" s="35" t="s">
        <v>103</v>
      </c>
    </row>
    <row r="1733" spans="1:10" x14ac:dyDescent="0.2">
      <c r="A1733" s="35" t="s">
        <v>352</v>
      </c>
      <c r="B1733" s="36">
        <v>3.2599999999999997E-2</v>
      </c>
      <c r="C1733" s="35" t="s">
        <v>572</v>
      </c>
      <c r="D1733" s="35" t="s">
        <v>41</v>
      </c>
      <c r="E1733" s="35"/>
      <c r="F1733" s="35" t="s">
        <v>20</v>
      </c>
      <c r="G1733" s="35"/>
      <c r="H1733" s="35"/>
      <c r="I1733" s="35"/>
      <c r="J1733" s="35" t="s">
        <v>353</v>
      </c>
    </row>
    <row r="1734" spans="1:10" x14ac:dyDescent="0.2">
      <c r="A1734" s="35" t="s">
        <v>354</v>
      </c>
      <c r="B1734" s="36">
        <v>-6.8899999999999999E-7</v>
      </c>
      <c r="C1734" s="35" t="s">
        <v>31</v>
      </c>
      <c r="D1734" s="35" t="s">
        <v>121</v>
      </c>
      <c r="E1734" s="35"/>
      <c r="F1734" s="35" t="s">
        <v>20</v>
      </c>
      <c r="G1734" s="35"/>
      <c r="H1734" s="35"/>
      <c r="I1734" s="35"/>
      <c r="J1734" s="35" t="s">
        <v>355</v>
      </c>
    </row>
    <row r="1735" spans="1:10" x14ac:dyDescent="0.2">
      <c r="A1735" s="35"/>
      <c r="B1735" s="36"/>
      <c r="C1735" s="35"/>
      <c r="D1735" s="35"/>
      <c r="E1735" s="35"/>
      <c r="F1735" s="35"/>
      <c r="G1735" s="35"/>
      <c r="H1735" s="35"/>
      <c r="I1735" s="35"/>
      <c r="J1735" s="35"/>
    </row>
    <row r="1736" spans="1:10" ht="16" x14ac:dyDescent="0.2">
      <c r="A1736" s="1" t="s">
        <v>1</v>
      </c>
      <c r="B1736" s="71" t="s">
        <v>1093</v>
      </c>
    </row>
    <row r="1737" spans="1:10" x14ac:dyDescent="0.2">
      <c r="A1737" t="s">
        <v>2</v>
      </c>
      <c r="B1737" s="6" t="s">
        <v>1035</v>
      </c>
    </row>
    <row r="1738" spans="1:10" x14ac:dyDescent="0.2">
      <c r="A1738" t="s">
        <v>3</v>
      </c>
      <c r="B1738" s="6">
        <v>1</v>
      </c>
    </row>
    <row r="1739" spans="1:10" ht="16" x14ac:dyDescent="0.2">
      <c r="A1739" t="s">
        <v>4</v>
      </c>
      <c r="B1739" s="72" t="s">
        <v>337</v>
      </c>
    </row>
    <row r="1740" spans="1:10" x14ac:dyDescent="0.2">
      <c r="A1740" t="s">
        <v>5</v>
      </c>
      <c r="B1740" s="6" t="s">
        <v>6</v>
      </c>
    </row>
    <row r="1741" spans="1:10" x14ac:dyDescent="0.2">
      <c r="A1741" t="s">
        <v>7</v>
      </c>
      <c r="B1741" s="6" t="s">
        <v>8</v>
      </c>
    </row>
    <row r="1742" spans="1:10" x14ac:dyDescent="0.2">
      <c r="A1742" t="s">
        <v>9</v>
      </c>
      <c r="B1742" s="6" t="s">
        <v>393</v>
      </c>
    </row>
    <row r="1743" spans="1:10" x14ac:dyDescent="0.2">
      <c r="A1743" t="s">
        <v>11</v>
      </c>
      <c r="B1743" s="6" t="s">
        <v>507</v>
      </c>
    </row>
    <row r="1744" spans="1:10" ht="16" x14ac:dyDescent="0.2">
      <c r="A1744" s="1" t="s">
        <v>12</v>
      </c>
    </row>
    <row r="1745" spans="1:10" x14ac:dyDescent="0.2">
      <c r="A1745" t="s">
        <v>13</v>
      </c>
      <c r="B1745" s="6" t="s">
        <v>14</v>
      </c>
      <c r="C1745" t="s">
        <v>2</v>
      </c>
      <c r="D1745" t="s">
        <v>7</v>
      </c>
      <c r="E1745" t="s">
        <v>15</v>
      </c>
      <c r="F1745" t="s">
        <v>5</v>
      </c>
      <c r="G1745" t="s">
        <v>338</v>
      </c>
      <c r="H1745" t="s">
        <v>339</v>
      </c>
      <c r="I1745" t="s">
        <v>11</v>
      </c>
      <c r="J1745" t="s">
        <v>4</v>
      </c>
    </row>
    <row r="1746" spans="1:10" x14ac:dyDescent="0.2">
      <c r="A1746" s="35" t="s">
        <v>1093</v>
      </c>
      <c r="B1746" s="36">
        <v>1</v>
      </c>
      <c r="C1746" t="s">
        <v>1035</v>
      </c>
      <c r="D1746" s="35" t="s">
        <v>8</v>
      </c>
      <c r="E1746" s="35"/>
      <c r="F1746" s="35" t="s">
        <v>17</v>
      </c>
      <c r="G1746" s="35"/>
      <c r="H1746" s="35"/>
      <c r="I1746" s="35" t="s">
        <v>18</v>
      </c>
      <c r="J1746" s="35" t="s">
        <v>337</v>
      </c>
    </row>
    <row r="1747" spans="1:10" ht="16" x14ac:dyDescent="0.2">
      <c r="A1747" s="2" t="s">
        <v>1088</v>
      </c>
      <c r="B1747" s="6">
        <v>1.00057</v>
      </c>
      <c r="C1747" t="s">
        <v>1035</v>
      </c>
      <c r="D1747" t="s">
        <v>8</v>
      </c>
      <c r="F1747" s="35" t="s">
        <v>20</v>
      </c>
      <c r="G1747" t="s">
        <v>18</v>
      </c>
      <c r="I1747" s="35"/>
      <c r="J1747" s="2" t="s">
        <v>286</v>
      </c>
    </row>
    <row r="1748" spans="1:10" x14ac:dyDescent="0.2">
      <c r="A1748" s="35" t="s">
        <v>28</v>
      </c>
      <c r="B1748" s="36">
        <v>6.7000000000000002E-3</v>
      </c>
      <c r="C1748" t="s">
        <v>1036</v>
      </c>
      <c r="D1748" s="35" t="s">
        <v>29</v>
      </c>
      <c r="E1748" s="35"/>
      <c r="F1748" s="35" t="s">
        <v>20</v>
      </c>
      <c r="G1748" s="35"/>
      <c r="H1748" s="35"/>
      <c r="I1748" s="35"/>
      <c r="J1748" s="35" t="s">
        <v>30</v>
      </c>
    </row>
    <row r="1749" spans="1:10" x14ac:dyDescent="0.2">
      <c r="A1749" s="35" t="s">
        <v>340</v>
      </c>
      <c r="B1749" s="36">
        <v>-1.6799999999999999E-4</v>
      </c>
      <c r="C1749" s="35" t="s">
        <v>31</v>
      </c>
      <c r="D1749" s="35" t="s">
        <v>8</v>
      </c>
      <c r="E1749" s="35"/>
      <c r="F1749" s="35" t="s">
        <v>20</v>
      </c>
      <c r="G1749" s="35"/>
      <c r="H1749" s="35"/>
      <c r="I1749" s="35"/>
      <c r="J1749" s="35" t="s">
        <v>341</v>
      </c>
    </row>
    <row r="1750" spans="1:10" x14ac:dyDescent="0.2">
      <c r="A1750" s="35" t="s">
        <v>342</v>
      </c>
      <c r="B1750" s="36">
        <v>5.8399999999999999E-4</v>
      </c>
      <c r="C1750" s="35" t="s">
        <v>31</v>
      </c>
      <c r="D1750" s="35" t="s">
        <v>19</v>
      </c>
      <c r="E1750" s="35"/>
      <c r="F1750" s="35" t="s">
        <v>20</v>
      </c>
      <c r="G1750" s="35"/>
      <c r="H1750" s="35"/>
      <c r="I1750" s="35"/>
      <c r="J1750" s="35" t="s">
        <v>343</v>
      </c>
    </row>
    <row r="1751" spans="1:10" x14ac:dyDescent="0.2">
      <c r="A1751" s="35" t="s">
        <v>344</v>
      </c>
      <c r="B1751" s="36">
        <v>2.5999999999999998E-10</v>
      </c>
      <c r="C1751" s="35" t="s">
        <v>31</v>
      </c>
      <c r="D1751" s="35" t="s">
        <v>7</v>
      </c>
      <c r="E1751" s="35"/>
      <c r="F1751" s="35" t="s">
        <v>20</v>
      </c>
      <c r="G1751" s="35"/>
      <c r="H1751" s="35"/>
      <c r="I1751" s="35"/>
      <c r="J1751" s="35" t="s">
        <v>345</v>
      </c>
    </row>
    <row r="1752" spans="1:10" x14ac:dyDescent="0.2">
      <c r="A1752" s="35" t="s">
        <v>346</v>
      </c>
      <c r="B1752" s="36">
        <v>-6.2700000000000001E-6</v>
      </c>
      <c r="C1752" s="35" t="s">
        <v>31</v>
      </c>
      <c r="D1752" s="35" t="s">
        <v>8</v>
      </c>
      <c r="E1752" s="35"/>
      <c r="F1752" s="35" t="s">
        <v>20</v>
      </c>
      <c r="G1752" s="35"/>
      <c r="H1752" s="35"/>
      <c r="I1752" s="35"/>
      <c r="J1752" s="35" t="s">
        <v>347</v>
      </c>
    </row>
    <row r="1753" spans="1:10" x14ac:dyDescent="0.2">
      <c r="A1753" s="35" t="s">
        <v>348</v>
      </c>
      <c r="B1753" s="36">
        <v>-7.4999999999999993E-5</v>
      </c>
      <c r="C1753" s="35" t="s">
        <v>31</v>
      </c>
      <c r="D1753" s="35" t="s">
        <v>121</v>
      </c>
      <c r="E1753" s="35"/>
      <c r="F1753" s="35" t="s">
        <v>20</v>
      </c>
      <c r="G1753" s="35"/>
      <c r="H1753" s="35"/>
      <c r="I1753" s="35"/>
      <c r="J1753" s="35" t="s">
        <v>349</v>
      </c>
    </row>
    <row r="1754" spans="1:10" x14ac:dyDescent="0.2">
      <c r="A1754" s="35" t="s">
        <v>350</v>
      </c>
      <c r="B1754" s="36">
        <v>6.8900000000000005E-4</v>
      </c>
      <c r="C1754" s="35" t="s">
        <v>31</v>
      </c>
      <c r="D1754" s="35" t="s">
        <v>8</v>
      </c>
      <c r="E1754" s="35"/>
      <c r="F1754" s="35" t="s">
        <v>20</v>
      </c>
      <c r="G1754" s="35"/>
      <c r="H1754" s="35"/>
      <c r="I1754" s="35"/>
      <c r="J1754" s="35" t="s">
        <v>351</v>
      </c>
    </row>
    <row r="1755" spans="1:10" x14ac:dyDescent="0.2">
      <c r="A1755" s="35" t="s">
        <v>100</v>
      </c>
      <c r="B1755" s="36">
        <v>3.3599999999999998E-2</v>
      </c>
      <c r="C1755" s="35" t="s">
        <v>31</v>
      </c>
      <c r="D1755" s="35" t="s">
        <v>41</v>
      </c>
      <c r="E1755" s="35"/>
      <c r="F1755" s="35" t="s">
        <v>20</v>
      </c>
      <c r="G1755" s="35"/>
      <c r="H1755" s="35"/>
      <c r="I1755" s="35"/>
      <c r="J1755" s="35" t="s">
        <v>103</v>
      </c>
    </row>
    <row r="1756" spans="1:10" x14ac:dyDescent="0.2">
      <c r="A1756" s="35" t="s">
        <v>352</v>
      </c>
      <c r="B1756" s="36">
        <v>3.2599999999999997E-2</v>
      </c>
      <c r="C1756" s="35" t="s">
        <v>572</v>
      </c>
      <c r="D1756" s="35" t="s">
        <v>41</v>
      </c>
      <c r="E1756" s="35"/>
      <c r="F1756" s="35" t="s">
        <v>20</v>
      </c>
      <c r="G1756" s="35"/>
      <c r="H1756" s="35"/>
      <c r="I1756" s="35"/>
      <c r="J1756" s="35" t="s">
        <v>353</v>
      </c>
    </row>
    <row r="1757" spans="1:10" x14ac:dyDescent="0.2">
      <c r="A1757" s="35" t="s">
        <v>354</v>
      </c>
      <c r="B1757" s="36">
        <v>-6.8899999999999999E-7</v>
      </c>
      <c r="C1757" s="35" t="s">
        <v>31</v>
      </c>
      <c r="D1757" s="35" t="s">
        <v>121</v>
      </c>
      <c r="E1757" s="35"/>
      <c r="F1757" s="35" t="s">
        <v>20</v>
      </c>
      <c r="G1757" s="35"/>
      <c r="H1757" s="35"/>
      <c r="I1757" s="35"/>
      <c r="J1757" s="35" t="s">
        <v>355</v>
      </c>
    </row>
    <row r="1758" spans="1:10" x14ac:dyDescent="0.2">
      <c r="A1758" s="35"/>
      <c r="B1758" s="36"/>
      <c r="C1758" s="35"/>
      <c r="D1758" s="35"/>
      <c r="E1758" s="35"/>
      <c r="F1758" s="35"/>
      <c r="G1758" s="35"/>
      <c r="H1758" s="35"/>
      <c r="I1758" s="35"/>
      <c r="J1758" s="35"/>
    </row>
    <row r="1759" spans="1:10" ht="16" x14ac:dyDescent="0.2">
      <c r="A1759" s="1" t="s">
        <v>1</v>
      </c>
      <c r="B1759" s="71" t="s">
        <v>85</v>
      </c>
    </row>
    <row r="1760" spans="1:10" x14ac:dyDescent="0.2">
      <c r="A1760" t="s">
        <v>2</v>
      </c>
      <c r="B1760" s="6" t="s">
        <v>1035</v>
      </c>
    </row>
    <row r="1761" spans="1:8" x14ac:dyDescent="0.2">
      <c r="A1761" t="s">
        <v>3</v>
      </c>
      <c r="B1761" s="6">
        <v>1</v>
      </c>
    </row>
    <row r="1762" spans="1:8" ht="16" x14ac:dyDescent="0.2">
      <c r="A1762" t="s">
        <v>4</v>
      </c>
      <c r="B1762" s="72" t="s">
        <v>442</v>
      </c>
    </row>
    <row r="1763" spans="1:8" x14ac:dyDescent="0.2">
      <c r="A1763" t="s">
        <v>5</v>
      </c>
      <c r="B1763" s="6" t="s">
        <v>6</v>
      </c>
    </row>
    <row r="1764" spans="1:8" x14ac:dyDescent="0.2">
      <c r="A1764" t="s">
        <v>7</v>
      </c>
      <c r="B1764" s="6" t="s">
        <v>8</v>
      </c>
    </row>
    <row r="1765" spans="1:8" x14ac:dyDescent="0.2">
      <c r="A1765" t="s">
        <v>9</v>
      </c>
      <c r="B1765" s="6" t="s">
        <v>10</v>
      </c>
    </row>
    <row r="1766" spans="1:8" x14ac:dyDescent="0.2">
      <c r="A1766" t="s">
        <v>11</v>
      </c>
      <c r="B1766" s="6" t="s">
        <v>1049</v>
      </c>
    </row>
    <row r="1767" spans="1:8" x14ac:dyDescent="0.2">
      <c r="A1767" t="s">
        <v>841</v>
      </c>
      <c r="B1767" s="5">
        <f>Summary!R13</f>
        <v>13.485301799179947</v>
      </c>
    </row>
    <row r="1768" spans="1:8" x14ac:dyDescent="0.2">
      <c r="A1768" t="s">
        <v>847</v>
      </c>
      <c r="B1768" s="76">
        <f>Summary!Q13</f>
        <v>0.2</v>
      </c>
    </row>
    <row r="1769" spans="1:8" ht="16" x14ac:dyDescent="0.2">
      <c r="A1769" s="1" t="s">
        <v>12</v>
      </c>
    </row>
    <row r="1770" spans="1:8" x14ac:dyDescent="0.2">
      <c r="A1770" t="s">
        <v>13</v>
      </c>
      <c r="B1770" s="6" t="s">
        <v>14</v>
      </c>
      <c r="C1770" t="s">
        <v>2</v>
      </c>
      <c r="D1770" t="s">
        <v>7</v>
      </c>
      <c r="E1770" t="s">
        <v>15</v>
      </c>
      <c r="F1770" t="s">
        <v>5</v>
      </c>
      <c r="G1770" t="s">
        <v>11</v>
      </c>
      <c r="H1770" t="s">
        <v>4</v>
      </c>
    </row>
    <row r="1771" spans="1:8" ht="16" x14ac:dyDescent="0.2">
      <c r="A1771" s="2" t="s">
        <v>85</v>
      </c>
      <c r="B1771" s="6">
        <v>1</v>
      </c>
      <c r="C1771" t="s">
        <v>1035</v>
      </c>
      <c r="D1771" t="s">
        <v>8</v>
      </c>
      <c r="F1771" t="s">
        <v>17</v>
      </c>
      <c r="G1771" t="s">
        <v>18</v>
      </c>
      <c r="H1771" s="72" t="s">
        <v>442</v>
      </c>
    </row>
    <row r="1772" spans="1:8" x14ac:dyDescent="0.2">
      <c r="A1772" t="s">
        <v>22</v>
      </c>
      <c r="B1772" s="6">
        <f>6894*Parameters!$B$3/Parameters!$B$10/1000</f>
        <v>0.28635987509800198</v>
      </c>
      <c r="C1772" t="s">
        <v>26</v>
      </c>
      <c r="D1772" t="s">
        <v>19</v>
      </c>
      <c r="F1772" t="s">
        <v>20</v>
      </c>
      <c r="G1772" t="s">
        <v>79</v>
      </c>
      <c r="H1772" t="s">
        <v>23</v>
      </c>
    </row>
    <row r="1773" spans="1:8" x14ac:dyDescent="0.2">
      <c r="A1773" t="s">
        <v>78</v>
      </c>
      <c r="B1773" s="6">
        <f>482*Parameters!$B$3/Parameters!$B$10/1000</f>
        <v>2.0021099477405994E-2</v>
      </c>
      <c r="C1773" t="s">
        <v>26</v>
      </c>
      <c r="D1773" t="s">
        <v>19</v>
      </c>
      <c r="F1773" t="s">
        <v>20</v>
      </c>
      <c r="G1773" t="s">
        <v>80</v>
      </c>
      <c r="H1773" t="s">
        <v>78</v>
      </c>
    </row>
    <row r="1774" spans="1:8" x14ac:dyDescent="0.2">
      <c r="A1774" t="s">
        <v>81</v>
      </c>
      <c r="B1774" s="6">
        <f>9*Parameters!$B$3/Parameters!$B$10/1000</f>
        <v>3.7383795704699994E-4</v>
      </c>
      <c r="C1774" t="s">
        <v>26</v>
      </c>
      <c r="D1774" t="s">
        <v>19</v>
      </c>
      <c r="F1774" t="s">
        <v>20</v>
      </c>
      <c r="G1774" t="s">
        <v>83</v>
      </c>
      <c r="H1774" t="s">
        <v>82</v>
      </c>
    </row>
    <row r="1775" spans="1:8" x14ac:dyDescent="0.2">
      <c r="A1775" t="s">
        <v>28</v>
      </c>
      <c r="B1775" s="6">
        <f>39*Parameters!$B$3/1000/3.6</f>
        <v>1.1429772250000001E-5</v>
      </c>
      <c r="C1775" t="s">
        <v>1036</v>
      </c>
      <c r="D1775" t="s">
        <v>29</v>
      </c>
      <c r="F1775" t="s">
        <v>20</v>
      </c>
      <c r="H1775" t="s">
        <v>30</v>
      </c>
    </row>
    <row r="1776" spans="1:8" x14ac:dyDescent="0.2">
      <c r="A1776" t="s">
        <v>352</v>
      </c>
      <c r="B1776" s="6">
        <f>20*Parameters!$B$9/1000</f>
        <v>3.2199999999999999E-2</v>
      </c>
      <c r="C1776" t="s">
        <v>572</v>
      </c>
      <c r="D1776" t="s">
        <v>41</v>
      </c>
      <c r="F1776" t="s">
        <v>20</v>
      </c>
      <c r="G1776" t="s">
        <v>86</v>
      </c>
      <c r="H1776" t="s">
        <v>353</v>
      </c>
    </row>
    <row r="1777" spans="1:8" x14ac:dyDescent="0.2">
      <c r="A1777" t="s">
        <v>42</v>
      </c>
      <c r="B1777" s="6">
        <f>0.4751/Parameters!B10/1000</f>
        <v>1.8704687000000001E-2</v>
      </c>
      <c r="C1777" t="s">
        <v>1036</v>
      </c>
      <c r="D1777" t="s">
        <v>8</v>
      </c>
      <c r="F1777" t="s">
        <v>20</v>
      </c>
      <c r="H1777" t="s">
        <v>43</v>
      </c>
    </row>
    <row r="1778" spans="1:8" x14ac:dyDescent="0.2">
      <c r="A1778" t="s">
        <v>44</v>
      </c>
      <c r="B1778" s="6">
        <f>0.1046/Parameters!B10/1000</f>
        <v>4.1181019999999994E-3</v>
      </c>
      <c r="C1778" t="s">
        <v>1036</v>
      </c>
      <c r="D1778" t="s">
        <v>8</v>
      </c>
      <c r="F1778" t="s">
        <v>20</v>
      </c>
      <c r="H1778" t="s">
        <v>45</v>
      </c>
    </row>
    <row r="1779" spans="1:8" x14ac:dyDescent="0.2">
      <c r="A1779" t="s">
        <v>46</v>
      </c>
      <c r="B1779" s="6">
        <f>0.0269/Parameters!B10/1000</f>
        <v>1.0590529999999999E-3</v>
      </c>
      <c r="C1779" t="s">
        <v>1036</v>
      </c>
      <c r="D1779" t="s">
        <v>8</v>
      </c>
      <c r="F1779" t="s">
        <v>20</v>
      </c>
      <c r="H1779" t="s">
        <v>47</v>
      </c>
    </row>
    <row r="1780" spans="1:8" x14ac:dyDescent="0.2">
      <c r="A1780" t="s">
        <v>50</v>
      </c>
      <c r="B1780" s="6">
        <f>21.11/1000/Parameters!B10/1000</f>
        <v>8.3110069999999989E-4</v>
      </c>
      <c r="C1780" t="s">
        <v>26</v>
      </c>
      <c r="D1780" t="s">
        <v>8</v>
      </c>
      <c r="F1780" t="s">
        <v>20</v>
      </c>
      <c r="G1780" t="s">
        <v>51</v>
      </c>
      <c r="H1780" t="s">
        <v>53</v>
      </c>
    </row>
    <row r="1781" spans="1:8" x14ac:dyDescent="0.2">
      <c r="A1781" t="s">
        <v>181</v>
      </c>
      <c r="B1781" s="6">
        <v>3.6830900643231697E-5</v>
      </c>
      <c r="C1781" t="s">
        <v>26</v>
      </c>
      <c r="D1781" t="s">
        <v>119</v>
      </c>
      <c r="F1781" t="s">
        <v>20</v>
      </c>
      <c r="G1781" t="s">
        <v>180</v>
      </c>
      <c r="H1781" t="s">
        <v>182</v>
      </c>
    </row>
    <row r="1782" spans="1:8" x14ac:dyDescent="0.2">
      <c r="A1782" t="s">
        <v>183</v>
      </c>
      <c r="B1782" s="6">
        <v>1.1049380686770699E-4</v>
      </c>
      <c r="C1782" t="s">
        <v>26</v>
      </c>
      <c r="D1782" t="s">
        <v>119</v>
      </c>
      <c r="F1782" t="s">
        <v>20</v>
      </c>
      <c r="G1782" t="s">
        <v>180</v>
      </c>
      <c r="H1782" t="s">
        <v>184</v>
      </c>
    </row>
    <row r="1783" spans="1:8" x14ac:dyDescent="0.2">
      <c r="A1783" t="s">
        <v>185</v>
      </c>
      <c r="B1783" s="6">
        <v>3.6830900643231697E-5</v>
      </c>
      <c r="C1783" t="s">
        <v>26</v>
      </c>
      <c r="D1783" t="s">
        <v>119</v>
      </c>
      <c r="F1783" t="s">
        <v>20</v>
      </c>
      <c r="G1783" t="s">
        <v>180</v>
      </c>
      <c r="H1783" t="s">
        <v>186</v>
      </c>
    </row>
    <row r="1784" spans="1:8" x14ac:dyDescent="0.2">
      <c r="A1784" t="s">
        <v>120</v>
      </c>
      <c r="B1784" s="6">
        <v>0.252</v>
      </c>
      <c r="C1784" t="s">
        <v>1036</v>
      </c>
      <c r="D1784" t="s">
        <v>121</v>
      </c>
      <c r="F1784" t="s">
        <v>20</v>
      </c>
      <c r="G1784" t="s">
        <v>125</v>
      </c>
      <c r="H1784" t="s">
        <v>122</v>
      </c>
    </row>
    <row r="1785" spans="1:8" x14ac:dyDescent="0.2">
      <c r="A1785" t="s">
        <v>187</v>
      </c>
      <c r="B1785" s="6">
        <v>1.1048999999999999E-4</v>
      </c>
      <c r="C1785" t="s">
        <v>26</v>
      </c>
      <c r="D1785" t="s">
        <v>119</v>
      </c>
      <c r="F1785" t="s">
        <v>20</v>
      </c>
      <c r="G1785" t="s">
        <v>180</v>
      </c>
      <c r="H1785" t="s">
        <v>188</v>
      </c>
    </row>
    <row r="1786" spans="1:8" x14ac:dyDescent="0.2">
      <c r="A1786" t="s">
        <v>325</v>
      </c>
      <c r="B1786" s="6">
        <f>(0.293)/1000</f>
        <v>2.9299999999999997E-4</v>
      </c>
      <c r="D1786" t="s">
        <v>8</v>
      </c>
      <c r="E1786" t="s">
        <v>37</v>
      </c>
      <c r="F1786" t="s">
        <v>36</v>
      </c>
      <c r="G1786" t="s">
        <v>995</v>
      </c>
    </row>
    <row r="1787" spans="1:8" x14ac:dyDescent="0.2">
      <c r="A1787" t="s">
        <v>981</v>
      </c>
      <c r="B1787" s="6">
        <f>10.56/1000000</f>
        <v>1.0560000000000001E-5</v>
      </c>
      <c r="D1787" t="s">
        <v>8</v>
      </c>
      <c r="E1787" t="s">
        <v>37</v>
      </c>
      <c r="F1787" t="s">
        <v>36</v>
      </c>
      <c r="G1787" t="s">
        <v>996</v>
      </c>
    </row>
    <row r="1788" spans="1:8" x14ac:dyDescent="0.2">
      <c r="A1788" t="s">
        <v>40</v>
      </c>
      <c r="B1788" s="6">
        <f>13.218/1000000</f>
        <v>1.3217999999999999E-5</v>
      </c>
      <c r="D1788" t="s">
        <v>8</v>
      </c>
      <c r="E1788" t="s">
        <v>37</v>
      </c>
      <c r="F1788" t="s">
        <v>36</v>
      </c>
      <c r="G1788" t="s">
        <v>997</v>
      </c>
    </row>
    <row r="1789" spans="1:8" x14ac:dyDescent="0.2">
      <c r="A1789" t="s">
        <v>150</v>
      </c>
      <c r="B1789" s="6">
        <v>9.0160736528123E-5</v>
      </c>
      <c r="D1789" t="s">
        <v>8</v>
      </c>
      <c r="E1789" t="s">
        <v>170</v>
      </c>
      <c r="F1789" t="s">
        <v>36</v>
      </c>
      <c r="G1789" t="s">
        <v>180</v>
      </c>
    </row>
    <row r="1790" spans="1:8" x14ac:dyDescent="0.2">
      <c r="A1790" t="s">
        <v>132</v>
      </c>
      <c r="B1790" s="6">
        <v>-9.1589421450978903E-6</v>
      </c>
      <c r="D1790" t="s">
        <v>8</v>
      </c>
      <c r="E1790" t="s">
        <v>170</v>
      </c>
      <c r="F1790" t="s">
        <v>36</v>
      </c>
      <c r="G1790" t="s">
        <v>180</v>
      </c>
    </row>
    <row r="1791" spans="1:8" x14ac:dyDescent="0.2">
      <c r="A1791" t="s">
        <v>158</v>
      </c>
      <c r="B1791" s="6">
        <v>8.2358768825088601E-6</v>
      </c>
      <c r="D1791" t="s">
        <v>8</v>
      </c>
      <c r="E1791" t="s">
        <v>170</v>
      </c>
      <c r="F1791" t="s">
        <v>36</v>
      </c>
      <c r="G1791" t="s">
        <v>180</v>
      </c>
    </row>
    <row r="1792" spans="1:8" x14ac:dyDescent="0.2">
      <c r="A1792" t="s">
        <v>164</v>
      </c>
      <c r="B1792" s="6">
        <v>1.48614170237082E-7</v>
      </c>
      <c r="D1792" t="s">
        <v>8</v>
      </c>
      <c r="E1792" t="s">
        <v>170</v>
      </c>
      <c r="F1792" t="s">
        <v>36</v>
      </c>
      <c r="G1792" t="s">
        <v>180</v>
      </c>
    </row>
    <row r="1793" spans="1:7" x14ac:dyDescent="0.2">
      <c r="A1793" t="s">
        <v>173</v>
      </c>
      <c r="B1793" s="6">
        <v>1.0017920999684E-4</v>
      </c>
      <c r="D1793" t="s">
        <v>8</v>
      </c>
      <c r="E1793" t="s">
        <v>171</v>
      </c>
      <c r="F1793" t="s">
        <v>36</v>
      </c>
      <c r="G1793" t="s">
        <v>180</v>
      </c>
    </row>
    <row r="1794" spans="1:7" x14ac:dyDescent="0.2">
      <c r="A1794" t="s">
        <v>151</v>
      </c>
      <c r="B1794" s="6">
        <v>8.4092416654724493E-6</v>
      </c>
      <c r="D1794" t="s">
        <v>8</v>
      </c>
      <c r="E1794" t="s">
        <v>170</v>
      </c>
      <c r="F1794" t="s">
        <v>36</v>
      </c>
      <c r="G1794" t="s">
        <v>180</v>
      </c>
    </row>
    <row r="1795" spans="1:7" x14ac:dyDescent="0.2">
      <c r="A1795" t="s">
        <v>172</v>
      </c>
      <c r="B1795" s="6">
        <v>1.3650404900446601E-2</v>
      </c>
      <c r="D1795" t="s">
        <v>8</v>
      </c>
      <c r="E1795" t="s">
        <v>179</v>
      </c>
      <c r="F1795" t="s">
        <v>36</v>
      </c>
      <c r="G1795" t="s">
        <v>180</v>
      </c>
    </row>
    <row r="1796" spans="1:7" x14ac:dyDescent="0.2">
      <c r="A1796" t="s">
        <v>148</v>
      </c>
      <c r="B1796" s="6">
        <v>-2.0214841966486099E-7</v>
      </c>
      <c r="D1796" t="s">
        <v>8</v>
      </c>
      <c r="E1796" t="s">
        <v>170</v>
      </c>
      <c r="F1796" t="s">
        <v>36</v>
      </c>
      <c r="G1796" t="s">
        <v>180</v>
      </c>
    </row>
    <row r="1797" spans="1:7" x14ac:dyDescent="0.2">
      <c r="A1797" t="s">
        <v>126</v>
      </c>
      <c r="B1797" s="6">
        <v>2.56890246744301E-2</v>
      </c>
      <c r="D1797" t="s">
        <v>121</v>
      </c>
      <c r="E1797" t="s">
        <v>171</v>
      </c>
      <c r="F1797" t="s">
        <v>36</v>
      </c>
      <c r="G1797" t="s">
        <v>180</v>
      </c>
    </row>
    <row r="1798" spans="1:7" x14ac:dyDescent="0.2">
      <c r="A1798" t="s">
        <v>176</v>
      </c>
      <c r="B1798" s="6">
        <v>1.8577323748694601E-8</v>
      </c>
      <c r="D1798" t="s">
        <v>8</v>
      </c>
      <c r="E1798" t="s">
        <v>170</v>
      </c>
      <c r="F1798" t="s">
        <v>36</v>
      </c>
      <c r="G1798" t="s">
        <v>180</v>
      </c>
    </row>
    <row r="1799" spans="1:7" x14ac:dyDescent="0.2">
      <c r="A1799" t="s">
        <v>38</v>
      </c>
      <c r="B1799" s="6">
        <v>4.8263694839849898E-5</v>
      </c>
      <c r="D1799" t="s">
        <v>8</v>
      </c>
      <c r="E1799" t="s">
        <v>169</v>
      </c>
      <c r="F1799" t="s">
        <v>36</v>
      </c>
      <c r="G1799" t="s">
        <v>180</v>
      </c>
    </row>
    <row r="1800" spans="1:7" x14ac:dyDescent="0.2">
      <c r="A1800" t="s">
        <v>140</v>
      </c>
      <c r="B1800" s="6">
        <v>3.0516179580729401E-5</v>
      </c>
      <c r="D1800" t="s">
        <v>8</v>
      </c>
      <c r="E1800" t="s">
        <v>170</v>
      </c>
      <c r="F1800" t="s">
        <v>36</v>
      </c>
      <c r="G1800" t="s">
        <v>180</v>
      </c>
    </row>
    <row r="1801" spans="1:7" x14ac:dyDescent="0.2">
      <c r="A1801" t="s">
        <v>127</v>
      </c>
      <c r="B1801" s="6">
        <v>7.5135788670211399E-4</v>
      </c>
      <c r="D1801" t="s">
        <v>8</v>
      </c>
      <c r="E1801" t="s">
        <v>169</v>
      </c>
      <c r="F1801" t="s">
        <v>36</v>
      </c>
      <c r="G1801" t="s">
        <v>180</v>
      </c>
    </row>
    <row r="1802" spans="1:7" x14ac:dyDescent="0.2">
      <c r="A1802" t="s">
        <v>155</v>
      </c>
      <c r="B1802" s="6">
        <v>2.7085346877506901E-5</v>
      </c>
      <c r="D1802" t="s">
        <v>8</v>
      </c>
      <c r="E1802" t="s">
        <v>170</v>
      </c>
      <c r="F1802" t="s">
        <v>36</v>
      </c>
      <c r="G1802" t="s">
        <v>180</v>
      </c>
    </row>
    <row r="1803" spans="1:7" x14ac:dyDescent="0.2">
      <c r="A1803" t="s">
        <v>159</v>
      </c>
      <c r="B1803" s="6">
        <v>8.9169607080421099E-7</v>
      </c>
      <c r="D1803" t="s">
        <v>8</v>
      </c>
      <c r="E1803" t="s">
        <v>170</v>
      </c>
      <c r="F1803" t="s">
        <v>36</v>
      </c>
      <c r="G1803" t="s">
        <v>180</v>
      </c>
    </row>
    <row r="1804" spans="1:7" x14ac:dyDescent="0.2">
      <c r="A1804" t="s">
        <v>142</v>
      </c>
      <c r="B1804" s="6">
        <v>-1.0605085089343501E-5</v>
      </c>
      <c r="D1804" t="s">
        <v>8</v>
      </c>
      <c r="E1804" t="s">
        <v>170</v>
      </c>
      <c r="F1804" t="s">
        <v>36</v>
      </c>
      <c r="G1804" t="s">
        <v>180</v>
      </c>
    </row>
    <row r="1805" spans="1:7" x14ac:dyDescent="0.2">
      <c r="A1805" t="s">
        <v>168</v>
      </c>
      <c r="B1805" s="6">
        <v>-4.4162164728938601E-6</v>
      </c>
      <c r="D1805" t="s">
        <v>8</v>
      </c>
      <c r="E1805" t="s">
        <v>170</v>
      </c>
      <c r="F1805" t="s">
        <v>36</v>
      </c>
      <c r="G1805" t="s">
        <v>180</v>
      </c>
    </row>
    <row r="1806" spans="1:7" x14ac:dyDescent="0.2">
      <c r="A1806" t="s">
        <v>144</v>
      </c>
      <c r="B1806" s="6">
        <v>2.3283254983157499E-6</v>
      </c>
      <c r="D1806" t="s">
        <v>8</v>
      </c>
      <c r="E1806" t="s">
        <v>170</v>
      </c>
      <c r="F1806" t="s">
        <v>36</v>
      </c>
      <c r="G1806" t="s">
        <v>180</v>
      </c>
    </row>
    <row r="1807" spans="1:7" x14ac:dyDescent="0.2">
      <c r="A1807" t="s">
        <v>110</v>
      </c>
      <c r="B1807" s="6">
        <v>1.10493806867789</v>
      </c>
      <c r="D1807" t="s">
        <v>115</v>
      </c>
      <c r="E1807" t="s">
        <v>114</v>
      </c>
      <c r="F1807" t="s">
        <v>36</v>
      </c>
      <c r="G1807" t="s">
        <v>180</v>
      </c>
    </row>
    <row r="1808" spans="1:7" x14ac:dyDescent="0.2">
      <c r="A1808" t="s">
        <v>126</v>
      </c>
      <c r="B1808" s="6">
        <v>0.12385329220866501</v>
      </c>
      <c r="D1808" t="s">
        <v>121</v>
      </c>
      <c r="E1808" t="s">
        <v>37</v>
      </c>
      <c r="F1808" t="s">
        <v>36</v>
      </c>
      <c r="G1808" t="s">
        <v>180</v>
      </c>
    </row>
    <row r="1809" spans="1:7" x14ac:dyDescent="0.2">
      <c r="A1809" t="s">
        <v>1031</v>
      </c>
      <c r="B1809" s="6">
        <f>0.393*(44/12)</f>
        <v>1.4410000000000001</v>
      </c>
      <c r="D1809" t="s">
        <v>8</v>
      </c>
      <c r="E1809" t="s">
        <v>1032</v>
      </c>
      <c r="F1809" t="s">
        <v>36</v>
      </c>
      <c r="G1809" t="s">
        <v>180</v>
      </c>
    </row>
    <row r="1810" spans="1:7" x14ac:dyDescent="0.2">
      <c r="A1810" t="s">
        <v>126</v>
      </c>
      <c r="B1810" s="6">
        <v>0.102756098697507</v>
      </c>
      <c r="D1810" t="s">
        <v>121</v>
      </c>
      <c r="E1810" t="s">
        <v>179</v>
      </c>
      <c r="F1810" t="s">
        <v>36</v>
      </c>
      <c r="G1810" t="s">
        <v>180</v>
      </c>
    </row>
    <row r="1811" spans="1:7" x14ac:dyDescent="0.2">
      <c r="A1811" t="s">
        <v>108</v>
      </c>
      <c r="B1811" s="6">
        <v>27.26</v>
      </c>
      <c r="D1811" t="s">
        <v>19</v>
      </c>
      <c r="E1811" t="s">
        <v>112</v>
      </c>
      <c r="F1811" t="s">
        <v>36</v>
      </c>
      <c r="G1811" t="s">
        <v>180</v>
      </c>
    </row>
    <row r="1812" spans="1:7" x14ac:dyDescent="0.2">
      <c r="A1812" t="s">
        <v>173</v>
      </c>
      <c r="B1812" s="6">
        <v>7.7345664807288202E-6</v>
      </c>
      <c r="D1812" t="s">
        <v>8</v>
      </c>
      <c r="E1812" t="s">
        <v>179</v>
      </c>
      <c r="F1812" t="s">
        <v>36</v>
      </c>
      <c r="G1812" t="s">
        <v>180</v>
      </c>
    </row>
    <row r="1813" spans="1:7" x14ac:dyDescent="0.2">
      <c r="A1813" t="s">
        <v>177</v>
      </c>
      <c r="B1813" s="6">
        <v>1.10493806867789</v>
      </c>
      <c r="D1813" t="s">
        <v>115</v>
      </c>
      <c r="E1813" t="s">
        <v>114</v>
      </c>
      <c r="F1813" t="s">
        <v>36</v>
      </c>
      <c r="G1813" t="s">
        <v>180</v>
      </c>
    </row>
    <row r="1814" spans="1:7" x14ac:dyDescent="0.2">
      <c r="A1814" t="s">
        <v>153</v>
      </c>
      <c r="B1814" s="6">
        <v>1.3871392514178299E-6</v>
      </c>
      <c r="D1814" t="s">
        <v>8</v>
      </c>
      <c r="E1814" t="s">
        <v>170</v>
      </c>
      <c r="F1814" t="s">
        <v>36</v>
      </c>
      <c r="G1814" t="s">
        <v>180</v>
      </c>
    </row>
    <row r="1815" spans="1:7" x14ac:dyDescent="0.2">
      <c r="A1815" t="s">
        <v>178</v>
      </c>
      <c r="B1815" s="6">
        <v>0.64451037545981105</v>
      </c>
      <c r="D1815" t="s">
        <v>113</v>
      </c>
      <c r="E1815" t="s">
        <v>114</v>
      </c>
      <c r="F1815" t="s">
        <v>36</v>
      </c>
      <c r="G1815" t="s">
        <v>180</v>
      </c>
    </row>
    <row r="1816" spans="1:7" x14ac:dyDescent="0.2">
      <c r="A1816" t="s">
        <v>149</v>
      </c>
      <c r="B1816" s="6">
        <v>4.0175548177144303E-5</v>
      </c>
      <c r="D1816" t="s">
        <v>8</v>
      </c>
      <c r="E1816" t="s">
        <v>170</v>
      </c>
      <c r="F1816" t="s">
        <v>36</v>
      </c>
      <c r="G1816" t="s">
        <v>180</v>
      </c>
    </row>
    <row r="1818" spans="1:7" ht="16" x14ac:dyDescent="0.2">
      <c r="A1818" s="1" t="s">
        <v>1</v>
      </c>
      <c r="B1818" s="71" t="s">
        <v>440</v>
      </c>
    </row>
    <row r="1819" spans="1:7" x14ac:dyDescent="0.2">
      <c r="A1819" t="s">
        <v>2</v>
      </c>
      <c r="B1819" s="6" t="s">
        <v>1035</v>
      </c>
    </row>
    <row r="1820" spans="1:7" x14ac:dyDescent="0.2">
      <c r="A1820" t="s">
        <v>3</v>
      </c>
      <c r="B1820" s="6">
        <v>1</v>
      </c>
    </row>
    <row r="1821" spans="1:7" ht="16" x14ac:dyDescent="0.2">
      <c r="A1821" t="s">
        <v>4</v>
      </c>
      <c r="B1821" s="72" t="s">
        <v>441</v>
      </c>
    </row>
    <row r="1822" spans="1:7" x14ac:dyDescent="0.2">
      <c r="A1822" t="s">
        <v>5</v>
      </c>
      <c r="B1822" s="6" t="s">
        <v>6</v>
      </c>
    </row>
    <row r="1823" spans="1:7" x14ac:dyDescent="0.2">
      <c r="A1823" t="s">
        <v>7</v>
      </c>
      <c r="B1823" s="6" t="s">
        <v>8</v>
      </c>
    </row>
    <row r="1824" spans="1:7" x14ac:dyDescent="0.2">
      <c r="A1824" t="s">
        <v>9</v>
      </c>
      <c r="B1824" s="6" t="s">
        <v>10</v>
      </c>
    </row>
    <row r="1825" spans="1:8" x14ac:dyDescent="0.2">
      <c r="A1825" t="s">
        <v>11</v>
      </c>
      <c r="B1825" s="6" t="s">
        <v>230</v>
      </c>
    </row>
    <row r="1826" spans="1:8" x14ac:dyDescent="0.2">
      <c r="A1826" t="s">
        <v>497</v>
      </c>
      <c r="B1826" s="70">
        <f>Summary!O110</f>
        <v>0.90840158774137092</v>
      </c>
    </row>
    <row r="1827" spans="1:8" ht="16" x14ac:dyDescent="0.2">
      <c r="A1827" s="1" t="s">
        <v>12</v>
      </c>
    </row>
    <row r="1828" spans="1:8" x14ac:dyDescent="0.2">
      <c r="A1828" t="s">
        <v>13</v>
      </c>
      <c r="B1828" s="6" t="s">
        <v>14</v>
      </c>
      <c r="C1828" t="s">
        <v>2</v>
      </c>
      <c r="D1828" t="s">
        <v>7</v>
      </c>
      <c r="E1828" t="s">
        <v>15</v>
      </c>
      <c r="F1828" t="s">
        <v>5</v>
      </c>
      <c r="G1828" t="s">
        <v>11</v>
      </c>
      <c r="H1828" t="s">
        <v>4</v>
      </c>
    </row>
    <row r="1829" spans="1:8" ht="16" x14ac:dyDescent="0.2">
      <c r="A1829" s="2" t="s">
        <v>440</v>
      </c>
      <c r="B1829" s="6">
        <v>1</v>
      </c>
      <c r="C1829" t="s">
        <v>1035</v>
      </c>
      <c r="D1829" t="s">
        <v>8</v>
      </c>
      <c r="F1829" t="s">
        <v>17</v>
      </c>
      <c r="G1829" t="s">
        <v>18</v>
      </c>
      <c r="H1829" s="2" t="s">
        <v>441</v>
      </c>
    </row>
    <row r="1830" spans="1:8" ht="16" x14ac:dyDescent="0.2">
      <c r="A1830" s="2" t="s">
        <v>85</v>
      </c>
      <c r="B1830" s="6">
        <f>(1/((Parameters!$D$58*Parameters!$B$4*Parameters!$B$12)/1000))*Parameters!D63</f>
        <v>2.4244760277550892</v>
      </c>
      <c r="C1830" t="s">
        <v>1035</v>
      </c>
      <c r="D1830" t="s">
        <v>8</v>
      </c>
      <c r="F1830" t="s">
        <v>20</v>
      </c>
      <c r="G1830" t="s">
        <v>18</v>
      </c>
      <c r="H1830" s="72" t="s">
        <v>442</v>
      </c>
    </row>
    <row r="1831" spans="1:8" ht="16" x14ac:dyDescent="0.2">
      <c r="A1831" s="2" t="s">
        <v>438</v>
      </c>
      <c r="B1831" s="6">
        <f>((15827*Parameters!$B$3)/(Parameters!$B$4*Parameters!$B$12))*Parameters!D63</f>
        <v>4.4788209589816708</v>
      </c>
      <c r="C1831" t="s">
        <v>31</v>
      </c>
      <c r="D1831" t="s">
        <v>19</v>
      </c>
      <c r="F1831" t="s">
        <v>20</v>
      </c>
      <c r="G1831" t="s">
        <v>500</v>
      </c>
      <c r="H1831" s="2" t="s">
        <v>439</v>
      </c>
    </row>
    <row r="1832" spans="1:8" ht="16" x14ac:dyDescent="0.2">
      <c r="A1832" s="2" t="s">
        <v>28</v>
      </c>
      <c r="B1832" s="6">
        <f>((2501*Parameters!$B$3/3.6)/(Parameters!$B$4*Parameters!$B$12))*Parameters!D63</f>
        <v>0.19659673024320534</v>
      </c>
      <c r="C1832" t="s">
        <v>1036</v>
      </c>
      <c r="D1832" t="s">
        <v>29</v>
      </c>
      <c r="F1832" t="s">
        <v>20</v>
      </c>
      <c r="H1832" s="2" t="s">
        <v>30</v>
      </c>
    </row>
    <row r="1833" spans="1:8" ht="16" x14ac:dyDescent="0.2">
      <c r="A1833" s="2" t="s">
        <v>384</v>
      </c>
      <c r="B1833" s="6">
        <f>((2.79/1000)/(Parameters!$B$4*Parameters!$B$12))*Parameters!D63</f>
        <v>7.4833116514558674E-4</v>
      </c>
      <c r="C1833" t="s">
        <v>26</v>
      </c>
      <c r="D1833" t="s">
        <v>8</v>
      </c>
      <c r="F1833" t="s">
        <v>20</v>
      </c>
      <c r="G1833" t="s">
        <v>386</v>
      </c>
      <c r="H1833" s="2" t="s">
        <v>385</v>
      </c>
    </row>
    <row r="1834" spans="1:8" ht="16" x14ac:dyDescent="0.2">
      <c r="A1834" s="2" t="s">
        <v>252</v>
      </c>
      <c r="B1834" s="6">
        <f>((4.72/1000)/(Parameters!$B$4*Parameters!$B$12))*Parameters!D63</f>
        <v>1.2659939424685192E-3</v>
      </c>
      <c r="C1834" t="s">
        <v>31</v>
      </c>
      <c r="D1834" t="s">
        <v>8</v>
      </c>
      <c r="F1834" t="s">
        <v>20</v>
      </c>
      <c r="H1834" s="2" t="s">
        <v>253</v>
      </c>
    </row>
    <row r="1835" spans="1:8" ht="16" x14ac:dyDescent="0.2">
      <c r="A1835" s="2" t="s">
        <v>254</v>
      </c>
      <c r="B1835" s="6">
        <f>((18.1/1000)/(Parameters!$B$4*Parameters!$B$12))*Parameters!D63</f>
        <v>4.8547649065000436E-3</v>
      </c>
      <c r="C1835" t="s">
        <v>255</v>
      </c>
      <c r="D1835" t="s">
        <v>8</v>
      </c>
      <c r="F1835" t="s">
        <v>20</v>
      </c>
      <c r="H1835" s="2" t="s">
        <v>256</v>
      </c>
    </row>
    <row r="1836" spans="1:8" ht="16" x14ac:dyDescent="0.2">
      <c r="A1836" s="2" t="s">
        <v>370</v>
      </c>
      <c r="B1836" s="6">
        <f>((10.83/1000)/(Parameters!$B$4*Parameters!$B$12))*Parameters!D63</f>
        <v>2.9048123722317932E-3</v>
      </c>
      <c r="C1836" t="s">
        <v>31</v>
      </c>
      <c r="D1836" t="s">
        <v>8</v>
      </c>
      <c r="F1836" t="s">
        <v>20</v>
      </c>
      <c r="G1836" t="s">
        <v>387</v>
      </c>
      <c r="H1836" s="2" t="s">
        <v>371</v>
      </c>
    </row>
    <row r="1837" spans="1:8" ht="16" x14ac:dyDescent="0.2">
      <c r="A1837" s="2" t="s">
        <v>388</v>
      </c>
      <c r="B1837" s="6">
        <f>((22.71/1000)/(Parameters!$B$4*Parameters!$B$12))*Parameters!D63</f>
        <v>6.0912547528517115E-3</v>
      </c>
      <c r="C1837" t="s">
        <v>26</v>
      </c>
      <c r="D1837" t="s">
        <v>8</v>
      </c>
      <c r="F1837" t="s">
        <v>20</v>
      </c>
      <c r="G1837" t="s">
        <v>390</v>
      </c>
      <c r="H1837" s="2" t="s">
        <v>389</v>
      </c>
    </row>
    <row r="1838" spans="1:8" x14ac:dyDescent="0.2">
      <c r="A1838" t="s">
        <v>265</v>
      </c>
      <c r="B1838" s="6">
        <f>(B1809*B1830)-Parameters!$B$15</f>
        <v>1.5796699559950838</v>
      </c>
      <c r="D1838" t="s">
        <v>8</v>
      </c>
      <c r="E1838" t="s">
        <v>37</v>
      </c>
      <c r="F1838" t="s">
        <v>36</v>
      </c>
      <c r="G1838" t="s">
        <v>428</v>
      </c>
    </row>
    <row r="1839" spans="1:8" x14ac:dyDescent="0.2">
      <c r="A1839" t="s">
        <v>306</v>
      </c>
      <c r="B1839" s="6">
        <f>1/(90000000*20)</f>
        <v>5.5555555555555553E-10</v>
      </c>
      <c r="C1839" t="s">
        <v>26</v>
      </c>
      <c r="D1839" t="s">
        <v>7</v>
      </c>
      <c r="F1839" t="s">
        <v>20</v>
      </c>
      <c r="G1839" t="s">
        <v>308</v>
      </c>
      <c r="H1839" t="s">
        <v>307</v>
      </c>
    </row>
    <row r="1840" spans="1:8" ht="16" x14ac:dyDescent="0.2">
      <c r="A1840" s="2"/>
      <c r="H1840" s="2"/>
    </row>
    <row r="1841" spans="1:8" ht="16" x14ac:dyDescent="0.2">
      <c r="A1841" s="1" t="s">
        <v>1</v>
      </c>
      <c r="B1841" s="71" t="s">
        <v>443</v>
      </c>
    </row>
    <row r="1842" spans="1:8" x14ac:dyDescent="0.2">
      <c r="A1842" t="s">
        <v>2</v>
      </c>
      <c r="B1842" s="6" t="s">
        <v>1035</v>
      </c>
    </row>
    <row r="1843" spans="1:8" x14ac:dyDescent="0.2">
      <c r="A1843" t="s">
        <v>3</v>
      </c>
      <c r="B1843" s="6">
        <v>1</v>
      </c>
    </row>
    <row r="1844" spans="1:8" ht="16" x14ac:dyDescent="0.2">
      <c r="A1844" t="s">
        <v>4</v>
      </c>
      <c r="B1844" s="72" t="s">
        <v>441</v>
      </c>
    </row>
    <row r="1845" spans="1:8" x14ac:dyDescent="0.2">
      <c r="A1845" t="s">
        <v>5</v>
      </c>
      <c r="B1845" s="6" t="s">
        <v>6</v>
      </c>
    </row>
    <row r="1846" spans="1:8" x14ac:dyDescent="0.2">
      <c r="A1846" t="s">
        <v>7</v>
      </c>
      <c r="B1846" s="6" t="s">
        <v>8</v>
      </c>
    </row>
    <row r="1847" spans="1:8" x14ac:dyDescent="0.2">
      <c r="A1847" t="s">
        <v>9</v>
      </c>
      <c r="B1847" s="6" t="s">
        <v>10</v>
      </c>
    </row>
    <row r="1848" spans="1:8" x14ac:dyDescent="0.2">
      <c r="A1848" t="s">
        <v>11</v>
      </c>
      <c r="B1848" s="6" t="s">
        <v>373</v>
      </c>
    </row>
    <row r="1849" spans="1:8" x14ac:dyDescent="0.2">
      <c r="A1849" t="s">
        <v>497</v>
      </c>
      <c r="B1849" s="70">
        <f>Summary!O41</f>
        <v>1.1947942065366799</v>
      </c>
    </row>
    <row r="1850" spans="1:8" ht="16" x14ac:dyDescent="0.2">
      <c r="A1850" s="1" t="s">
        <v>12</v>
      </c>
    </row>
    <row r="1851" spans="1:8" x14ac:dyDescent="0.2">
      <c r="A1851" t="s">
        <v>13</v>
      </c>
      <c r="B1851" s="6" t="s">
        <v>14</v>
      </c>
      <c r="C1851" t="s">
        <v>2</v>
      </c>
      <c r="D1851" t="s">
        <v>7</v>
      </c>
      <c r="E1851" t="s">
        <v>15</v>
      </c>
      <c r="F1851" t="s">
        <v>5</v>
      </c>
      <c r="G1851" t="s">
        <v>11</v>
      </c>
      <c r="H1851" t="s">
        <v>4</v>
      </c>
    </row>
    <row r="1852" spans="1:8" ht="16" x14ac:dyDescent="0.2">
      <c r="A1852" s="2" t="s">
        <v>443</v>
      </c>
      <c r="B1852" s="6">
        <v>1</v>
      </c>
      <c r="C1852" t="s">
        <v>1035</v>
      </c>
      <c r="D1852" t="s">
        <v>8</v>
      </c>
      <c r="F1852" t="s">
        <v>17</v>
      </c>
      <c r="G1852" t="s">
        <v>18</v>
      </c>
      <c r="H1852" s="2" t="s">
        <v>441</v>
      </c>
    </row>
    <row r="1853" spans="1:8" ht="16" x14ac:dyDescent="0.2">
      <c r="A1853" s="2" t="s">
        <v>85</v>
      </c>
      <c r="B1853" s="6">
        <f>(1/((Parameters!$D$58*Parameters!$B$4*Parameters!$B$12)/1000))*Parameters!D64</f>
        <v>1.8433282158587381</v>
      </c>
      <c r="C1853" t="s">
        <v>1035</v>
      </c>
      <c r="D1853" t="s">
        <v>8</v>
      </c>
      <c r="F1853" t="s">
        <v>20</v>
      </c>
      <c r="G1853" t="s">
        <v>18</v>
      </c>
      <c r="H1853" s="72" t="s">
        <v>442</v>
      </c>
    </row>
    <row r="1854" spans="1:8" ht="16" x14ac:dyDescent="0.2">
      <c r="A1854" s="2" t="s">
        <v>438</v>
      </c>
      <c r="B1854" s="6">
        <f>(15827*Parameters!$B$3)/(Parameters!$B$4*Parameters!$B$12)*Parameters!D64</f>
        <v>3.4052458976527307</v>
      </c>
      <c r="C1854" t="s">
        <v>31</v>
      </c>
      <c r="D1854" t="s">
        <v>19</v>
      </c>
      <c r="F1854" t="s">
        <v>20</v>
      </c>
      <c r="G1854" t="s">
        <v>437</v>
      </c>
      <c r="H1854" s="2" t="s">
        <v>439</v>
      </c>
    </row>
    <row r="1855" spans="1:8" ht="16" x14ac:dyDescent="0.2">
      <c r="A1855" s="2" t="s">
        <v>28</v>
      </c>
      <c r="B1855" s="6">
        <f>(2501*Parameters!$B$3/3.6)/(Parameters!$B$4*Parameters!$B$12)*Parameters!D64</f>
        <v>0.14947242037217484</v>
      </c>
      <c r="C1855" t="s">
        <v>1036</v>
      </c>
      <c r="D1855" t="s">
        <v>29</v>
      </c>
      <c r="F1855" t="s">
        <v>20</v>
      </c>
      <c r="H1855" s="2" t="s">
        <v>30</v>
      </c>
    </row>
    <row r="1856" spans="1:8" ht="16" x14ac:dyDescent="0.2">
      <c r="A1856" s="2" t="s">
        <v>384</v>
      </c>
      <c r="B1856" s="6">
        <f>((2.79/1000)/(Parameters!$B$4*Parameters!$B$12))*Parameters!D64</f>
        <v>5.6895590458634485E-4</v>
      </c>
      <c r="C1856" t="s">
        <v>26</v>
      </c>
      <c r="D1856" t="s">
        <v>8</v>
      </c>
      <c r="F1856" t="s">
        <v>20</v>
      </c>
      <c r="G1856" t="s">
        <v>386</v>
      </c>
      <c r="H1856" s="2" t="s">
        <v>385</v>
      </c>
    </row>
    <row r="1857" spans="1:8" ht="16" x14ac:dyDescent="0.2">
      <c r="A1857" s="2" t="s">
        <v>252</v>
      </c>
      <c r="B1857" s="6">
        <f>((4.72/1000)/(Parameters!$B$4*Parameters!$B$12))*Parameters!D64</f>
        <v>9.625347203037804E-4</v>
      </c>
      <c r="C1857" t="s">
        <v>31</v>
      </c>
      <c r="D1857" t="s">
        <v>8</v>
      </c>
      <c r="F1857" t="s">
        <v>20</v>
      </c>
      <c r="H1857" s="2" t="s">
        <v>253</v>
      </c>
    </row>
    <row r="1858" spans="1:8" ht="16" x14ac:dyDescent="0.2">
      <c r="A1858" s="2" t="s">
        <v>254</v>
      </c>
      <c r="B1858" s="6">
        <f>((18.1/1000)/(Parameters!$B$4*Parameters!$B$12))*Parameters!D64</f>
        <v>3.6910759401479728E-3</v>
      </c>
      <c r="C1858" t="s">
        <v>255</v>
      </c>
      <c r="D1858" t="s">
        <v>8</v>
      </c>
      <c r="F1858" t="s">
        <v>20</v>
      </c>
      <c r="H1858" s="2" t="s">
        <v>256</v>
      </c>
    </row>
    <row r="1859" spans="1:8" ht="16" x14ac:dyDescent="0.2">
      <c r="A1859" s="2" t="s">
        <v>370</v>
      </c>
      <c r="B1859" s="6">
        <f>((10.83/1000)/(Parameters!$B$4*Parameters!$B$12))*Parameters!D64</f>
        <v>2.2085277586631237E-3</v>
      </c>
      <c r="C1859" t="s">
        <v>31</v>
      </c>
      <c r="D1859" t="s">
        <v>8</v>
      </c>
      <c r="F1859" t="s">
        <v>20</v>
      </c>
      <c r="G1859" t="s">
        <v>387</v>
      </c>
      <c r="H1859" s="2" t="s">
        <v>371</v>
      </c>
    </row>
    <row r="1860" spans="1:8" ht="16" x14ac:dyDescent="0.2">
      <c r="A1860" s="2" t="s">
        <v>388</v>
      </c>
      <c r="B1860" s="6">
        <f>((22.71/1000)/(Parameters!$B$4*Parameters!$B$12))*Parameters!D64</f>
        <v>4.6311787072243343E-3</v>
      </c>
      <c r="C1860" t="s">
        <v>26</v>
      </c>
      <c r="D1860" t="s">
        <v>8</v>
      </c>
      <c r="F1860" t="s">
        <v>20</v>
      </c>
      <c r="G1860" t="s">
        <v>390</v>
      </c>
      <c r="H1860" s="2" t="s">
        <v>389</v>
      </c>
    </row>
    <row r="1861" spans="1:8" x14ac:dyDescent="0.2">
      <c r="A1861" t="s">
        <v>265</v>
      </c>
      <c r="B1861" s="6">
        <f>(B1809*B1853)-Parameters!$B$15</f>
        <v>0.74223595905244166</v>
      </c>
      <c r="D1861" t="s">
        <v>8</v>
      </c>
      <c r="E1861" t="s">
        <v>37</v>
      </c>
      <c r="F1861" t="s">
        <v>36</v>
      </c>
      <c r="G1861" t="s">
        <v>428</v>
      </c>
    </row>
    <row r="1862" spans="1:8" x14ac:dyDescent="0.2">
      <c r="A1862" t="s">
        <v>306</v>
      </c>
      <c r="B1862" s="6">
        <f>1/(90000000*20)</f>
        <v>5.5555555555555553E-10</v>
      </c>
      <c r="C1862" t="s">
        <v>26</v>
      </c>
      <c r="D1862" t="s">
        <v>7</v>
      </c>
      <c r="F1862" t="s">
        <v>20</v>
      </c>
      <c r="G1862" t="s">
        <v>308</v>
      </c>
      <c r="H1862" t="s">
        <v>307</v>
      </c>
    </row>
    <row r="1863" spans="1:8" ht="16" x14ac:dyDescent="0.2">
      <c r="A1863" s="2"/>
      <c r="H1863" s="2"/>
    </row>
    <row r="1864" spans="1:8" ht="16" x14ac:dyDescent="0.2">
      <c r="A1864" s="1" t="s">
        <v>1</v>
      </c>
      <c r="B1864" s="71" t="s">
        <v>520</v>
      </c>
    </row>
    <row r="1865" spans="1:8" x14ac:dyDescent="0.2">
      <c r="A1865" t="s">
        <v>2</v>
      </c>
      <c r="B1865" s="6" t="s">
        <v>1035</v>
      </c>
    </row>
    <row r="1866" spans="1:8" x14ac:dyDescent="0.2">
      <c r="A1866" t="s">
        <v>3</v>
      </c>
      <c r="B1866" s="6">
        <v>1</v>
      </c>
    </row>
    <row r="1867" spans="1:8" ht="16" x14ac:dyDescent="0.2">
      <c r="A1867" t="s">
        <v>4</v>
      </c>
      <c r="B1867" s="72" t="s">
        <v>441</v>
      </c>
    </row>
    <row r="1868" spans="1:8" x14ac:dyDescent="0.2">
      <c r="A1868" t="s">
        <v>5</v>
      </c>
      <c r="B1868" s="6" t="s">
        <v>6</v>
      </c>
    </row>
    <row r="1869" spans="1:8" x14ac:dyDescent="0.2">
      <c r="A1869" t="s">
        <v>7</v>
      </c>
      <c r="B1869" s="6" t="s">
        <v>8</v>
      </c>
    </row>
    <row r="1870" spans="1:8" x14ac:dyDescent="0.2">
      <c r="A1870" t="s">
        <v>9</v>
      </c>
      <c r="B1870" s="6" t="s">
        <v>10</v>
      </c>
    </row>
    <row r="1871" spans="1:8" x14ac:dyDescent="0.2">
      <c r="A1871" t="s">
        <v>11</v>
      </c>
      <c r="B1871" s="6" t="s">
        <v>504</v>
      </c>
    </row>
    <row r="1872" spans="1:8" x14ac:dyDescent="0.2">
      <c r="A1872" t="s">
        <v>497</v>
      </c>
      <c r="B1872" s="70">
        <f>Summary!O148</f>
        <v>0.72762967178083804</v>
      </c>
    </row>
    <row r="1873" spans="1:9" ht="16" x14ac:dyDescent="0.2">
      <c r="A1873" s="1" t="s">
        <v>12</v>
      </c>
    </row>
    <row r="1874" spans="1:9" x14ac:dyDescent="0.2">
      <c r="A1874" t="s">
        <v>13</v>
      </c>
      <c r="B1874" s="6" t="s">
        <v>14</v>
      </c>
      <c r="C1874" t="s">
        <v>2</v>
      </c>
      <c r="D1874" t="s">
        <v>7</v>
      </c>
      <c r="E1874" t="s">
        <v>15</v>
      </c>
      <c r="F1874" t="s">
        <v>5</v>
      </c>
      <c r="G1874" t="s">
        <v>11</v>
      </c>
      <c r="H1874" t="s">
        <v>4</v>
      </c>
    </row>
    <row r="1875" spans="1:9" ht="16" x14ac:dyDescent="0.2">
      <c r="A1875" s="2" t="s">
        <v>520</v>
      </c>
      <c r="B1875" s="6">
        <v>1</v>
      </c>
      <c r="C1875" t="s">
        <v>1035</v>
      </c>
      <c r="D1875" t="s">
        <v>8</v>
      </c>
      <c r="F1875" t="s">
        <v>17</v>
      </c>
      <c r="G1875" t="s">
        <v>18</v>
      </c>
      <c r="H1875" s="2" t="s">
        <v>441</v>
      </c>
    </row>
    <row r="1876" spans="1:9" ht="16" x14ac:dyDescent="0.2">
      <c r="A1876" s="2" t="s">
        <v>85</v>
      </c>
      <c r="B1876" s="6">
        <f>(1/((Parameters!$D$58*Parameters!$B$4*Parameters!$B$12)/1000))</f>
        <v>3.0268115202934944</v>
      </c>
      <c r="C1876" t="s">
        <v>1035</v>
      </c>
      <c r="D1876" t="s">
        <v>8</v>
      </c>
      <c r="F1876" t="s">
        <v>20</v>
      </c>
      <c r="G1876" t="s">
        <v>18</v>
      </c>
      <c r="H1876" s="2" t="s">
        <v>442</v>
      </c>
    </row>
    <row r="1877" spans="1:9" ht="16" x14ac:dyDescent="0.2">
      <c r="A1877" s="2" t="s">
        <v>438</v>
      </c>
      <c r="B1877" s="6">
        <f>(15827*Parameters!$B$3)/(Parameters!$B$4*Parameters!$B$12)</f>
        <v>5.5915367777548948</v>
      </c>
      <c r="C1877" t="s">
        <v>31</v>
      </c>
      <c r="D1877" t="s">
        <v>19</v>
      </c>
      <c r="F1877" t="s">
        <v>20</v>
      </c>
      <c r="G1877" t="s">
        <v>437</v>
      </c>
      <c r="H1877" s="2" t="s">
        <v>439</v>
      </c>
    </row>
    <row r="1878" spans="1:9" ht="16" x14ac:dyDescent="0.2">
      <c r="A1878" s="2" t="s">
        <v>28</v>
      </c>
      <c r="B1878" s="6">
        <f>(2501*Parameters!$B$3/3.6)/(Parameters!$B$4*Parameters!$B$12)</f>
        <v>0.24543911391161713</v>
      </c>
      <c r="C1878" t="s">
        <v>1036</v>
      </c>
      <c r="D1878" t="s">
        <v>29</v>
      </c>
      <c r="F1878" t="s">
        <v>20</v>
      </c>
      <c r="H1878" s="2" t="s">
        <v>30</v>
      </c>
    </row>
    <row r="1879" spans="1:9" ht="16" x14ac:dyDescent="0.2">
      <c r="A1879" s="2" t="s">
        <v>384</v>
      </c>
      <c r="B1879" s="6">
        <f>((2.79/1000)/(Parameters!$B$4*Parameters!$B$12))</f>
        <v>9.3424614874605075E-4</v>
      </c>
      <c r="C1879" t="s">
        <v>26</v>
      </c>
      <c r="D1879" t="s">
        <v>8</v>
      </c>
      <c r="F1879" t="s">
        <v>20</v>
      </c>
      <c r="G1879" t="s">
        <v>386</v>
      </c>
      <c r="H1879" s="2" t="s">
        <v>385</v>
      </c>
    </row>
    <row r="1880" spans="1:9" ht="16" x14ac:dyDescent="0.2">
      <c r="A1880" s="2" t="s">
        <v>252</v>
      </c>
      <c r="B1880" s="6">
        <f>((4.72/1000)/(Parameters!$B$4*Parameters!$B$12))</f>
        <v>1.5805167821080139E-3</v>
      </c>
      <c r="C1880" t="s">
        <v>31</v>
      </c>
      <c r="D1880" t="s">
        <v>8</v>
      </c>
      <c r="F1880" t="s">
        <v>20</v>
      </c>
      <c r="H1880" s="2" t="s">
        <v>253</v>
      </c>
    </row>
    <row r="1881" spans="1:9" ht="16" x14ac:dyDescent="0.2">
      <c r="A1881" s="2" t="s">
        <v>254</v>
      </c>
      <c r="B1881" s="6">
        <f>((18.1/1000)/(Parameters!$B$4*Parameters!$B$12))</f>
        <v>6.0608800330836992E-3</v>
      </c>
      <c r="C1881" t="s">
        <v>255</v>
      </c>
      <c r="D1881" t="s">
        <v>8</v>
      </c>
      <c r="F1881" t="s">
        <v>20</v>
      </c>
      <c r="H1881" s="2" t="s">
        <v>256</v>
      </c>
    </row>
    <row r="1882" spans="1:9" ht="16" x14ac:dyDescent="0.2">
      <c r="A1882" s="2" t="s">
        <v>370</v>
      </c>
      <c r="B1882" s="6">
        <f>((10.83/1000)/(Parameters!$B$4*Parameters!$B$12))</f>
        <v>3.6264823623368206E-3</v>
      </c>
      <c r="C1882" t="s">
        <v>31</v>
      </c>
      <c r="D1882" t="s">
        <v>8</v>
      </c>
      <c r="F1882" t="s">
        <v>20</v>
      </c>
      <c r="G1882" t="s">
        <v>387</v>
      </c>
      <c r="H1882" s="2" t="s">
        <v>371</v>
      </c>
    </row>
    <row r="1883" spans="1:9" ht="16" x14ac:dyDescent="0.2">
      <c r="A1883" s="2" t="s">
        <v>388</v>
      </c>
      <c r="B1883" s="6">
        <f>((22.71/1000)/(Parameters!$B$4*Parameters!$B$12))</f>
        <v>7.6045627376425855E-3</v>
      </c>
      <c r="C1883" t="s">
        <v>26</v>
      </c>
      <c r="D1883" t="s">
        <v>8</v>
      </c>
      <c r="F1883" t="s">
        <v>20</v>
      </c>
      <c r="G1883" t="s">
        <v>390</v>
      </c>
      <c r="H1883" s="2" t="s">
        <v>389</v>
      </c>
    </row>
    <row r="1884" spans="1:9" x14ac:dyDescent="0.2">
      <c r="A1884" t="s">
        <v>265</v>
      </c>
      <c r="B1884" s="6">
        <f>(B1809*B1876)-Parameters!$B$15</f>
        <v>2.447635400742926</v>
      </c>
      <c r="D1884" t="s">
        <v>8</v>
      </c>
      <c r="E1884" t="s">
        <v>37</v>
      </c>
      <c r="F1884" t="s">
        <v>36</v>
      </c>
      <c r="G1884" t="s">
        <v>428</v>
      </c>
    </row>
    <row r="1885" spans="1:9" x14ac:dyDescent="0.2">
      <c r="A1885" t="s">
        <v>306</v>
      </c>
      <c r="B1885" s="6">
        <f>1/(90000000*20)</f>
        <v>5.5555555555555553E-10</v>
      </c>
      <c r="C1885" t="s">
        <v>26</v>
      </c>
      <c r="D1885" t="s">
        <v>7</v>
      </c>
      <c r="F1885" t="s">
        <v>20</v>
      </c>
      <c r="G1885" t="s">
        <v>308</v>
      </c>
      <c r="H1885" t="s">
        <v>307</v>
      </c>
    </row>
    <row r="1886" spans="1:9" x14ac:dyDescent="0.2">
      <c r="A1886" s="35" t="s">
        <v>28</v>
      </c>
      <c r="B1886" s="36">
        <f>Parameters!D57/Parameters!B4*Parameters!B12*-1</f>
        <v>0</v>
      </c>
      <c r="C1886" t="s">
        <v>1036</v>
      </c>
      <c r="D1886" s="35" t="s">
        <v>29</v>
      </c>
      <c r="E1886" s="35"/>
      <c r="F1886" s="35" t="s">
        <v>20</v>
      </c>
      <c r="G1886" s="35" t="s">
        <v>505</v>
      </c>
      <c r="H1886" s="35" t="s">
        <v>30</v>
      </c>
      <c r="I1886" s="35"/>
    </row>
    <row r="1887" spans="1:9" x14ac:dyDescent="0.2">
      <c r="A1887" s="35" t="s">
        <v>525</v>
      </c>
      <c r="B1887" s="36">
        <f>Parameters!D59/Parameters!B4*Parameters!B12*-1*0.27</f>
        <v>-0.31687157199471599</v>
      </c>
      <c r="C1887" t="s">
        <v>26</v>
      </c>
      <c r="D1887" t="s">
        <v>8</v>
      </c>
      <c r="E1887" s="35"/>
      <c r="F1887" s="35" t="s">
        <v>20</v>
      </c>
      <c r="G1887" s="35" t="s">
        <v>565</v>
      </c>
      <c r="H1887" s="35" t="s">
        <v>526</v>
      </c>
      <c r="I1887" s="35"/>
    </row>
    <row r="1888" spans="1:9" ht="16" x14ac:dyDescent="0.2">
      <c r="A1888" s="2"/>
      <c r="H1888" s="2"/>
    </row>
    <row r="1889" spans="1:10" ht="16" x14ac:dyDescent="0.2">
      <c r="A1889" s="1" t="s">
        <v>1</v>
      </c>
      <c r="B1889" s="71" t="s">
        <v>444</v>
      </c>
    </row>
    <row r="1890" spans="1:10" x14ac:dyDescent="0.2">
      <c r="A1890" t="s">
        <v>2</v>
      </c>
      <c r="B1890" s="6" t="s">
        <v>1035</v>
      </c>
    </row>
    <row r="1891" spans="1:10" x14ac:dyDescent="0.2">
      <c r="A1891" t="s">
        <v>3</v>
      </c>
      <c r="B1891" s="6">
        <v>1</v>
      </c>
    </row>
    <row r="1892" spans="1:10" ht="16" x14ac:dyDescent="0.2">
      <c r="A1892" t="s">
        <v>4</v>
      </c>
      <c r="B1892" s="72" t="s">
        <v>337</v>
      </c>
    </row>
    <row r="1893" spans="1:10" x14ac:dyDescent="0.2">
      <c r="A1893" t="s">
        <v>5</v>
      </c>
      <c r="B1893" s="6" t="s">
        <v>6</v>
      </c>
    </row>
    <row r="1894" spans="1:10" x14ac:dyDescent="0.2">
      <c r="A1894" t="s">
        <v>7</v>
      </c>
      <c r="B1894" s="6" t="s">
        <v>8</v>
      </c>
    </row>
    <row r="1895" spans="1:10" x14ac:dyDescent="0.2">
      <c r="A1895" t="s">
        <v>9</v>
      </c>
      <c r="B1895" s="6" t="s">
        <v>393</v>
      </c>
    </row>
    <row r="1896" spans="1:10" x14ac:dyDescent="0.2">
      <c r="A1896" t="s">
        <v>11</v>
      </c>
      <c r="B1896" s="6" t="s">
        <v>362</v>
      </c>
    </row>
    <row r="1897" spans="1:10" ht="16" x14ac:dyDescent="0.2">
      <c r="A1897" s="1" t="s">
        <v>12</v>
      </c>
    </row>
    <row r="1898" spans="1:10" x14ac:dyDescent="0.2">
      <c r="A1898" t="s">
        <v>13</v>
      </c>
      <c r="B1898" s="6" t="s">
        <v>14</v>
      </c>
      <c r="C1898" t="s">
        <v>2</v>
      </c>
      <c r="D1898" t="s">
        <v>7</v>
      </c>
      <c r="E1898" t="s">
        <v>15</v>
      </c>
      <c r="F1898" t="s">
        <v>5</v>
      </c>
      <c r="G1898" t="s">
        <v>338</v>
      </c>
      <c r="H1898" t="s">
        <v>339</v>
      </c>
      <c r="I1898" t="s">
        <v>11</v>
      </c>
      <c r="J1898" t="s">
        <v>4</v>
      </c>
    </row>
    <row r="1899" spans="1:10" x14ac:dyDescent="0.2">
      <c r="A1899" s="35" t="s">
        <v>444</v>
      </c>
      <c r="B1899" s="36">
        <v>1</v>
      </c>
      <c r="C1899" t="s">
        <v>1035</v>
      </c>
      <c r="D1899" s="35" t="s">
        <v>8</v>
      </c>
      <c r="E1899" s="35"/>
      <c r="F1899" s="35" t="s">
        <v>17</v>
      </c>
      <c r="G1899" s="35"/>
      <c r="H1899" s="35"/>
      <c r="I1899" s="35" t="s">
        <v>18</v>
      </c>
      <c r="J1899" s="35" t="s">
        <v>337</v>
      </c>
    </row>
    <row r="1900" spans="1:10" ht="16" x14ac:dyDescent="0.2">
      <c r="A1900" s="2" t="s">
        <v>440</v>
      </c>
      <c r="B1900" s="6">
        <v>1.00057</v>
      </c>
      <c r="C1900" t="s">
        <v>1035</v>
      </c>
      <c r="D1900" t="s">
        <v>8</v>
      </c>
      <c r="F1900" s="35" t="s">
        <v>20</v>
      </c>
      <c r="G1900" t="s">
        <v>18</v>
      </c>
      <c r="I1900" s="35"/>
      <c r="J1900" s="2" t="s">
        <v>441</v>
      </c>
    </row>
    <row r="1901" spans="1:10" x14ac:dyDescent="0.2">
      <c r="A1901" s="35" t="s">
        <v>28</v>
      </c>
      <c r="B1901" s="36">
        <v>6.7000000000000002E-3</v>
      </c>
      <c r="C1901" t="s">
        <v>1036</v>
      </c>
      <c r="D1901" s="35" t="s">
        <v>29</v>
      </c>
      <c r="E1901" s="35"/>
      <c r="F1901" s="35" t="s">
        <v>20</v>
      </c>
      <c r="G1901" s="35"/>
      <c r="H1901" s="35"/>
      <c r="I1901" s="35"/>
      <c r="J1901" s="35" t="s">
        <v>30</v>
      </c>
    </row>
    <row r="1902" spans="1:10" x14ac:dyDescent="0.2">
      <c r="A1902" s="35" t="s">
        <v>340</v>
      </c>
      <c r="B1902" s="36">
        <v>-1.6799999999999999E-4</v>
      </c>
      <c r="C1902" s="35" t="s">
        <v>31</v>
      </c>
      <c r="D1902" s="35" t="s">
        <v>8</v>
      </c>
      <c r="E1902" s="35"/>
      <c r="F1902" s="35" t="s">
        <v>20</v>
      </c>
      <c r="G1902" s="35"/>
      <c r="H1902" s="35"/>
      <c r="I1902" s="35"/>
      <c r="J1902" s="35" t="s">
        <v>341</v>
      </c>
    </row>
    <row r="1903" spans="1:10" x14ac:dyDescent="0.2">
      <c r="A1903" s="35" t="s">
        <v>342</v>
      </c>
      <c r="B1903" s="36">
        <v>5.8399999999999999E-4</v>
      </c>
      <c r="C1903" s="35" t="s">
        <v>31</v>
      </c>
      <c r="D1903" s="35" t="s">
        <v>19</v>
      </c>
      <c r="E1903" s="35"/>
      <c r="F1903" s="35" t="s">
        <v>20</v>
      </c>
      <c r="G1903" s="35"/>
      <c r="H1903" s="35"/>
      <c r="I1903" s="35"/>
      <c r="J1903" s="35" t="s">
        <v>343</v>
      </c>
    </row>
    <row r="1904" spans="1:10" x14ac:dyDescent="0.2">
      <c r="A1904" s="35" t="s">
        <v>344</v>
      </c>
      <c r="B1904" s="36">
        <v>2.5999999999999998E-10</v>
      </c>
      <c r="C1904" s="35" t="s">
        <v>31</v>
      </c>
      <c r="D1904" s="35" t="s">
        <v>7</v>
      </c>
      <c r="E1904" s="35"/>
      <c r="F1904" s="35" t="s">
        <v>20</v>
      </c>
      <c r="G1904" s="35"/>
      <c r="H1904" s="35"/>
      <c r="I1904" s="35"/>
      <c r="J1904" s="35" t="s">
        <v>345</v>
      </c>
    </row>
    <row r="1905" spans="1:10" x14ac:dyDescent="0.2">
      <c r="A1905" s="35" t="s">
        <v>346</v>
      </c>
      <c r="B1905" s="36">
        <v>-6.2700000000000001E-6</v>
      </c>
      <c r="C1905" s="35" t="s">
        <v>31</v>
      </c>
      <c r="D1905" s="35" t="s">
        <v>8</v>
      </c>
      <c r="E1905" s="35"/>
      <c r="F1905" s="35" t="s">
        <v>20</v>
      </c>
      <c r="G1905" s="35"/>
      <c r="H1905" s="35"/>
      <c r="I1905" s="35"/>
      <c r="J1905" s="35" t="s">
        <v>347</v>
      </c>
    </row>
    <row r="1906" spans="1:10" x14ac:dyDescent="0.2">
      <c r="A1906" s="35" t="s">
        <v>348</v>
      </c>
      <c r="B1906" s="36">
        <v>-7.4999999999999993E-5</v>
      </c>
      <c r="C1906" s="35" t="s">
        <v>31</v>
      </c>
      <c r="D1906" s="35" t="s">
        <v>121</v>
      </c>
      <c r="E1906" s="35"/>
      <c r="F1906" s="35" t="s">
        <v>20</v>
      </c>
      <c r="G1906" s="35"/>
      <c r="H1906" s="35"/>
      <c r="I1906" s="35"/>
      <c r="J1906" s="35" t="s">
        <v>349</v>
      </c>
    </row>
    <row r="1907" spans="1:10" x14ac:dyDescent="0.2">
      <c r="A1907" s="35" t="s">
        <v>350</v>
      </c>
      <c r="B1907" s="36">
        <v>6.8900000000000005E-4</v>
      </c>
      <c r="C1907" s="35" t="s">
        <v>31</v>
      </c>
      <c r="D1907" s="35" t="s">
        <v>8</v>
      </c>
      <c r="E1907" s="35"/>
      <c r="F1907" s="35" t="s">
        <v>20</v>
      </c>
      <c r="G1907" s="35"/>
      <c r="H1907" s="35"/>
      <c r="I1907" s="35"/>
      <c r="J1907" s="35" t="s">
        <v>351</v>
      </c>
    </row>
    <row r="1908" spans="1:10" x14ac:dyDescent="0.2">
      <c r="A1908" s="35" t="s">
        <v>100</v>
      </c>
      <c r="B1908" s="36">
        <v>3.3599999999999998E-2</v>
      </c>
      <c r="C1908" s="35" t="s">
        <v>31</v>
      </c>
      <c r="D1908" s="35" t="s">
        <v>41</v>
      </c>
      <c r="E1908" s="35"/>
      <c r="F1908" s="35" t="s">
        <v>20</v>
      </c>
      <c r="G1908" s="35"/>
      <c r="H1908" s="35"/>
      <c r="I1908" s="35"/>
      <c r="J1908" s="35" t="s">
        <v>103</v>
      </c>
    </row>
    <row r="1909" spans="1:10" x14ac:dyDescent="0.2">
      <c r="A1909" s="35" t="s">
        <v>352</v>
      </c>
      <c r="B1909" s="36">
        <v>3.2599999999999997E-2</v>
      </c>
      <c r="C1909" s="35" t="s">
        <v>572</v>
      </c>
      <c r="D1909" s="35" t="s">
        <v>41</v>
      </c>
      <c r="E1909" s="35"/>
      <c r="F1909" s="35" t="s">
        <v>20</v>
      </c>
      <c r="G1909" s="35"/>
      <c r="H1909" s="35"/>
      <c r="I1909" s="35"/>
      <c r="J1909" s="35" t="s">
        <v>353</v>
      </c>
    </row>
    <row r="1910" spans="1:10" x14ac:dyDescent="0.2">
      <c r="A1910" s="35" t="s">
        <v>354</v>
      </c>
      <c r="B1910" s="36">
        <v>-6.8899999999999999E-7</v>
      </c>
      <c r="C1910" s="35" t="s">
        <v>31</v>
      </c>
      <c r="D1910" s="35" t="s">
        <v>121</v>
      </c>
      <c r="E1910" s="35"/>
      <c r="F1910" s="35" t="s">
        <v>20</v>
      </c>
      <c r="G1910" s="35"/>
      <c r="H1910" s="35"/>
      <c r="I1910" s="35"/>
      <c r="J1910" s="35" t="s">
        <v>355</v>
      </c>
    </row>
    <row r="1912" spans="1:10" ht="16" x14ac:dyDescent="0.2">
      <c r="A1912" s="1" t="s">
        <v>1</v>
      </c>
      <c r="B1912" s="71" t="s">
        <v>445</v>
      </c>
    </row>
    <row r="1913" spans="1:10" x14ac:dyDescent="0.2">
      <c r="A1913" t="s">
        <v>2</v>
      </c>
      <c r="B1913" s="6" t="s">
        <v>1035</v>
      </c>
    </row>
    <row r="1914" spans="1:10" x14ac:dyDescent="0.2">
      <c r="A1914" t="s">
        <v>3</v>
      </c>
      <c r="B1914" s="6">
        <v>1</v>
      </c>
    </row>
    <row r="1915" spans="1:10" ht="16" x14ac:dyDescent="0.2">
      <c r="A1915" t="s">
        <v>4</v>
      </c>
      <c r="B1915" s="72" t="s">
        <v>337</v>
      </c>
    </row>
    <row r="1916" spans="1:10" x14ac:dyDescent="0.2">
      <c r="A1916" t="s">
        <v>5</v>
      </c>
      <c r="B1916" s="6" t="s">
        <v>6</v>
      </c>
    </row>
    <row r="1917" spans="1:10" x14ac:dyDescent="0.2">
      <c r="A1917" t="s">
        <v>7</v>
      </c>
      <c r="B1917" s="6" t="s">
        <v>8</v>
      </c>
    </row>
    <row r="1918" spans="1:10" x14ac:dyDescent="0.2">
      <c r="A1918" t="s">
        <v>9</v>
      </c>
      <c r="B1918" s="6" t="s">
        <v>393</v>
      </c>
    </row>
    <row r="1919" spans="1:10" x14ac:dyDescent="0.2">
      <c r="A1919" t="s">
        <v>11</v>
      </c>
      <c r="B1919" s="6" t="s">
        <v>361</v>
      </c>
    </row>
    <row r="1920" spans="1:10" ht="16" x14ac:dyDescent="0.2">
      <c r="A1920" s="1" t="s">
        <v>12</v>
      </c>
    </row>
    <row r="1921" spans="1:10" x14ac:dyDescent="0.2">
      <c r="A1921" t="s">
        <v>13</v>
      </c>
      <c r="B1921" s="6" t="s">
        <v>14</v>
      </c>
      <c r="C1921" t="s">
        <v>2</v>
      </c>
      <c r="D1921" t="s">
        <v>7</v>
      </c>
      <c r="E1921" t="s">
        <v>15</v>
      </c>
      <c r="F1921" t="s">
        <v>5</v>
      </c>
      <c r="G1921" t="s">
        <v>338</v>
      </c>
      <c r="H1921" t="s">
        <v>339</v>
      </c>
      <c r="I1921" t="s">
        <v>11</v>
      </c>
      <c r="J1921" t="s">
        <v>4</v>
      </c>
    </row>
    <row r="1922" spans="1:10" x14ac:dyDescent="0.2">
      <c r="A1922" s="35" t="s">
        <v>445</v>
      </c>
      <c r="B1922" s="36">
        <v>1</v>
      </c>
      <c r="C1922" t="s">
        <v>1035</v>
      </c>
      <c r="D1922" s="35" t="s">
        <v>8</v>
      </c>
      <c r="E1922" s="35"/>
      <c r="F1922" s="35" t="s">
        <v>17</v>
      </c>
      <c r="G1922" s="35"/>
      <c r="H1922" s="35"/>
      <c r="I1922" s="35" t="s">
        <v>18</v>
      </c>
      <c r="J1922" s="35" t="s">
        <v>337</v>
      </c>
    </row>
    <row r="1923" spans="1:10" ht="16" x14ac:dyDescent="0.2">
      <c r="A1923" s="2" t="s">
        <v>443</v>
      </c>
      <c r="B1923" s="6">
        <v>1.00057</v>
      </c>
      <c r="C1923" t="s">
        <v>1035</v>
      </c>
      <c r="D1923" t="s">
        <v>8</v>
      </c>
      <c r="F1923" s="35" t="s">
        <v>20</v>
      </c>
      <c r="G1923" t="s">
        <v>18</v>
      </c>
      <c r="I1923" s="35"/>
      <c r="J1923" s="2" t="s">
        <v>441</v>
      </c>
    </row>
    <row r="1924" spans="1:10" x14ac:dyDescent="0.2">
      <c r="A1924" s="35" t="s">
        <v>28</v>
      </c>
      <c r="B1924" s="36">
        <v>6.7000000000000002E-3</v>
      </c>
      <c r="C1924" t="s">
        <v>1036</v>
      </c>
      <c r="D1924" s="35" t="s">
        <v>29</v>
      </c>
      <c r="E1924" s="35"/>
      <c r="F1924" s="35" t="s">
        <v>20</v>
      </c>
      <c r="G1924" s="35"/>
      <c r="H1924" s="35"/>
      <c r="I1924" s="35"/>
      <c r="J1924" s="35" t="s">
        <v>30</v>
      </c>
    </row>
    <row r="1925" spans="1:10" x14ac:dyDescent="0.2">
      <c r="A1925" s="35" t="s">
        <v>340</v>
      </c>
      <c r="B1925" s="36">
        <v>-1.6799999999999999E-4</v>
      </c>
      <c r="C1925" s="35" t="s">
        <v>31</v>
      </c>
      <c r="D1925" s="35" t="s">
        <v>8</v>
      </c>
      <c r="E1925" s="35"/>
      <c r="F1925" s="35" t="s">
        <v>20</v>
      </c>
      <c r="G1925" s="35"/>
      <c r="H1925" s="35"/>
      <c r="I1925" s="35"/>
      <c r="J1925" s="35" t="s">
        <v>341</v>
      </c>
    </row>
    <row r="1926" spans="1:10" x14ac:dyDescent="0.2">
      <c r="A1926" s="35" t="s">
        <v>342</v>
      </c>
      <c r="B1926" s="36">
        <v>5.8399999999999999E-4</v>
      </c>
      <c r="C1926" s="35" t="s">
        <v>31</v>
      </c>
      <c r="D1926" s="35" t="s">
        <v>19</v>
      </c>
      <c r="E1926" s="35"/>
      <c r="F1926" s="35" t="s">
        <v>20</v>
      </c>
      <c r="G1926" s="35"/>
      <c r="H1926" s="35"/>
      <c r="I1926" s="35"/>
      <c r="J1926" s="35" t="s">
        <v>343</v>
      </c>
    </row>
    <row r="1927" spans="1:10" x14ac:dyDescent="0.2">
      <c r="A1927" s="35" t="s">
        <v>344</v>
      </c>
      <c r="B1927" s="36">
        <v>2.5999999999999998E-10</v>
      </c>
      <c r="C1927" s="35" t="s">
        <v>31</v>
      </c>
      <c r="D1927" s="35" t="s">
        <v>7</v>
      </c>
      <c r="E1927" s="35"/>
      <c r="F1927" s="35" t="s">
        <v>20</v>
      </c>
      <c r="G1927" s="35"/>
      <c r="H1927" s="35"/>
      <c r="I1927" s="35"/>
      <c r="J1927" s="35" t="s">
        <v>345</v>
      </c>
    </row>
    <row r="1928" spans="1:10" x14ac:dyDescent="0.2">
      <c r="A1928" s="35" t="s">
        <v>346</v>
      </c>
      <c r="B1928" s="36">
        <v>-6.2700000000000001E-6</v>
      </c>
      <c r="C1928" s="35" t="s">
        <v>31</v>
      </c>
      <c r="D1928" s="35" t="s">
        <v>8</v>
      </c>
      <c r="E1928" s="35"/>
      <c r="F1928" s="35" t="s">
        <v>20</v>
      </c>
      <c r="G1928" s="35"/>
      <c r="H1928" s="35"/>
      <c r="I1928" s="35"/>
      <c r="J1928" s="35" t="s">
        <v>347</v>
      </c>
    </row>
    <row r="1929" spans="1:10" x14ac:dyDescent="0.2">
      <c r="A1929" s="35" t="s">
        <v>348</v>
      </c>
      <c r="B1929" s="36">
        <v>-7.4999999999999993E-5</v>
      </c>
      <c r="C1929" s="35" t="s">
        <v>31</v>
      </c>
      <c r="D1929" s="35" t="s">
        <v>121</v>
      </c>
      <c r="E1929" s="35"/>
      <c r="F1929" s="35" t="s">
        <v>20</v>
      </c>
      <c r="G1929" s="35"/>
      <c r="H1929" s="35"/>
      <c r="I1929" s="35"/>
      <c r="J1929" s="35" t="s">
        <v>349</v>
      </c>
    </row>
    <row r="1930" spans="1:10" x14ac:dyDescent="0.2">
      <c r="A1930" s="35" t="s">
        <v>350</v>
      </c>
      <c r="B1930" s="36">
        <v>6.8900000000000005E-4</v>
      </c>
      <c r="C1930" s="35" t="s">
        <v>31</v>
      </c>
      <c r="D1930" s="35" t="s">
        <v>8</v>
      </c>
      <c r="E1930" s="35"/>
      <c r="F1930" s="35" t="s">
        <v>20</v>
      </c>
      <c r="G1930" s="35"/>
      <c r="H1930" s="35"/>
      <c r="I1930" s="35"/>
      <c r="J1930" s="35" t="s">
        <v>351</v>
      </c>
    </row>
    <row r="1931" spans="1:10" x14ac:dyDescent="0.2">
      <c r="A1931" s="35" t="s">
        <v>100</v>
      </c>
      <c r="B1931" s="36">
        <v>3.3599999999999998E-2</v>
      </c>
      <c r="C1931" s="35" t="s">
        <v>31</v>
      </c>
      <c r="D1931" s="35" t="s">
        <v>41</v>
      </c>
      <c r="E1931" s="35"/>
      <c r="F1931" s="35" t="s">
        <v>20</v>
      </c>
      <c r="G1931" s="35"/>
      <c r="H1931" s="35"/>
      <c r="I1931" s="35"/>
      <c r="J1931" s="35" t="s">
        <v>103</v>
      </c>
    </row>
    <row r="1932" spans="1:10" x14ac:dyDescent="0.2">
      <c r="A1932" s="35" t="s">
        <v>352</v>
      </c>
      <c r="B1932" s="36">
        <v>3.2599999999999997E-2</v>
      </c>
      <c r="C1932" s="35" t="s">
        <v>572</v>
      </c>
      <c r="D1932" s="35" t="s">
        <v>41</v>
      </c>
      <c r="E1932" s="35"/>
      <c r="F1932" s="35" t="s">
        <v>20</v>
      </c>
      <c r="G1932" s="35"/>
      <c r="H1932" s="35"/>
      <c r="I1932" s="35"/>
      <c r="J1932" s="35" t="s">
        <v>353</v>
      </c>
    </row>
    <row r="1933" spans="1:10" x14ac:dyDescent="0.2">
      <c r="A1933" s="35" t="s">
        <v>354</v>
      </c>
      <c r="B1933" s="36">
        <v>-6.8899999999999999E-7</v>
      </c>
      <c r="C1933" s="35" t="s">
        <v>31</v>
      </c>
      <c r="D1933" s="35" t="s">
        <v>121</v>
      </c>
      <c r="E1933" s="35"/>
      <c r="F1933" s="35" t="s">
        <v>20</v>
      </c>
      <c r="G1933" s="35"/>
      <c r="H1933" s="35"/>
      <c r="I1933" s="35"/>
      <c r="J1933" s="35" t="s">
        <v>355</v>
      </c>
    </row>
    <row r="1935" spans="1:10" ht="16" x14ac:dyDescent="0.2">
      <c r="A1935" s="1" t="s">
        <v>1</v>
      </c>
      <c r="B1935" s="71" t="s">
        <v>521</v>
      </c>
    </row>
    <row r="1936" spans="1:10" x14ac:dyDescent="0.2">
      <c r="A1936" t="s">
        <v>2</v>
      </c>
      <c r="B1936" s="6" t="s">
        <v>1035</v>
      </c>
    </row>
    <row r="1937" spans="1:10" x14ac:dyDescent="0.2">
      <c r="A1937" t="s">
        <v>3</v>
      </c>
      <c r="B1937" s="6">
        <v>1</v>
      </c>
    </row>
    <row r="1938" spans="1:10" ht="16" x14ac:dyDescent="0.2">
      <c r="A1938" t="s">
        <v>4</v>
      </c>
      <c r="B1938" s="72" t="s">
        <v>337</v>
      </c>
    </row>
    <row r="1939" spans="1:10" x14ac:dyDescent="0.2">
      <c r="A1939" t="s">
        <v>5</v>
      </c>
      <c r="B1939" s="6" t="s">
        <v>6</v>
      </c>
    </row>
    <row r="1940" spans="1:10" x14ac:dyDescent="0.2">
      <c r="A1940" t="s">
        <v>7</v>
      </c>
      <c r="B1940" s="6" t="s">
        <v>8</v>
      </c>
    </row>
    <row r="1941" spans="1:10" x14ac:dyDescent="0.2">
      <c r="A1941" t="s">
        <v>9</v>
      </c>
      <c r="B1941" s="6" t="s">
        <v>393</v>
      </c>
    </row>
    <row r="1942" spans="1:10" x14ac:dyDescent="0.2">
      <c r="A1942" t="s">
        <v>11</v>
      </c>
      <c r="B1942" s="6" t="s">
        <v>507</v>
      </c>
    </row>
    <row r="1943" spans="1:10" ht="16" x14ac:dyDescent="0.2">
      <c r="A1943" s="1" t="s">
        <v>12</v>
      </c>
    </row>
    <row r="1944" spans="1:10" x14ac:dyDescent="0.2">
      <c r="A1944" t="s">
        <v>13</v>
      </c>
      <c r="B1944" s="6" t="s">
        <v>14</v>
      </c>
      <c r="C1944" t="s">
        <v>2</v>
      </c>
      <c r="D1944" t="s">
        <v>7</v>
      </c>
      <c r="E1944" t="s">
        <v>15</v>
      </c>
      <c r="F1944" t="s">
        <v>5</v>
      </c>
      <c r="G1944" t="s">
        <v>338</v>
      </c>
      <c r="H1944" t="s">
        <v>339</v>
      </c>
      <c r="I1944" t="s">
        <v>11</v>
      </c>
      <c r="J1944" t="s">
        <v>4</v>
      </c>
    </row>
    <row r="1945" spans="1:10" x14ac:dyDescent="0.2">
      <c r="A1945" s="35" t="s">
        <v>521</v>
      </c>
      <c r="B1945" s="36">
        <v>1</v>
      </c>
      <c r="C1945" t="s">
        <v>1035</v>
      </c>
      <c r="D1945" s="35" t="s">
        <v>8</v>
      </c>
      <c r="E1945" s="35"/>
      <c r="F1945" s="35" t="s">
        <v>17</v>
      </c>
      <c r="G1945" s="35"/>
      <c r="H1945" s="35"/>
      <c r="I1945" s="35" t="s">
        <v>18</v>
      </c>
      <c r="J1945" s="35" t="s">
        <v>337</v>
      </c>
    </row>
    <row r="1946" spans="1:10" ht="16" x14ac:dyDescent="0.2">
      <c r="A1946" s="2" t="s">
        <v>520</v>
      </c>
      <c r="B1946" s="6">
        <v>1.00057</v>
      </c>
      <c r="C1946" t="s">
        <v>1035</v>
      </c>
      <c r="D1946" t="s">
        <v>8</v>
      </c>
      <c r="F1946" s="35" t="s">
        <v>20</v>
      </c>
      <c r="G1946" t="s">
        <v>18</v>
      </c>
      <c r="I1946" s="35"/>
      <c r="J1946" s="2" t="s">
        <v>441</v>
      </c>
    </row>
    <row r="1947" spans="1:10" x14ac:dyDescent="0.2">
      <c r="A1947" s="35" t="s">
        <v>28</v>
      </c>
      <c r="B1947" s="36">
        <v>6.7000000000000002E-3</v>
      </c>
      <c r="C1947" t="s">
        <v>1036</v>
      </c>
      <c r="D1947" s="35" t="s">
        <v>29</v>
      </c>
      <c r="E1947" s="35"/>
      <c r="F1947" s="35" t="s">
        <v>20</v>
      </c>
      <c r="G1947" s="35"/>
      <c r="H1947" s="35"/>
      <c r="I1947" s="35"/>
      <c r="J1947" s="35" t="s">
        <v>30</v>
      </c>
    </row>
    <row r="1948" spans="1:10" x14ac:dyDescent="0.2">
      <c r="A1948" s="35" t="s">
        <v>340</v>
      </c>
      <c r="B1948" s="36">
        <v>-1.6799999999999999E-4</v>
      </c>
      <c r="C1948" s="35" t="s">
        <v>31</v>
      </c>
      <c r="D1948" s="35" t="s">
        <v>8</v>
      </c>
      <c r="E1948" s="35"/>
      <c r="F1948" s="35" t="s">
        <v>20</v>
      </c>
      <c r="G1948" s="35"/>
      <c r="H1948" s="35"/>
      <c r="I1948" s="35"/>
      <c r="J1948" s="35" t="s">
        <v>341</v>
      </c>
    </row>
    <row r="1949" spans="1:10" x14ac:dyDescent="0.2">
      <c r="A1949" s="35" t="s">
        <v>342</v>
      </c>
      <c r="B1949" s="36">
        <v>5.8399999999999999E-4</v>
      </c>
      <c r="C1949" s="35" t="s">
        <v>31</v>
      </c>
      <c r="D1949" s="35" t="s">
        <v>19</v>
      </c>
      <c r="E1949" s="35"/>
      <c r="F1949" s="35" t="s">
        <v>20</v>
      </c>
      <c r="G1949" s="35"/>
      <c r="H1949" s="35"/>
      <c r="I1949" s="35"/>
      <c r="J1949" s="35" t="s">
        <v>343</v>
      </c>
    </row>
    <row r="1950" spans="1:10" x14ac:dyDescent="0.2">
      <c r="A1950" s="35" t="s">
        <v>344</v>
      </c>
      <c r="B1950" s="36">
        <v>2.5999999999999998E-10</v>
      </c>
      <c r="C1950" s="35" t="s">
        <v>31</v>
      </c>
      <c r="D1950" s="35" t="s">
        <v>7</v>
      </c>
      <c r="E1950" s="35"/>
      <c r="F1950" s="35" t="s">
        <v>20</v>
      </c>
      <c r="G1950" s="35"/>
      <c r="H1950" s="35"/>
      <c r="I1950" s="35"/>
      <c r="J1950" s="35" t="s">
        <v>345</v>
      </c>
    </row>
    <row r="1951" spans="1:10" x14ac:dyDescent="0.2">
      <c r="A1951" s="35" t="s">
        <v>346</v>
      </c>
      <c r="B1951" s="36">
        <v>-6.2700000000000001E-6</v>
      </c>
      <c r="C1951" s="35" t="s">
        <v>31</v>
      </c>
      <c r="D1951" s="35" t="s">
        <v>8</v>
      </c>
      <c r="E1951" s="35"/>
      <c r="F1951" s="35" t="s">
        <v>20</v>
      </c>
      <c r="G1951" s="35"/>
      <c r="H1951" s="35"/>
      <c r="I1951" s="35"/>
      <c r="J1951" s="35" t="s">
        <v>347</v>
      </c>
    </row>
    <row r="1952" spans="1:10" x14ac:dyDescent="0.2">
      <c r="A1952" s="35" t="s">
        <v>348</v>
      </c>
      <c r="B1952" s="36">
        <v>-7.4999999999999993E-5</v>
      </c>
      <c r="C1952" s="35" t="s">
        <v>31</v>
      </c>
      <c r="D1952" s="35" t="s">
        <v>121</v>
      </c>
      <c r="E1952" s="35"/>
      <c r="F1952" s="35" t="s">
        <v>20</v>
      </c>
      <c r="G1952" s="35"/>
      <c r="H1952" s="35"/>
      <c r="I1952" s="35"/>
      <c r="J1952" s="35" t="s">
        <v>349</v>
      </c>
    </row>
    <row r="1953" spans="1:10" x14ac:dyDescent="0.2">
      <c r="A1953" s="35" t="s">
        <v>350</v>
      </c>
      <c r="B1953" s="36">
        <v>6.8900000000000005E-4</v>
      </c>
      <c r="C1953" s="35" t="s">
        <v>31</v>
      </c>
      <c r="D1953" s="35" t="s">
        <v>8</v>
      </c>
      <c r="E1953" s="35"/>
      <c r="F1953" s="35" t="s">
        <v>20</v>
      </c>
      <c r="G1953" s="35"/>
      <c r="H1953" s="35"/>
      <c r="I1953" s="35"/>
      <c r="J1953" s="35" t="s">
        <v>351</v>
      </c>
    </row>
    <row r="1954" spans="1:10" x14ac:dyDescent="0.2">
      <c r="A1954" s="35" t="s">
        <v>100</v>
      </c>
      <c r="B1954" s="36">
        <v>3.3599999999999998E-2</v>
      </c>
      <c r="C1954" s="35" t="s">
        <v>31</v>
      </c>
      <c r="D1954" s="35" t="s">
        <v>41</v>
      </c>
      <c r="E1954" s="35"/>
      <c r="F1954" s="35" t="s">
        <v>20</v>
      </c>
      <c r="G1954" s="35"/>
      <c r="H1954" s="35"/>
      <c r="I1954" s="35"/>
      <c r="J1954" s="35" t="s">
        <v>103</v>
      </c>
    </row>
    <row r="1955" spans="1:10" x14ac:dyDescent="0.2">
      <c r="A1955" s="35" t="s">
        <v>352</v>
      </c>
      <c r="B1955" s="36">
        <v>3.2599999999999997E-2</v>
      </c>
      <c r="C1955" s="35" t="s">
        <v>572</v>
      </c>
      <c r="D1955" s="35" t="s">
        <v>41</v>
      </c>
      <c r="E1955" s="35"/>
      <c r="F1955" s="35" t="s">
        <v>20</v>
      </c>
      <c r="G1955" s="35"/>
      <c r="H1955" s="35"/>
      <c r="I1955" s="35"/>
      <c r="J1955" s="35" t="s">
        <v>353</v>
      </c>
    </row>
    <row r="1956" spans="1:10" x14ac:dyDescent="0.2">
      <c r="A1956" s="35" t="s">
        <v>354</v>
      </c>
      <c r="B1956" s="36">
        <v>-6.8899999999999999E-7</v>
      </c>
      <c r="C1956" s="35" t="s">
        <v>31</v>
      </c>
      <c r="D1956" s="35" t="s">
        <v>121</v>
      </c>
      <c r="E1956" s="35"/>
      <c r="F1956" s="35" t="s">
        <v>20</v>
      </c>
      <c r="G1956" s="35"/>
      <c r="H1956" s="35"/>
      <c r="I1956" s="35"/>
      <c r="J1956" s="35" t="s">
        <v>355</v>
      </c>
    </row>
    <row r="1958" spans="1:10" ht="16" x14ac:dyDescent="0.2">
      <c r="A1958" s="1" t="s">
        <v>1</v>
      </c>
      <c r="B1958" s="71" t="s">
        <v>87</v>
      </c>
    </row>
    <row r="1959" spans="1:10" x14ac:dyDescent="0.2">
      <c r="A1959" t="s">
        <v>2</v>
      </c>
      <c r="B1959" s="6" t="s">
        <v>1035</v>
      </c>
    </row>
    <row r="1960" spans="1:10" x14ac:dyDescent="0.2">
      <c r="A1960" t="s">
        <v>3</v>
      </c>
      <c r="B1960" s="6">
        <v>1</v>
      </c>
    </row>
    <row r="1961" spans="1:10" ht="16" x14ac:dyDescent="0.2">
      <c r="A1961" t="s">
        <v>4</v>
      </c>
      <c r="B1961" s="2" t="s">
        <v>448</v>
      </c>
    </row>
    <row r="1962" spans="1:10" x14ac:dyDescent="0.2">
      <c r="A1962" t="s">
        <v>5</v>
      </c>
      <c r="B1962" s="6" t="s">
        <v>6</v>
      </c>
    </row>
    <row r="1963" spans="1:10" x14ac:dyDescent="0.2">
      <c r="A1963" t="s">
        <v>7</v>
      </c>
      <c r="B1963" s="6" t="s">
        <v>8</v>
      </c>
    </row>
    <row r="1964" spans="1:10" x14ac:dyDescent="0.2">
      <c r="A1964" t="s">
        <v>9</v>
      </c>
      <c r="B1964" s="6" t="s">
        <v>10</v>
      </c>
    </row>
    <row r="1965" spans="1:10" x14ac:dyDescent="0.2">
      <c r="A1965" t="s">
        <v>11</v>
      </c>
      <c r="B1965" s="6" t="s">
        <v>224</v>
      </c>
    </row>
    <row r="1966" spans="1:10" x14ac:dyDescent="0.2">
      <c r="A1966" t="s">
        <v>841</v>
      </c>
      <c r="B1966" s="5">
        <f>Summary!R14</f>
        <v>15.203282981971585</v>
      </c>
    </row>
    <row r="1967" spans="1:10" x14ac:dyDescent="0.2">
      <c r="A1967" t="s">
        <v>847</v>
      </c>
      <c r="B1967" s="76">
        <f>Summary!Q14</f>
        <v>0.72</v>
      </c>
    </row>
    <row r="1968" spans="1:10" ht="16" x14ac:dyDescent="0.2">
      <c r="A1968" s="1" t="s">
        <v>12</v>
      </c>
    </row>
    <row r="1969" spans="1:8" x14ac:dyDescent="0.2">
      <c r="A1969" t="s">
        <v>13</v>
      </c>
      <c r="B1969" s="6" t="s">
        <v>14</v>
      </c>
      <c r="C1969" t="s">
        <v>2</v>
      </c>
      <c r="D1969" t="s">
        <v>7</v>
      </c>
      <c r="E1969" t="s">
        <v>15</v>
      </c>
      <c r="F1969" t="s">
        <v>5</v>
      </c>
      <c r="G1969" t="s">
        <v>11</v>
      </c>
      <c r="H1969" t="s">
        <v>4</v>
      </c>
    </row>
    <row r="1970" spans="1:8" ht="16" x14ac:dyDescent="0.2">
      <c r="A1970" s="2" t="s">
        <v>87</v>
      </c>
      <c r="B1970" s="6">
        <v>1</v>
      </c>
      <c r="C1970" t="s">
        <v>1035</v>
      </c>
      <c r="D1970" t="s">
        <v>8</v>
      </c>
      <c r="F1970" t="s">
        <v>17</v>
      </c>
      <c r="G1970" t="s">
        <v>18</v>
      </c>
      <c r="H1970" s="2" t="s">
        <v>448</v>
      </c>
    </row>
    <row r="1971" spans="1:8" x14ac:dyDescent="0.2">
      <c r="A1971" t="s">
        <v>22</v>
      </c>
      <c r="B1971" s="6">
        <f>38099*Parameters!$B$3/1000</f>
        <v>4.0196574734099995E-2</v>
      </c>
      <c r="C1971" t="s">
        <v>26</v>
      </c>
      <c r="D1971" t="s">
        <v>19</v>
      </c>
      <c r="F1971" t="s">
        <v>20</v>
      </c>
      <c r="G1971" t="s">
        <v>90</v>
      </c>
      <c r="H1971" t="s">
        <v>23</v>
      </c>
    </row>
    <row r="1972" spans="1:8" x14ac:dyDescent="0.2">
      <c r="A1972" t="s">
        <v>78</v>
      </c>
      <c r="B1972" s="6">
        <f>12235*Parameters!$B$3/1000</f>
        <v>1.2908608936499999E-2</v>
      </c>
      <c r="C1972" t="s">
        <v>26</v>
      </c>
      <c r="D1972" t="s">
        <v>19</v>
      </c>
      <c r="F1972" t="s">
        <v>20</v>
      </c>
      <c r="G1972" t="s">
        <v>89</v>
      </c>
      <c r="H1972" t="s">
        <v>78</v>
      </c>
    </row>
    <row r="1973" spans="1:8" x14ac:dyDescent="0.2">
      <c r="A1973" t="s">
        <v>81</v>
      </c>
      <c r="B1973" s="6">
        <f>(21387+18801)*Parameters!$B$3/1000</f>
        <v>4.2400586509199999E-2</v>
      </c>
      <c r="C1973" t="s">
        <v>26</v>
      </c>
      <c r="D1973" t="s">
        <v>19</v>
      </c>
      <c r="F1973" t="s">
        <v>20</v>
      </c>
      <c r="G1973" t="s">
        <v>88</v>
      </c>
      <c r="H1973" t="s">
        <v>82</v>
      </c>
    </row>
    <row r="1974" spans="1:8" x14ac:dyDescent="0.2">
      <c r="A1974" t="s">
        <v>28</v>
      </c>
      <c r="B1974" s="6">
        <f>8953*Parameters!$B$3/1000/3.6</f>
        <v>2.6238654090833331E-3</v>
      </c>
      <c r="C1974" t="s">
        <v>1036</v>
      </c>
      <c r="D1974" t="s">
        <v>29</v>
      </c>
      <c r="F1974" t="s">
        <v>20</v>
      </c>
      <c r="H1974" t="s">
        <v>30</v>
      </c>
    </row>
    <row r="1975" spans="1:8" x14ac:dyDescent="0.2">
      <c r="A1975" t="s">
        <v>352</v>
      </c>
      <c r="B1975" s="6">
        <f>20*Parameters!$B$9/1000</f>
        <v>3.2199999999999999E-2</v>
      </c>
      <c r="C1975" t="s">
        <v>572</v>
      </c>
      <c r="D1975" t="s">
        <v>41</v>
      </c>
      <c r="F1975" t="s">
        <v>20</v>
      </c>
      <c r="G1975" t="s">
        <v>86</v>
      </c>
      <c r="H1975" t="s">
        <v>353</v>
      </c>
    </row>
    <row r="1976" spans="1:8" x14ac:dyDescent="0.2">
      <c r="A1976" t="s">
        <v>42</v>
      </c>
      <c r="B1976" s="6">
        <f>1.146/1000</f>
        <v>1.1459999999999999E-3</v>
      </c>
      <c r="C1976" t="s">
        <v>1036</v>
      </c>
      <c r="D1976" t="s">
        <v>8</v>
      </c>
      <c r="F1976" t="s">
        <v>20</v>
      </c>
      <c r="H1976" t="s">
        <v>43</v>
      </c>
    </row>
    <row r="1977" spans="1:8" x14ac:dyDescent="0.2">
      <c r="A1977" t="s">
        <v>44</v>
      </c>
      <c r="B1977" s="6">
        <f>0.513/1000</f>
        <v>5.13E-4</v>
      </c>
      <c r="C1977" t="s">
        <v>1036</v>
      </c>
      <c r="D1977" t="s">
        <v>8</v>
      </c>
      <c r="F1977" t="s">
        <v>20</v>
      </c>
      <c r="H1977" t="s">
        <v>45</v>
      </c>
    </row>
    <row r="1978" spans="1:8" x14ac:dyDescent="0.2">
      <c r="A1978" t="s">
        <v>50</v>
      </c>
      <c r="B1978" s="6">
        <f>71.91/1000/1000</f>
        <v>7.1910000000000008E-5</v>
      </c>
      <c r="C1978" t="s">
        <v>26</v>
      </c>
      <c r="D1978" t="s">
        <v>8</v>
      </c>
      <c r="F1978" t="s">
        <v>20</v>
      </c>
      <c r="G1978" t="s">
        <v>51</v>
      </c>
      <c r="H1978" t="s">
        <v>53</v>
      </c>
    </row>
    <row r="1979" spans="1:8" x14ac:dyDescent="0.2">
      <c r="A1979" t="s">
        <v>181</v>
      </c>
      <c r="B1979" s="6">
        <v>3.6830900643231697E-5</v>
      </c>
      <c r="C1979" t="s">
        <v>26</v>
      </c>
      <c r="D1979" t="s">
        <v>119</v>
      </c>
      <c r="F1979" t="s">
        <v>20</v>
      </c>
      <c r="G1979" t="s">
        <v>180</v>
      </c>
      <c r="H1979" t="s">
        <v>182</v>
      </c>
    </row>
    <row r="1980" spans="1:8" x14ac:dyDescent="0.2">
      <c r="A1980" t="s">
        <v>183</v>
      </c>
      <c r="B1980" s="6">
        <v>1.1049380686770699E-4</v>
      </c>
      <c r="C1980" t="s">
        <v>26</v>
      </c>
      <c r="D1980" t="s">
        <v>119</v>
      </c>
      <c r="F1980" t="s">
        <v>20</v>
      </c>
      <c r="G1980" t="s">
        <v>180</v>
      </c>
      <c r="H1980" t="s">
        <v>184</v>
      </c>
    </row>
    <row r="1981" spans="1:8" x14ac:dyDescent="0.2">
      <c r="A1981" t="s">
        <v>185</v>
      </c>
      <c r="B1981" s="6">
        <v>3.6830900643231697E-5</v>
      </c>
      <c r="C1981" t="s">
        <v>26</v>
      </c>
      <c r="D1981" t="s">
        <v>119</v>
      </c>
      <c r="F1981" t="s">
        <v>20</v>
      </c>
      <c r="G1981" t="s">
        <v>180</v>
      </c>
      <c r="H1981" t="s">
        <v>186</v>
      </c>
    </row>
    <row r="1982" spans="1:8" x14ac:dyDescent="0.2">
      <c r="A1982" t="s">
        <v>120</v>
      </c>
      <c r="B1982" s="6">
        <v>0.252</v>
      </c>
      <c r="C1982" t="s">
        <v>1036</v>
      </c>
      <c r="D1982" t="s">
        <v>121</v>
      </c>
      <c r="F1982" t="s">
        <v>20</v>
      </c>
      <c r="G1982" t="s">
        <v>125</v>
      </c>
      <c r="H1982" t="s">
        <v>122</v>
      </c>
    </row>
    <row r="1983" spans="1:8" x14ac:dyDescent="0.2">
      <c r="A1983" t="s">
        <v>187</v>
      </c>
      <c r="B1983" s="6">
        <v>1.1048999999999999E-4</v>
      </c>
      <c r="C1983" t="s">
        <v>26</v>
      </c>
      <c r="D1983" t="s">
        <v>119</v>
      </c>
      <c r="F1983" t="s">
        <v>20</v>
      </c>
      <c r="G1983" t="s">
        <v>180</v>
      </c>
      <c r="H1983" t="s">
        <v>188</v>
      </c>
    </row>
    <row r="1984" spans="1:8" x14ac:dyDescent="0.2">
      <c r="A1984" t="s">
        <v>325</v>
      </c>
      <c r="B1984" s="6">
        <f>(1.042)/1000</f>
        <v>1.042E-3</v>
      </c>
      <c r="D1984" t="s">
        <v>8</v>
      </c>
      <c r="E1984" t="s">
        <v>37</v>
      </c>
      <c r="F1984" t="s">
        <v>36</v>
      </c>
      <c r="G1984" t="s">
        <v>998</v>
      </c>
    </row>
    <row r="1985" spans="1:7" x14ac:dyDescent="0.2">
      <c r="A1985" t="s">
        <v>981</v>
      </c>
      <c r="B1985" s="6">
        <f>25.65/1000000</f>
        <v>2.565E-5</v>
      </c>
      <c r="D1985" t="s">
        <v>8</v>
      </c>
      <c r="E1985" t="s">
        <v>37</v>
      </c>
      <c r="F1985" t="s">
        <v>36</v>
      </c>
      <c r="G1985" t="s">
        <v>999</v>
      </c>
    </row>
    <row r="1986" spans="1:7" x14ac:dyDescent="0.2">
      <c r="A1986" t="s">
        <v>40</v>
      </c>
      <c r="B1986" s="6">
        <f>30.97/1000000</f>
        <v>3.0969999999999997E-5</v>
      </c>
      <c r="D1986" t="s">
        <v>8</v>
      </c>
      <c r="E1986" t="s">
        <v>37</v>
      </c>
      <c r="F1986" t="s">
        <v>36</v>
      </c>
      <c r="G1986" t="s">
        <v>1000</v>
      </c>
    </row>
    <row r="1987" spans="1:7" x14ac:dyDescent="0.2">
      <c r="A1987" t="s">
        <v>150</v>
      </c>
      <c r="B1987" s="6">
        <v>9.6866907013685906E-6</v>
      </c>
      <c r="D1987" t="s">
        <v>8</v>
      </c>
      <c r="E1987" t="s">
        <v>170</v>
      </c>
      <c r="F1987" t="s">
        <v>36</v>
      </c>
      <c r="G1987" t="s">
        <v>180</v>
      </c>
    </row>
    <row r="1988" spans="1:7" x14ac:dyDescent="0.2">
      <c r="A1988" t="s">
        <v>132</v>
      </c>
      <c r="B1988" s="6">
        <v>-9.8401857757250106E-7</v>
      </c>
      <c r="D1988" t="s">
        <v>8</v>
      </c>
      <c r="E1988" t="s">
        <v>170</v>
      </c>
      <c r="F1988" t="s">
        <v>36</v>
      </c>
      <c r="G1988" t="s">
        <v>180</v>
      </c>
    </row>
    <row r="1989" spans="1:7" x14ac:dyDescent="0.2">
      <c r="A1989" t="s">
        <v>158</v>
      </c>
      <c r="B1989" s="6">
        <v>8.8484627663318299E-7</v>
      </c>
      <c r="D1989" t="s">
        <v>8</v>
      </c>
      <c r="E1989" t="s">
        <v>170</v>
      </c>
      <c r="F1989" t="s">
        <v>36</v>
      </c>
      <c r="G1989" t="s">
        <v>180</v>
      </c>
    </row>
    <row r="1990" spans="1:7" x14ac:dyDescent="0.2">
      <c r="A1990" t="s">
        <v>164</v>
      </c>
      <c r="B1990" s="6">
        <v>1.5966811678364199E-8</v>
      </c>
      <c r="D1990" t="s">
        <v>8</v>
      </c>
      <c r="E1990" t="s">
        <v>170</v>
      </c>
      <c r="F1990" t="s">
        <v>36</v>
      </c>
      <c r="G1990" t="s">
        <v>180</v>
      </c>
    </row>
    <row r="1991" spans="1:7" x14ac:dyDescent="0.2">
      <c r="A1991" t="s">
        <v>173</v>
      </c>
      <c r="B1991" s="6">
        <v>1.07630556194952E-5</v>
      </c>
      <c r="D1991" t="s">
        <v>8</v>
      </c>
      <c r="E1991" t="s">
        <v>171</v>
      </c>
      <c r="F1991" t="s">
        <v>36</v>
      </c>
      <c r="G1991" t="s">
        <v>180</v>
      </c>
    </row>
    <row r="1992" spans="1:7" x14ac:dyDescent="0.2">
      <c r="A1992" t="s">
        <v>151</v>
      </c>
      <c r="B1992" s="6">
        <v>9.03472245050759E-7</v>
      </c>
      <c r="D1992" t="s">
        <v>8</v>
      </c>
      <c r="E1992" t="s">
        <v>170</v>
      </c>
      <c r="F1992" t="s">
        <v>36</v>
      </c>
      <c r="G1992" t="s">
        <v>180</v>
      </c>
    </row>
    <row r="1993" spans="1:7" x14ac:dyDescent="0.2">
      <c r="A1993" t="s">
        <v>172</v>
      </c>
      <c r="B1993" s="6">
        <v>1.46657242732071E-3</v>
      </c>
      <c r="D1993" t="s">
        <v>8</v>
      </c>
      <c r="E1993" t="s">
        <v>179</v>
      </c>
      <c r="F1993" t="s">
        <v>36</v>
      </c>
      <c r="G1993" t="s">
        <v>180</v>
      </c>
    </row>
    <row r="1994" spans="1:7" x14ac:dyDescent="0.2">
      <c r="A1994" t="s">
        <v>148</v>
      </c>
      <c r="B1994" s="6">
        <v>-2.17184252532495E-8</v>
      </c>
      <c r="D1994" t="s">
        <v>8</v>
      </c>
      <c r="E1994" t="s">
        <v>170</v>
      </c>
      <c r="F1994" t="s">
        <v>36</v>
      </c>
      <c r="G1994" t="s">
        <v>180</v>
      </c>
    </row>
    <row r="1995" spans="1:7" x14ac:dyDescent="0.2">
      <c r="A1995" t="s">
        <v>126</v>
      </c>
      <c r="B1995" s="6">
        <v>2.7599778575834E-3</v>
      </c>
      <c r="D1995" t="s">
        <v>121</v>
      </c>
      <c r="E1995" t="s">
        <v>171</v>
      </c>
      <c r="F1995" t="s">
        <v>36</v>
      </c>
      <c r="G1995" t="s">
        <v>180</v>
      </c>
    </row>
    <row r="1996" spans="1:7" x14ac:dyDescent="0.2">
      <c r="A1996" t="s">
        <v>176</v>
      </c>
      <c r="B1996" s="6">
        <v>1.9959108159754498E-9</v>
      </c>
      <c r="D1996" t="s">
        <v>8</v>
      </c>
      <c r="E1996" t="s">
        <v>170</v>
      </c>
      <c r="F1996" t="s">
        <v>36</v>
      </c>
      <c r="G1996" t="s">
        <v>180</v>
      </c>
    </row>
    <row r="1997" spans="1:7" x14ac:dyDescent="0.2">
      <c r="A1997" t="s">
        <v>38</v>
      </c>
      <c r="B1997" s="6">
        <v>5.1853556439508204E-6</v>
      </c>
      <c r="D1997" t="s">
        <v>8</v>
      </c>
      <c r="E1997" t="s">
        <v>169</v>
      </c>
      <c r="F1997" t="s">
        <v>36</v>
      </c>
      <c r="G1997" t="s">
        <v>180</v>
      </c>
    </row>
    <row r="1998" spans="1:7" x14ac:dyDescent="0.2">
      <c r="A1998" t="s">
        <v>140</v>
      </c>
      <c r="B1998" s="6">
        <v>3.27859780619406E-6</v>
      </c>
      <c r="D1998" t="s">
        <v>8</v>
      </c>
      <c r="E1998" t="s">
        <v>170</v>
      </c>
      <c r="F1998" t="s">
        <v>36</v>
      </c>
      <c r="G1998" t="s">
        <v>180</v>
      </c>
    </row>
    <row r="1999" spans="1:7" x14ac:dyDescent="0.2">
      <c r="A1999" t="s">
        <v>127</v>
      </c>
      <c r="B1999" s="6">
        <v>8.0724401050640405E-5</v>
      </c>
      <c r="D1999" t="s">
        <v>8</v>
      </c>
      <c r="E1999" t="s">
        <v>169</v>
      </c>
      <c r="F1999" t="s">
        <v>36</v>
      </c>
      <c r="G1999" t="s">
        <v>180</v>
      </c>
    </row>
    <row r="2000" spans="1:7" x14ac:dyDescent="0.2">
      <c r="A2000" t="s">
        <v>155</v>
      </c>
      <c r="B2000" s="6">
        <v>2.9099959455172802E-6</v>
      </c>
      <c r="D2000" t="s">
        <v>8</v>
      </c>
      <c r="E2000" t="s">
        <v>170</v>
      </c>
      <c r="F2000" t="s">
        <v>36</v>
      </c>
      <c r="G2000" t="s">
        <v>180</v>
      </c>
    </row>
    <row r="2001" spans="1:7" x14ac:dyDescent="0.2">
      <c r="A2001" t="s">
        <v>159</v>
      </c>
      <c r="B2001" s="6">
        <v>9.5802057193840904E-8</v>
      </c>
      <c r="D2001" t="s">
        <v>8</v>
      </c>
      <c r="E2001" t="s">
        <v>170</v>
      </c>
      <c r="F2001" t="s">
        <v>36</v>
      </c>
      <c r="G2001" t="s">
        <v>180</v>
      </c>
    </row>
    <row r="2002" spans="1:7" x14ac:dyDescent="0.2">
      <c r="A2002" t="s">
        <v>142</v>
      </c>
      <c r="B2002" s="6">
        <v>-1.1393893071195499E-6</v>
      </c>
      <c r="D2002" t="s">
        <v>8</v>
      </c>
      <c r="E2002" t="s">
        <v>170</v>
      </c>
      <c r="F2002" t="s">
        <v>36</v>
      </c>
      <c r="G2002" t="s">
        <v>180</v>
      </c>
    </row>
    <row r="2003" spans="1:7" x14ac:dyDescent="0.2">
      <c r="A2003" t="s">
        <v>168</v>
      </c>
      <c r="B2003" s="6">
        <v>-4.7446953841008502E-7</v>
      </c>
      <c r="D2003" t="s">
        <v>8</v>
      </c>
      <c r="E2003" t="s">
        <v>170</v>
      </c>
      <c r="F2003" t="s">
        <v>36</v>
      </c>
      <c r="G2003" t="s">
        <v>180</v>
      </c>
    </row>
    <row r="2004" spans="1:7" x14ac:dyDescent="0.2">
      <c r="A2004" t="s">
        <v>144</v>
      </c>
      <c r="B2004" s="6">
        <v>2.5015067337276698E-7</v>
      </c>
      <c r="D2004" t="s">
        <v>8</v>
      </c>
      <c r="E2004" t="s">
        <v>170</v>
      </c>
      <c r="F2004" t="s">
        <v>36</v>
      </c>
      <c r="G2004" t="s">
        <v>180</v>
      </c>
    </row>
    <row r="2005" spans="1:7" x14ac:dyDescent="0.2">
      <c r="A2005" t="s">
        <v>110</v>
      </c>
      <c r="B2005" s="6">
        <v>0.11871235448605399</v>
      </c>
      <c r="D2005" t="s">
        <v>115</v>
      </c>
      <c r="E2005" t="s">
        <v>114</v>
      </c>
      <c r="F2005" t="s">
        <v>36</v>
      </c>
      <c r="G2005" t="s">
        <v>180</v>
      </c>
    </row>
    <row r="2006" spans="1:7" x14ac:dyDescent="0.2">
      <c r="A2006" t="s">
        <v>126</v>
      </c>
      <c r="B2006" s="6">
        <v>1.3306552055476401E-2</v>
      </c>
      <c r="D2006" t="s">
        <v>121</v>
      </c>
      <c r="E2006" t="s">
        <v>37</v>
      </c>
      <c r="F2006" t="s">
        <v>36</v>
      </c>
      <c r="G2006" t="s">
        <v>180</v>
      </c>
    </row>
    <row r="2007" spans="1:7" x14ac:dyDescent="0.2">
      <c r="A2007" t="s">
        <v>1031</v>
      </c>
      <c r="B2007" s="6">
        <f>0.42*(1-0.72)*(44/12)</f>
        <v>0.43120000000000003</v>
      </c>
      <c r="D2007" t="s">
        <v>8</v>
      </c>
      <c r="E2007" t="s">
        <v>1032</v>
      </c>
      <c r="F2007" t="s">
        <v>36</v>
      </c>
      <c r="G2007" t="s">
        <v>180</v>
      </c>
    </row>
    <row r="2008" spans="1:7" x14ac:dyDescent="0.2">
      <c r="A2008" t="s">
        <v>126</v>
      </c>
      <c r="B2008" s="6">
        <v>1.10399114303107E-2</v>
      </c>
      <c r="D2008" t="s">
        <v>121</v>
      </c>
      <c r="E2008" t="s">
        <v>179</v>
      </c>
      <c r="F2008" t="s">
        <v>36</v>
      </c>
      <c r="G2008" t="s">
        <v>180</v>
      </c>
    </row>
    <row r="2009" spans="1:7" x14ac:dyDescent="0.2">
      <c r="A2009" t="s">
        <v>108</v>
      </c>
      <c r="B2009" s="6">
        <v>3.2528372252739599</v>
      </c>
      <c r="D2009" t="s">
        <v>19</v>
      </c>
      <c r="E2009" t="s">
        <v>112</v>
      </c>
      <c r="F2009" t="s">
        <v>36</v>
      </c>
      <c r="G2009" t="s">
        <v>180</v>
      </c>
    </row>
    <row r="2010" spans="1:7" x14ac:dyDescent="0.2">
      <c r="A2010" t="s">
        <v>173</v>
      </c>
      <c r="B2010" s="6">
        <v>8.3098648140061805E-7</v>
      </c>
      <c r="D2010" t="s">
        <v>8</v>
      </c>
      <c r="E2010" t="s">
        <v>179</v>
      </c>
      <c r="F2010" t="s">
        <v>36</v>
      </c>
      <c r="G2010" t="s">
        <v>180</v>
      </c>
    </row>
    <row r="2011" spans="1:7" x14ac:dyDescent="0.2">
      <c r="A2011" t="s">
        <v>177</v>
      </c>
      <c r="B2011" s="6">
        <v>0.11871235448605399</v>
      </c>
      <c r="D2011" t="s">
        <v>115</v>
      </c>
      <c r="E2011" t="s">
        <v>114</v>
      </c>
      <c r="F2011" t="s">
        <v>36</v>
      </c>
      <c r="G2011" t="s">
        <v>180</v>
      </c>
    </row>
    <row r="2012" spans="1:7" x14ac:dyDescent="0.2">
      <c r="A2012" t="s">
        <v>153</v>
      </c>
      <c r="B2012" s="6">
        <v>1.4903148982175E-7</v>
      </c>
      <c r="D2012" t="s">
        <v>8</v>
      </c>
      <c r="E2012" t="s">
        <v>170</v>
      </c>
      <c r="F2012" t="s">
        <v>36</v>
      </c>
      <c r="G2012" t="s">
        <v>180</v>
      </c>
    </row>
    <row r="2013" spans="1:7" x14ac:dyDescent="0.2">
      <c r="A2013" t="s">
        <v>178</v>
      </c>
      <c r="B2013" s="6">
        <v>6.9244916371715204E-2</v>
      </c>
      <c r="D2013" t="s">
        <v>113</v>
      </c>
      <c r="E2013" t="s">
        <v>114</v>
      </c>
      <c r="F2013" t="s">
        <v>36</v>
      </c>
      <c r="G2013" t="s">
        <v>180</v>
      </c>
    </row>
    <row r="2014" spans="1:7" x14ac:dyDescent="0.2">
      <c r="A2014" t="s">
        <v>149</v>
      </c>
      <c r="B2014" s="6">
        <v>4.3163812091146796E-6</v>
      </c>
      <c r="D2014" t="s">
        <v>8</v>
      </c>
      <c r="E2014" t="s">
        <v>170</v>
      </c>
      <c r="F2014" t="s">
        <v>36</v>
      </c>
      <c r="G2014" t="s">
        <v>180</v>
      </c>
    </row>
    <row r="2016" spans="1:7" ht="16" x14ac:dyDescent="0.2">
      <c r="A2016" s="1" t="s">
        <v>1</v>
      </c>
      <c r="B2016" s="71" t="s">
        <v>446</v>
      </c>
    </row>
    <row r="2017" spans="1:8" x14ac:dyDescent="0.2">
      <c r="A2017" t="s">
        <v>2</v>
      </c>
      <c r="B2017" s="6" t="s">
        <v>1035</v>
      </c>
    </row>
    <row r="2018" spans="1:8" x14ac:dyDescent="0.2">
      <c r="A2018" t="s">
        <v>3</v>
      </c>
      <c r="B2018" s="6">
        <v>1</v>
      </c>
    </row>
    <row r="2019" spans="1:8" ht="16" x14ac:dyDescent="0.2">
      <c r="A2019" t="s">
        <v>4</v>
      </c>
      <c r="B2019" s="72" t="s">
        <v>447</v>
      </c>
    </row>
    <row r="2020" spans="1:8" x14ac:dyDescent="0.2">
      <c r="A2020" t="s">
        <v>5</v>
      </c>
      <c r="B2020" s="6" t="s">
        <v>6</v>
      </c>
    </row>
    <row r="2021" spans="1:8" x14ac:dyDescent="0.2">
      <c r="A2021" t="s">
        <v>7</v>
      </c>
      <c r="B2021" s="6" t="s">
        <v>8</v>
      </c>
    </row>
    <row r="2022" spans="1:8" x14ac:dyDescent="0.2">
      <c r="A2022" t="s">
        <v>9</v>
      </c>
      <c r="B2022" s="6" t="s">
        <v>10</v>
      </c>
    </row>
    <row r="2023" spans="1:8" x14ac:dyDescent="0.2">
      <c r="A2023" t="s">
        <v>11</v>
      </c>
      <c r="B2023" s="6" t="s">
        <v>230</v>
      </c>
    </row>
    <row r="2024" spans="1:8" x14ac:dyDescent="0.2">
      <c r="A2024" t="s">
        <v>497</v>
      </c>
      <c r="B2024" s="70">
        <f>Summary!O111</f>
        <v>0.72666084003560205</v>
      </c>
    </row>
    <row r="2025" spans="1:8" ht="16" x14ac:dyDescent="0.2">
      <c r="A2025" s="1" t="s">
        <v>12</v>
      </c>
    </row>
    <row r="2026" spans="1:8" x14ac:dyDescent="0.2">
      <c r="A2026" t="s">
        <v>13</v>
      </c>
      <c r="B2026" s="6" t="s">
        <v>14</v>
      </c>
      <c r="C2026" t="s">
        <v>2</v>
      </c>
      <c r="D2026" t="s">
        <v>7</v>
      </c>
      <c r="E2026" t="s">
        <v>15</v>
      </c>
      <c r="F2026" t="s">
        <v>5</v>
      </c>
      <c r="G2026" t="s">
        <v>11</v>
      </c>
      <c r="H2026" t="s">
        <v>4</v>
      </c>
    </row>
    <row r="2027" spans="1:8" ht="16" x14ac:dyDescent="0.2">
      <c r="A2027" s="2" t="s">
        <v>446</v>
      </c>
      <c r="B2027" s="6">
        <v>1</v>
      </c>
      <c r="C2027" t="s">
        <v>1035</v>
      </c>
      <c r="D2027" t="s">
        <v>8</v>
      </c>
      <c r="F2027" t="s">
        <v>17</v>
      </c>
      <c r="G2027" t="s">
        <v>18</v>
      </c>
      <c r="H2027" s="2" t="s">
        <v>447</v>
      </c>
    </row>
    <row r="2028" spans="1:8" ht="16" x14ac:dyDescent="0.2">
      <c r="A2028" s="2" t="s">
        <v>87</v>
      </c>
      <c r="B2028" s="6">
        <f>(1/((Parameters!$E$58*Parameters!$B$4*Parameters!$B$12)/1000))*Parameters!E63*(1-B1967)</f>
        <v>9.6012832520951576</v>
      </c>
      <c r="C2028" t="s">
        <v>1035</v>
      </c>
      <c r="D2028" t="s">
        <v>8</v>
      </c>
      <c r="F2028" t="s">
        <v>20</v>
      </c>
      <c r="G2028" t="s">
        <v>18</v>
      </c>
      <c r="H2028" s="2" t="s">
        <v>448</v>
      </c>
    </row>
    <row r="2029" spans="1:8" ht="16" x14ac:dyDescent="0.2">
      <c r="A2029" s="2" t="s">
        <v>384</v>
      </c>
      <c r="B2029" s="6">
        <f>((47.39/1000)/(Parameters!$B$4*Parameters!$B$12))*Parameters!E63</f>
        <v>1.5551414512291698E-2</v>
      </c>
      <c r="C2029" t="s">
        <v>26</v>
      </c>
      <c r="D2029" t="s">
        <v>8</v>
      </c>
      <c r="F2029" t="s">
        <v>20</v>
      </c>
      <c r="G2029" t="s">
        <v>386</v>
      </c>
      <c r="H2029" s="2" t="s">
        <v>385</v>
      </c>
    </row>
    <row r="2030" spans="1:8" x14ac:dyDescent="0.2">
      <c r="A2030" t="s">
        <v>265</v>
      </c>
      <c r="B2030" s="6">
        <f>(B2007*B2028)-Parameters!$B$15</f>
        <v>2.2260733383034328</v>
      </c>
      <c r="D2030" t="s">
        <v>8</v>
      </c>
      <c r="E2030" t="s">
        <v>37</v>
      </c>
      <c r="F2030" t="s">
        <v>36</v>
      </c>
      <c r="G2030" t="s">
        <v>428</v>
      </c>
    </row>
    <row r="2031" spans="1:8" x14ac:dyDescent="0.2">
      <c r="A2031" t="s">
        <v>306</v>
      </c>
      <c r="B2031" s="6">
        <f>1/(90000000*20)</f>
        <v>5.5555555555555553E-10</v>
      </c>
      <c r="C2031" t="s">
        <v>26</v>
      </c>
      <c r="D2031" t="s">
        <v>7</v>
      </c>
      <c r="F2031" t="s">
        <v>20</v>
      </c>
      <c r="G2031" t="s">
        <v>308</v>
      </c>
      <c r="H2031" t="s">
        <v>307</v>
      </c>
    </row>
    <row r="2032" spans="1:8" ht="16" x14ac:dyDescent="0.2">
      <c r="A2032" s="2"/>
      <c r="H2032" s="2"/>
    </row>
    <row r="2033" spans="1:8" ht="16" x14ac:dyDescent="0.2">
      <c r="A2033" s="1" t="s">
        <v>1</v>
      </c>
      <c r="B2033" s="71" t="s">
        <v>449</v>
      </c>
    </row>
    <row r="2034" spans="1:8" x14ac:dyDescent="0.2">
      <c r="A2034" t="s">
        <v>2</v>
      </c>
      <c r="B2034" s="6" t="s">
        <v>1035</v>
      </c>
    </row>
    <row r="2035" spans="1:8" x14ac:dyDescent="0.2">
      <c r="A2035" t="s">
        <v>3</v>
      </c>
      <c r="B2035" s="6">
        <v>1</v>
      </c>
    </row>
    <row r="2036" spans="1:8" ht="16" x14ac:dyDescent="0.2">
      <c r="A2036" t="s">
        <v>4</v>
      </c>
      <c r="B2036" s="72" t="s">
        <v>447</v>
      </c>
    </row>
    <row r="2037" spans="1:8" x14ac:dyDescent="0.2">
      <c r="A2037" t="s">
        <v>5</v>
      </c>
      <c r="B2037" s="6" t="s">
        <v>6</v>
      </c>
    </row>
    <row r="2038" spans="1:8" x14ac:dyDescent="0.2">
      <c r="A2038" t="s">
        <v>7</v>
      </c>
      <c r="B2038" s="6" t="s">
        <v>8</v>
      </c>
    </row>
    <row r="2039" spans="1:8" x14ac:dyDescent="0.2">
      <c r="A2039" t="s">
        <v>9</v>
      </c>
      <c r="B2039" s="6" t="s">
        <v>10</v>
      </c>
    </row>
    <row r="2040" spans="1:8" x14ac:dyDescent="0.2">
      <c r="A2040" t="s">
        <v>11</v>
      </c>
      <c r="B2040" s="6" t="s">
        <v>373</v>
      </c>
    </row>
    <row r="2041" spans="1:8" x14ac:dyDescent="0.2">
      <c r="A2041" t="s">
        <v>497</v>
      </c>
      <c r="B2041" s="70">
        <f>Summary!O42</f>
        <v>0.20598732903488556</v>
      </c>
    </row>
    <row r="2042" spans="1:8" ht="16" x14ac:dyDescent="0.2">
      <c r="A2042" s="1" t="s">
        <v>12</v>
      </c>
    </row>
    <row r="2043" spans="1:8" x14ac:dyDescent="0.2">
      <c r="A2043" t="s">
        <v>13</v>
      </c>
      <c r="B2043" s="6" t="s">
        <v>14</v>
      </c>
      <c r="C2043" t="s">
        <v>2</v>
      </c>
      <c r="D2043" t="s">
        <v>7</v>
      </c>
      <c r="E2043" t="s">
        <v>15</v>
      </c>
      <c r="F2043" t="s">
        <v>5</v>
      </c>
      <c r="G2043" t="s">
        <v>11</v>
      </c>
      <c r="H2043" t="s">
        <v>4</v>
      </c>
    </row>
    <row r="2044" spans="1:8" ht="16" x14ac:dyDescent="0.2">
      <c r="A2044" s="2" t="s">
        <v>449</v>
      </c>
      <c r="B2044" s="6">
        <v>1</v>
      </c>
      <c r="C2044" t="s">
        <v>1035</v>
      </c>
      <c r="D2044" t="s">
        <v>8</v>
      </c>
      <c r="F2044" t="s">
        <v>17</v>
      </c>
      <c r="G2044" t="s">
        <v>18</v>
      </c>
      <c r="H2044" s="2" t="s">
        <v>447</v>
      </c>
    </row>
    <row r="2045" spans="1:8" ht="16" x14ac:dyDescent="0.2">
      <c r="A2045" s="2" t="s">
        <v>87</v>
      </c>
      <c r="B2045" s="6">
        <f>(1/((Parameters!$E$58*Parameters!$B$4*Parameters!$B$12)/1000))*Parameters!E64*(1-B1967)</f>
        <v>9.483716518396033</v>
      </c>
      <c r="C2045" t="s">
        <v>1035</v>
      </c>
      <c r="D2045" t="s">
        <v>8</v>
      </c>
      <c r="F2045" t="s">
        <v>20</v>
      </c>
      <c r="G2045" t="s">
        <v>18</v>
      </c>
      <c r="H2045" s="2" t="s">
        <v>448</v>
      </c>
    </row>
    <row r="2046" spans="1:8" ht="16" x14ac:dyDescent="0.2">
      <c r="A2046" s="2" t="s">
        <v>384</v>
      </c>
      <c r="B2046" s="6">
        <f>((47.39/1000)/(Parameters!$B$4*Parameters!$B$12))*Parameters!E64</f>
        <v>1.5360989028467718E-2</v>
      </c>
      <c r="C2046" t="s">
        <v>26</v>
      </c>
      <c r="D2046" t="s">
        <v>8</v>
      </c>
      <c r="F2046" t="s">
        <v>20</v>
      </c>
      <c r="G2046" t="s">
        <v>386</v>
      </c>
      <c r="H2046" s="2" t="s">
        <v>385</v>
      </c>
    </row>
    <row r="2047" spans="1:8" x14ac:dyDescent="0.2">
      <c r="A2047" t="s">
        <v>265</v>
      </c>
      <c r="B2047" s="6">
        <f>(B2007*B2045)-Parameters!$B$15</f>
        <v>2.1753785627323703</v>
      </c>
      <c r="D2047" t="s">
        <v>8</v>
      </c>
      <c r="E2047" t="s">
        <v>37</v>
      </c>
      <c r="F2047" t="s">
        <v>36</v>
      </c>
      <c r="G2047" t="s">
        <v>428</v>
      </c>
    </row>
    <row r="2048" spans="1:8" x14ac:dyDescent="0.2">
      <c r="A2048" t="s">
        <v>306</v>
      </c>
      <c r="B2048" s="6">
        <f>1/(90000000*20)</f>
        <v>5.5555555555555553E-10</v>
      </c>
      <c r="C2048" t="s">
        <v>26</v>
      </c>
      <c r="D2048" t="s">
        <v>7</v>
      </c>
      <c r="F2048" t="s">
        <v>20</v>
      </c>
      <c r="G2048" t="s">
        <v>308</v>
      </c>
      <c r="H2048" t="s">
        <v>307</v>
      </c>
    </row>
    <row r="2049" spans="1:8" ht="16" x14ac:dyDescent="0.2">
      <c r="A2049" s="2"/>
      <c r="H2049" s="2"/>
    </row>
    <row r="2050" spans="1:8" ht="16" x14ac:dyDescent="0.2">
      <c r="A2050" s="1" t="s">
        <v>1</v>
      </c>
      <c r="B2050" s="71" t="s">
        <v>522</v>
      </c>
    </row>
    <row r="2051" spans="1:8" x14ac:dyDescent="0.2">
      <c r="A2051" t="s">
        <v>2</v>
      </c>
      <c r="B2051" s="6" t="s">
        <v>1035</v>
      </c>
    </row>
    <row r="2052" spans="1:8" x14ac:dyDescent="0.2">
      <c r="A2052" t="s">
        <v>3</v>
      </c>
      <c r="B2052" s="6">
        <v>1</v>
      </c>
    </row>
    <row r="2053" spans="1:8" ht="16" x14ac:dyDescent="0.2">
      <c r="A2053" t="s">
        <v>4</v>
      </c>
      <c r="B2053" s="72" t="s">
        <v>447</v>
      </c>
    </row>
    <row r="2054" spans="1:8" x14ac:dyDescent="0.2">
      <c r="A2054" t="s">
        <v>5</v>
      </c>
      <c r="B2054" s="6" t="s">
        <v>6</v>
      </c>
    </row>
    <row r="2055" spans="1:8" x14ac:dyDescent="0.2">
      <c r="A2055" t="s">
        <v>7</v>
      </c>
      <c r="B2055" s="6" t="s">
        <v>8</v>
      </c>
    </row>
    <row r="2056" spans="1:8" x14ac:dyDescent="0.2">
      <c r="A2056" t="s">
        <v>9</v>
      </c>
      <c r="B2056" s="6" t="s">
        <v>10</v>
      </c>
    </row>
    <row r="2057" spans="1:8" x14ac:dyDescent="0.2">
      <c r="A2057" t="s">
        <v>11</v>
      </c>
      <c r="B2057" s="6" t="s">
        <v>504</v>
      </c>
    </row>
    <row r="2058" spans="1:8" x14ac:dyDescent="0.2">
      <c r="A2058" t="s">
        <v>497</v>
      </c>
      <c r="B2058" s="70">
        <f>Summary!O149</f>
        <v>0.71212762323488998</v>
      </c>
    </row>
    <row r="2059" spans="1:8" ht="16" x14ac:dyDescent="0.2">
      <c r="A2059" s="1" t="s">
        <v>12</v>
      </c>
    </row>
    <row r="2060" spans="1:8" x14ac:dyDescent="0.2">
      <c r="A2060" t="s">
        <v>13</v>
      </c>
      <c r="B2060" s="6" t="s">
        <v>14</v>
      </c>
      <c r="C2060" t="s">
        <v>2</v>
      </c>
      <c r="D2060" t="s">
        <v>7</v>
      </c>
      <c r="E2060" t="s">
        <v>15</v>
      </c>
      <c r="F2060" t="s">
        <v>5</v>
      </c>
      <c r="G2060" t="s">
        <v>11</v>
      </c>
      <c r="H2060" t="s">
        <v>4</v>
      </c>
    </row>
    <row r="2061" spans="1:8" ht="16" x14ac:dyDescent="0.2">
      <c r="A2061" s="2" t="s">
        <v>522</v>
      </c>
      <c r="B2061" s="6">
        <v>1</v>
      </c>
      <c r="C2061" t="s">
        <v>1035</v>
      </c>
      <c r="D2061" t="s">
        <v>8</v>
      </c>
      <c r="F2061" t="s">
        <v>17</v>
      </c>
      <c r="G2061" t="s">
        <v>18</v>
      </c>
      <c r="H2061" s="2" t="s">
        <v>447</v>
      </c>
    </row>
    <row r="2062" spans="1:8" ht="16" x14ac:dyDescent="0.2">
      <c r="A2062" s="2" t="s">
        <v>87</v>
      </c>
      <c r="B2062" s="6">
        <f>(1/((Parameters!$E$58*Parameters!$B$4*Parameters!$B$12)/1000))*(1-B1967)</f>
        <v>9.7972278082603648</v>
      </c>
      <c r="C2062" t="s">
        <v>1035</v>
      </c>
      <c r="D2062" t="s">
        <v>8</v>
      </c>
      <c r="F2062" t="s">
        <v>20</v>
      </c>
      <c r="G2062" t="s">
        <v>18</v>
      </c>
      <c r="H2062" s="2" t="s">
        <v>448</v>
      </c>
    </row>
    <row r="2063" spans="1:8" ht="16" x14ac:dyDescent="0.2">
      <c r="A2063" s="2" t="s">
        <v>384</v>
      </c>
      <c r="B2063" s="6">
        <f>((47.39/1000)/(Parameters!$B$4*Parameters!$B$12))</f>
        <v>1.5868790318664998E-2</v>
      </c>
      <c r="C2063" t="s">
        <v>26</v>
      </c>
      <c r="D2063" t="s">
        <v>8</v>
      </c>
      <c r="F2063" t="s">
        <v>20</v>
      </c>
      <c r="G2063" t="s">
        <v>386</v>
      </c>
      <c r="H2063" s="2" t="s">
        <v>385</v>
      </c>
    </row>
    <row r="2064" spans="1:8" x14ac:dyDescent="0.2">
      <c r="A2064" t="s">
        <v>265</v>
      </c>
      <c r="B2064" s="6">
        <f>(B2007*B2062)-Parameters!$B$15</f>
        <v>2.3105646309218697</v>
      </c>
      <c r="D2064" t="s">
        <v>8</v>
      </c>
      <c r="E2064" t="s">
        <v>37</v>
      </c>
      <c r="F2064" t="s">
        <v>36</v>
      </c>
      <c r="G2064" t="s">
        <v>428</v>
      </c>
    </row>
    <row r="2065" spans="1:10" x14ac:dyDescent="0.2">
      <c r="A2065" t="s">
        <v>306</v>
      </c>
      <c r="B2065" s="6">
        <f>1/(90000000*20)</f>
        <v>5.5555555555555553E-10</v>
      </c>
      <c r="C2065" t="s">
        <v>26</v>
      </c>
      <c r="D2065" t="s">
        <v>7</v>
      </c>
      <c r="F2065" t="s">
        <v>20</v>
      </c>
      <c r="G2065" t="s">
        <v>308</v>
      </c>
      <c r="H2065" t="s">
        <v>307</v>
      </c>
    </row>
    <row r="2066" spans="1:10" x14ac:dyDescent="0.2">
      <c r="A2066" s="35" t="s">
        <v>28</v>
      </c>
      <c r="B2066" s="36">
        <f>Parameters!E57/Parameters!B4*Parameters!B12*-1</f>
        <v>-2.8328956406869219</v>
      </c>
      <c r="C2066" t="s">
        <v>1036</v>
      </c>
      <c r="D2066" s="35" t="s">
        <v>29</v>
      </c>
      <c r="E2066" s="35"/>
      <c r="F2066" s="35" t="s">
        <v>20</v>
      </c>
      <c r="G2066" s="35" t="s">
        <v>505</v>
      </c>
      <c r="H2066" s="35" t="s">
        <v>30</v>
      </c>
      <c r="I2066" s="35"/>
    </row>
    <row r="2067" spans="1:10" x14ac:dyDescent="0.2">
      <c r="A2067" t="s">
        <v>42</v>
      </c>
      <c r="B2067" s="6">
        <f>Parameters!C67/1000*Parameters!$E$60/Parameters!$B$4*Parameters!$B$12*-1</f>
        <v>-1.0295355614266841E-2</v>
      </c>
      <c r="C2067" t="s">
        <v>1036</v>
      </c>
      <c r="D2067" t="s">
        <v>8</v>
      </c>
      <c r="F2067" t="s">
        <v>20</v>
      </c>
      <c r="G2067" s="35" t="s">
        <v>531</v>
      </c>
      <c r="H2067" t="s">
        <v>43</v>
      </c>
    </row>
    <row r="2068" spans="1:10" x14ac:dyDescent="0.2">
      <c r="A2068" t="s">
        <v>44</v>
      </c>
      <c r="B2068" s="6">
        <f>Parameters!D67/1000*Parameters!$E$60/Parameters!$B$4*Parameters!$B$12*-1</f>
        <v>-2.5585487714663145E-2</v>
      </c>
      <c r="C2068" t="s">
        <v>1036</v>
      </c>
      <c r="D2068" t="s">
        <v>8</v>
      </c>
      <c r="F2068" t="s">
        <v>20</v>
      </c>
      <c r="G2068" s="35" t="s">
        <v>531</v>
      </c>
      <c r="H2068" t="s">
        <v>45</v>
      </c>
    </row>
    <row r="2069" spans="1:10" x14ac:dyDescent="0.2">
      <c r="A2069" t="s">
        <v>46</v>
      </c>
      <c r="B2069" s="6">
        <f>Parameters!E67/1000*Parameters!$E$60/Parameters!$B$4*Parameters!$B$12*-1</f>
        <v>0</v>
      </c>
      <c r="C2069" t="s">
        <v>1036</v>
      </c>
      <c r="D2069" t="s">
        <v>8</v>
      </c>
      <c r="F2069" t="s">
        <v>20</v>
      </c>
      <c r="G2069" s="35" t="s">
        <v>531</v>
      </c>
      <c r="H2069" t="s">
        <v>47</v>
      </c>
    </row>
    <row r="2070" spans="1:10" ht="16" x14ac:dyDescent="0.2">
      <c r="A2070" s="2"/>
      <c r="H2070" s="2"/>
    </row>
    <row r="2071" spans="1:10" ht="16" x14ac:dyDescent="0.2">
      <c r="A2071" s="1" t="s">
        <v>1</v>
      </c>
      <c r="B2071" s="71" t="s">
        <v>450</v>
      </c>
    </row>
    <row r="2072" spans="1:10" x14ac:dyDescent="0.2">
      <c r="A2072" t="s">
        <v>2</v>
      </c>
      <c r="B2072" s="6" t="s">
        <v>1035</v>
      </c>
    </row>
    <row r="2073" spans="1:10" x14ac:dyDescent="0.2">
      <c r="A2073" t="s">
        <v>3</v>
      </c>
      <c r="B2073" s="6">
        <v>1</v>
      </c>
    </row>
    <row r="2074" spans="1:10" ht="16" x14ac:dyDescent="0.2">
      <c r="A2074" t="s">
        <v>4</v>
      </c>
      <c r="B2074" s="72" t="s">
        <v>337</v>
      </c>
    </row>
    <row r="2075" spans="1:10" x14ac:dyDescent="0.2">
      <c r="A2075" t="s">
        <v>5</v>
      </c>
      <c r="B2075" s="6" t="s">
        <v>6</v>
      </c>
    </row>
    <row r="2076" spans="1:10" x14ac:dyDescent="0.2">
      <c r="A2076" t="s">
        <v>7</v>
      </c>
      <c r="B2076" s="6" t="s">
        <v>8</v>
      </c>
    </row>
    <row r="2077" spans="1:10" x14ac:dyDescent="0.2">
      <c r="A2077" t="s">
        <v>9</v>
      </c>
      <c r="B2077" s="6" t="s">
        <v>393</v>
      </c>
    </row>
    <row r="2078" spans="1:10" x14ac:dyDescent="0.2">
      <c r="A2078" t="s">
        <v>11</v>
      </c>
      <c r="B2078" s="6" t="s">
        <v>362</v>
      </c>
    </row>
    <row r="2079" spans="1:10" ht="16" x14ac:dyDescent="0.2">
      <c r="A2079" s="1" t="s">
        <v>12</v>
      </c>
    </row>
    <row r="2080" spans="1:10" x14ac:dyDescent="0.2">
      <c r="A2080" t="s">
        <v>13</v>
      </c>
      <c r="B2080" s="6" t="s">
        <v>14</v>
      </c>
      <c r="C2080" t="s">
        <v>2</v>
      </c>
      <c r="D2080" t="s">
        <v>7</v>
      </c>
      <c r="E2080" t="s">
        <v>15</v>
      </c>
      <c r="F2080" t="s">
        <v>5</v>
      </c>
      <c r="G2080" t="s">
        <v>338</v>
      </c>
      <c r="H2080" t="s">
        <v>339</v>
      </c>
      <c r="I2080" t="s">
        <v>11</v>
      </c>
      <c r="J2080" t="s">
        <v>4</v>
      </c>
    </row>
    <row r="2081" spans="1:10" x14ac:dyDescent="0.2">
      <c r="A2081" s="35" t="s">
        <v>450</v>
      </c>
      <c r="B2081" s="36">
        <v>1</v>
      </c>
      <c r="C2081" t="s">
        <v>1035</v>
      </c>
      <c r="D2081" s="35" t="s">
        <v>8</v>
      </c>
      <c r="E2081" s="35"/>
      <c r="F2081" s="35" t="s">
        <v>17</v>
      </c>
      <c r="G2081" s="35"/>
      <c r="H2081" s="35"/>
      <c r="I2081" s="35" t="s">
        <v>18</v>
      </c>
      <c r="J2081" s="35" t="s">
        <v>337</v>
      </c>
    </row>
    <row r="2082" spans="1:10" ht="16" x14ac:dyDescent="0.2">
      <c r="A2082" s="2" t="s">
        <v>446</v>
      </c>
      <c r="B2082" s="6">
        <v>1.00057</v>
      </c>
      <c r="C2082" t="s">
        <v>1035</v>
      </c>
      <c r="D2082" t="s">
        <v>8</v>
      </c>
      <c r="F2082" s="35" t="s">
        <v>20</v>
      </c>
      <c r="G2082" t="s">
        <v>18</v>
      </c>
      <c r="I2082" s="35"/>
      <c r="J2082" s="2" t="s">
        <v>447</v>
      </c>
    </row>
    <row r="2083" spans="1:10" x14ac:dyDescent="0.2">
      <c r="A2083" s="35" t="s">
        <v>28</v>
      </c>
      <c r="B2083" s="36">
        <v>6.7000000000000002E-3</v>
      </c>
      <c r="C2083" t="s">
        <v>1036</v>
      </c>
      <c r="D2083" s="35" t="s">
        <v>29</v>
      </c>
      <c r="E2083" s="35"/>
      <c r="F2083" s="35" t="s">
        <v>20</v>
      </c>
      <c r="G2083" s="35"/>
      <c r="H2083" s="35"/>
      <c r="I2083" s="35"/>
      <c r="J2083" s="35" t="s">
        <v>30</v>
      </c>
    </row>
    <row r="2084" spans="1:10" x14ac:dyDescent="0.2">
      <c r="A2084" s="35" t="s">
        <v>340</v>
      </c>
      <c r="B2084" s="36">
        <v>-1.6799999999999999E-4</v>
      </c>
      <c r="C2084" s="35" t="s">
        <v>31</v>
      </c>
      <c r="D2084" s="35" t="s">
        <v>8</v>
      </c>
      <c r="E2084" s="35"/>
      <c r="F2084" s="35" t="s">
        <v>20</v>
      </c>
      <c r="G2084" s="35"/>
      <c r="H2084" s="35"/>
      <c r="I2084" s="35"/>
      <c r="J2084" s="35" t="s">
        <v>341</v>
      </c>
    </row>
    <row r="2085" spans="1:10" x14ac:dyDescent="0.2">
      <c r="A2085" s="35" t="s">
        <v>342</v>
      </c>
      <c r="B2085" s="36">
        <v>5.8399999999999999E-4</v>
      </c>
      <c r="C2085" s="35" t="s">
        <v>31</v>
      </c>
      <c r="D2085" s="35" t="s">
        <v>19</v>
      </c>
      <c r="E2085" s="35"/>
      <c r="F2085" s="35" t="s">
        <v>20</v>
      </c>
      <c r="G2085" s="35"/>
      <c r="H2085" s="35"/>
      <c r="I2085" s="35"/>
      <c r="J2085" s="35" t="s">
        <v>343</v>
      </c>
    </row>
    <row r="2086" spans="1:10" x14ac:dyDescent="0.2">
      <c r="A2086" s="35" t="s">
        <v>344</v>
      </c>
      <c r="B2086" s="36">
        <v>2.5999999999999998E-10</v>
      </c>
      <c r="C2086" s="35" t="s">
        <v>31</v>
      </c>
      <c r="D2086" s="35" t="s">
        <v>7</v>
      </c>
      <c r="E2086" s="35"/>
      <c r="F2086" s="35" t="s">
        <v>20</v>
      </c>
      <c r="G2086" s="35"/>
      <c r="H2086" s="35"/>
      <c r="I2086" s="35"/>
      <c r="J2086" s="35" t="s">
        <v>345</v>
      </c>
    </row>
    <row r="2087" spans="1:10" x14ac:dyDescent="0.2">
      <c r="A2087" s="35" t="s">
        <v>346</v>
      </c>
      <c r="B2087" s="36">
        <v>-6.2700000000000001E-6</v>
      </c>
      <c r="C2087" s="35" t="s">
        <v>31</v>
      </c>
      <c r="D2087" s="35" t="s">
        <v>8</v>
      </c>
      <c r="E2087" s="35"/>
      <c r="F2087" s="35" t="s">
        <v>20</v>
      </c>
      <c r="G2087" s="35"/>
      <c r="H2087" s="35"/>
      <c r="I2087" s="35"/>
      <c r="J2087" s="35" t="s">
        <v>347</v>
      </c>
    </row>
    <row r="2088" spans="1:10" x14ac:dyDescent="0.2">
      <c r="A2088" s="35" t="s">
        <v>348</v>
      </c>
      <c r="B2088" s="36">
        <v>-7.4999999999999993E-5</v>
      </c>
      <c r="C2088" s="35" t="s">
        <v>31</v>
      </c>
      <c r="D2088" s="35" t="s">
        <v>121</v>
      </c>
      <c r="E2088" s="35"/>
      <c r="F2088" s="35" t="s">
        <v>20</v>
      </c>
      <c r="G2088" s="35"/>
      <c r="H2088" s="35"/>
      <c r="I2088" s="35"/>
      <c r="J2088" s="35" t="s">
        <v>349</v>
      </c>
    </row>
    <row r="2089" spans="1:10" x14ac:dyDescent="0.2">
      <c r="A2089" s="35" t="s">
        <v>350</v>
      </c>
      <c r="B2089" s="36">
        <v>6.8900000000000005E-4</v>
      </c>
      <c r="C2089" s="35" t="s">
        <v>31</v>
      </c>
      <c r="D2089" s="35" t="s">
        <v>8</v>
      </c>
      <c r="E2089" s="35"/>
      <c r="F2089" s="35" t="s">
        <v>20</v>
      </c>
      <c r="G2089" s="35"/>
      <c r="H2089" s="35"/>
      <c r="I2089" s="35"/>
      <c r="J2089" s="35" t="s">
        <v>351</v>
      </c>
    </row>
    <row r="2090" spans="1:10" x14ac:dyDescent="0.2">
      <c r="A2090" s="35" t="s">
        <v>100</v>
      </c>
      <c r="B2090" s="36">
        <v>3.3599999999999998E-2</v>
      </c>
      <c r="C2090" s="35" t="s">
        <v>31</v>
      </c>
      <c r="D2090" s="35" t="s">
        <v>41</v>
      </c>
      <c r="E2090" s="35"/>
      <c r="F2090" s="35" t="s">
        <v>20</v>
      </c>
      <c r="G2090" s="35"/>
      <c r="H2090" s="35"/>
      <c r="I2090" s="35"/>
      <c r="J2090" s="35" t="s">
        <v>103</v>
      </c>
    </row>
    <row r="2091" spans="1:10" x14ac:dyDescent="0.2">
      <c r="A2091" s="35" t="s">
        <v>352</v>
      </c>
      <c r="B2091" s="36">
        <v>3.2599999999999997E-2</v>
      </c>
      <c r="C2091" s="35" t="s">
        <v>572</v>
      </c>
      <c r="D2091" s="35" t="s">
        <v>41</v>
      </c>
      <c r="E2091" s="35"/>
      <c r="F2091" s="35" t="s">
        <v>20</v>
      </c>
      <c r="G2091" s="35"/>
      <c r="H2091" s="35"/>
      <c r="I2091" s="35"/>
      <c r="J2091" s="35" t="s">
        <v>353</v>
      </c>
    </row>
    <row r="2092" spans="1:10" x14ac:dyDescent="0.2">
      <c r="A2092" s="35" t="s">
        <v>354</v>
      </c>
      <c r="B2092" s="36">
        <v>-6.8899999999999999E-7</v>
      </c>
      <c r="C2092" s="35" t="s">
        <v>31</v>
      </c>
      <c r="D2092" s="35" t="s">
        <v>121</v>
      </c>
      <c r="E2092" s="35"/>
      <c r="F2092" s="35" t="s">
        <v>20</v>
      </c>
      <c r="G2092" s="35"/>
      <c r="H2092" s="35"/>
      <c r="I2092" s="35"/>
      <c r="J2092" s="35" t="s">
        <v>355</v>
      </c>
    </row>
    <row r="2094" spans="1:10" ht="16" x14ac:dyDescent="0.2">
      <c r="A2094" s="1" t="s">
        <v>1</v>
      </c>
      <c r="B2094" s="71" t="s">
        <v>451</v>
      </c>
    </row>
    <row r="2095" spans="1:10" x14ac:dyDescent="0.2">
      <c r="A2095" t="s">
        <v>2</v>
      </c>
      <c r="B2095" s="6" t="s">
        <v>1035</v>
      </c>
    </row>
    <row r="2096" spans="1:10" x14ac:dyDescent="0.2">
      <c r="A2096" t="s">
        <v>3</v>
      </c>
      <c r="B2096" s="6">
        <v>1</v>
      </c>
    </row>
    <row r="2097" spans="1:10" ht="16" x14ac:dyDescent="0.2">
      <c r="A2097" t="s">
        <v>4</v>
      </c>
      <c r="B2097" s="72" t="s">
        <v>337</v>
      </c>
    </row>
    <row r="2098" spans="1:10" x14ac:dyDescent="0.2">
      <c r="A2098" t="s">
        <v>5</v>
      </c>
      <c r="B2098" s="6" t="s">
        <v>6</v>
      </c>
    </row>
    <row r="2099" spans="1:10" x14ac:dyDescent="0.2">
      <c r="A2099" t="s">
        <v>7</v>
      </c>
      <c r="B2099" s="6" t="s">
        <v>8</v>
      </c>
    </row>
    <row r="2100" spans="1:10" x14ac:dyDescent="0.2">
      <c r="A2100" t="s">
        <v>9</v>
      </c>
      <c r="B2100" s="6" t="s">
        <v>393</v>
      </c>
    </row>
    <row r="2101" spans="1:10" x14ac:dyDescent="0.2">
      <c r="A2101" t="s">
        <v>11</v>
      </c>
      <c r="B2101" s="6" t="s">
        <v>361</v>
      </c>
    </row>
    <row r="2102" spans="1:10" ht="16" x14ac:dyDescent="0.2">
      <c r="A2102" s="1" t="s">
        <v>12</v>
      </c>
    </row>
    <row r="2103" spans="1:10" x14ac:dyDescent="0.2">
      <c r="A2103" t="s">
        <v>13</v>
      </c>
      <c r="B2103" s="6" t="s">
        <v>14</v>
      </c>
      <c r="C2103" t="s">
        <v>2</v>
      </c>
      <c r="D2103" t="s">
        <v>7</v>
      </c>
      <c r="E2103" t="s">
        <v>15</v>
      </c>
      <c r="F2103" t="s">
        <v>5</v>
      </c>
      <c r="G2103" t="s">
        <v>338</v>
      </c>
      <c r="H2103" t="s">
        <v>339</v>
      </c>
      <c r="I2103" t="s">
        <v>11</v>
      </c>
      <c r="J2103" t="s">
        <v>4</v>
      </c>
    </row>
    <row r="2104" spans="1:10" x14ac:dyDescent="0.2">
      <c r="A2104" s="35" t="s">
        <v>451</v>
      </c>
      <c r="B2104" s="36">
        <v>1</v>
      </c>
      <c r="C2104" t="s">
        <v>1035</v>
      </c>
      <c r="D2104" s="35" t="s">
        <v>8</v>
      </c>
      <c r="E2104" s="35"/>
      <c r="F2104" s="35" t="s">
        <v>17</v>
      </c>
      <c r="G2104" s="35"/>
      <c r="H2104" s="35"/>
      <c r="I2104" s="35" t="s">
        <v>18</v>
      </c>
      <c r="J2104" s="35" t="s">
        <v>337</v>
      </c>
    </row>
    <row r="2105" spans="1:10" ht="16" x14ac:dyDescent="0.2">
      <c r="A2105" s="2" t="s">
        <v>449</v>
      </c>
      <c r="B2105" s="6">
        <v>1.00057</v>
      </c>
      <c r="C2105" t="s">
        <v>1035</v>
      </c>
      <c r="D2105" t="s">
        <v>8</v>
      </c>
      <c r="F2105" s="35" t="s">
        <v>20</v>
      </c>
      <c r="G2105" t="s">
        <v>18</v>
      </c>
      <c r="I2105" s="35"/>
      <c r="J2105" s="2" t="s">
        <v>447</v>
      </c>
    </row>
    <row r="2106" spans="1:10" x14ac:dyDescent="0.2">
      <c r="A2106" s="35" t="s">
        <v>28</v>
      </c>
      <c r="B2106" s="36">
        <v>6.7000000000000002E-3</v>
      </c>
      <c r="C2106" t="s">
        <v>1036</v>
      </c>
      <c r="D2106" s="35" t="s">
        <v>29</v>
      </c>
      <c r="E2106" s="35"/>
      <c r="F2106" s="35" t="s">
        <v>20</v>
      </c>
      <c r="G2106" s="35"/>
      <c r="H2106" s="35"/>
      <c r="I2106" s="35"/>
      <c r="J2106" s="35" t="s">
        <v>30</v>
      </c>
    </row>
    <row r="2107" spans="1:10" x14ac:dyDescent="0.2">
      <c r="A2107" s="35" t="s">
        <v>340</v>
      </c>
      <c r="B2107" s="36">
        <v>-1.6799999999999999E-4</v>
      </c>
      <c r="C2107" s="35" t="s">
        <v>31</v>
      </c>
      <c r="D2107" s="35" t="s">
        <v>8</v>
      </c>
      <c r="E2107" s="35"/>
      <c r="F2107" s="35" t="s">
        <v>20</v>
      </c>
      <c r="G2107" s="35"/>
      <c r="H2107" s="35"/>
      <c r="I2107" s="35"/>
      <c r="J2107" s="35" t="s">
        <v>341</v>
      </c>
    </row>
    <row r="2108" spans="1:10" x14ac:dyDescent="0.2">
      <c r="A2108" s="35" t="s">
        <v>342</v>
      </c>
      <c r="B2108" s="36">
        <v>5.8399999999999999E-4</v>
      </c>
      <c r="C2108" s="35" t="s">
        <v>31</v>
      </c>
      <c r="D2108" s="35" t="s">
        <v>19</v>
      </c>
      <c r="E2108" s="35"/>
      <c r="F2108" s="35" t="s">
        <v>20</v>
      </c>
      <c r="G2108" s="35"/>
      <c r="H2108" s="35"/>
      <c r="I2108" s="35"/>
      <c r="J2108" s="35" t="s">
        <v>343</v>
      </c>
    </row>
    <row r="2109" spans="1:10" x14ac:dyDescent="0.2">
      <c r="A2109" s="35" t="s">
        <v>344</v>
      </c>
      <c r="B2109" s="36">
        <v>2.5999999999999998E-10</v>
      </c>
      <c r="C2109" s="35" t="s">
        <v>31</v>
      </c>
      <c r="D2109" s="35" t="s">
        <v>7</v>
      </c>
      <c r="E2109" s="35"/>
      <c r="F2109" s="35" t="s">
        <v>20</v>
      </c>
      <c r="G2109" s="35"/>
      <c r="H2109" s="35"/>
      <c r="I2109" s="35"/>
      <c r="J2109" s="35" t="s">
        <v>345</v>
      </c>
    </row>
    <row r="2110" spans="1:10" x14ac:dyDescent="0.2">
      <c r="A2110" s="35" t="s">
        <v>346</v>
      </c>
      <c r="B2110" s="36">
        <v>-6.2700000000000001E-6</v>
      </c>
      <c r="C2110" s="35" t="s">
        <v>31</v>
      </c>
      <c r="D2110" s="35" t="s">
        <v>8</v>
      </c>
      <c r="E2110" s="35"/>
      <c r="F2110" s="35" t="s">
        <v>20</v>
      </c>
      <c r="G2110" s="35"/>
      <c r="H2110" s="35"/>
      <c r="I2110" s="35"/>
      <c r="J2110" s="35" t="s">
        <v>347</v>
      </c>
    </row>
    <row r="2111" spans="1:10" x14ac:dyDescent="0.2">
      <c r="A2111" s="35" t="s">
        <v>348</v>
      </c>
      <c r="B2111" s="36">
        <v>-7.4999999999999993E-5</v>
      </c>
      <c r="C2111" s="35" t="s">
        <v>31</v>
      </c>
      <c r="D2111" s="35" t="s">
        <v>121</v>
      </c>
      <c r="E2111" s="35"/>
      <c r="F2111" s="35" t="s">
        <v>20</v>
      </c>
      <c r="G2111" s="35"/>
      <c r="H2111" s="35"/>
      <c r="I2111" s="35"/>
      <c r="J2111" s="35" t="s">
        <v>349</v>
      </c>
    </row>
    <row r="2112" spans="1:10" x14ac:dyDescent="0.2">
      <c r="A2112" s="35" t="s">
        <v>350</v>
      </c>
      <c r="B2112" s="36">
        <v>6.8900000000000005E-4</v>
      </c>
      <c r="C2112" s="35" t="s">
        <v>31</v>
      </c>
      <c r="D2112" s="35" t="s">
        <v>8</v>
      </c>
      <c r="E2112" s="35"/>
      <c r="F2112" s="35" t="s">
        <v>20</v>
      </c>
      <c r="G2112" s="35"/>
      <c r="H2112" s="35"/>
      <c r="I2112" s="35"/>
      <c r="J2112" s="35" t="s">
        <v>351</v>
      </c>
    </row>
    <row r="2113" spans="1:10" x14ac:dyDescent="0.2">
      <c r="A2113" s="35" t="s">
        <v>100</v>
      </c>
      <c r="B2113" s="36">
        <v>3.3599999999999998E-2</v>
      </c>
      <c r="C2113" s="35" t="s">
        <v>31</v>
      </c>
      <c r="D2113" s="35" t="s">
        <v>41</v>
      </c>
      <c r="E2113" s="35"/>
      <c r="F2113" s="35" t="s">
        <v>20</v>
      </c>
      <c r="G2113" s="35"/>
      <c r="H2113" s="35"/>
      <c r="I2113" s="35"/>
      <c r="J2113" s="35" t="s">
        <v>103</v>
      </c>
    </row>
    <row r="2114" spans="1:10" x14ac:dyDescent="0.2">
      <c r="A2114" s="35" t="s">
        <v>352</v>
      </c>
      <c r="B2114" s="36">
        <v>3.2599999999999997E-2</v>
      </c>
      <c r="C2114" s="35" t="s">
        <v>572</v>
      </c>
      <c r="D2114" s="35" t="s">
        <v>41</v>
      </c>
      <c r="E2114" s="35"/>
      <c r="F2114" s="35" t="s">
        <v>20</v>
      </c>
      <c r="G2114" s="35"/>
      <c r="H2114" s="35"/>
      <c r="I2114" s="35"/>
      <c r="J2114" s="35" t="s">
        <v>353</v>
      </c>
    </row>
    <row r="2115" spans="1:10" x14ac:dyDescent="0.2">
      <c r="A2115" s="35" t="s">
        <v>354</v>
      </c>
      <c r="B2115" s="36">
        <v>-6.8899999999999999E-7</v>
      </c>
      <c r="C2115" s="35" t="s">
        <v>31</v>
      </c>
      <c r="D2115" s="35" t="s">
        <v>121</v>
      </c>
      <c r="E2115" s="35"/>
      <c r="F2115" s="35" t="s">
        <v>20</v>
      </c>
      <c r="G2115" s="35"/>
      <c r="H2115" s="35"/>
      <c r="I2115" s="35"/>
      <c r="J2115" s="35" t="s">
        <v>355</v>
      </c>
    </row>
    <row r="2116" spans="1:10" x14ac:dyDescent="0.2">
      <c r="A2116" s="35"/>
      <c r="B2116" s="36"/>
      <c r="C2116" s="35"/>
      <c r="D2116" s="35"/>
      <c r="E2116" s="35"/>
      <c r="F2116" s="35"/>
      <c r="G2116" s="35"/>
      <c r="H2116" s="35"/>
      <c r="I2116" s="35"/>
      <c r="J2116" s="35"/>
    </row>
    <row r="2117" spans="1:10" ht="16" x14ac:dyDescent="0.2">
      <c r="A2117" s="1" t="s">
        <v>1</v>
      </c>
      <c r="B2117" s="71" t="s">
        <v>91</v>
      </c>
    </row>
    <row r="2118" spans="1:10" x14ac:dyDescent="0.2">
      <c r="A2118" t="s">
        <v>2</v>
      </c>
      <c r="B2118" s="6" t="s">
        <v>1035</v>
      </c>
    </row>
    <row r="2119" spans="1:10" x14ac:dyDescent="0.2">
      <c r="A2119" t="s">
        <v>3</v>
      </c>
      <c r="B2119" s="6">
        <v>1</v>
      </c>
    </row>
    <row r="2120" spans="1:10" ht="16" x14ac:dyDescent="0.2">
      <c r="A2120" t="s">
        <v>4</v>
      </c>
      <c r="B2120" s="2" t="s">
        <v>454</v>
      </c>
    </row>
    <row r="2121" spans="1:10" x14ac:dyDescent="0.2">
      <c r="A2121" t="s">
        <v>5</v>
      </c>
      <c r="B2121" s="6" t="s">
        <v>6</v>
      </c>
    </row>
    <row r="2122" spans="1:10" x14ac:dyDescent="0.2">
      <c r="A2122" t="s">
        <v>7</v>
      </c>
      <c r="B2122" s="6" t="s">
        <v>8</v>
      </c>
    </row>
    <row r="2123" spans="1:10" x14ac:dyDescent="0.2">
      <c r="A2123" t="s">
        <v>9</v>
      </c>
      <c r="B2123" s="6" t="s">
        <v>10</v>
      </c>
    </row>
    <row r="2124" spans="1:10" x14ac:dyDescent="0.2">
      <c r="A2124" t="s">
        <v>11</v>
      </c>
      <c r="B2124" s="6" t="s">
        <v>223</v>
      </c>
    </row>
    <row r="2125" spans="1:10" x14ac:dyDescent="0.2">
      <c r="A2125" t="s">
        <v>841</v>
      </c>
      <c r="B2125" s="5">
        <f>Summary!R15</f>
        <v>15.203282981971585</v>
      </c>
    </row>
    <row r="2126" spans="1:10" x14ac:dyDescent="0.2">
      <c r="A2126" t="s">
        <v>847</v>
      </c>
      <c r="B2126" s="76">
        <f>Summary!Q15</f>
        <v>0.73</v>
      </c>
    </row>
    <row r="2127" spans="1:10" ht="16" x14ac:dyDescent="0.2">
      <c r="A2127" s="1" t="s">
        <v>12</v>
      </c>
    </row>
    <row r="2128" spans="1:10" x14ac:dyDescent="0.2">
      <c r="A2128" t="s">
        <v>13</v>
      </c>
      <c r="B2128" s="6" t="s">
        <v>14</v>
      </c>
      <c r="C2128" t="s">
        <v>2</v>
      </c>
      <c r="D2128" t="s">
        <v>7</v>
      </c>
      <c r="E2128" t="s">
        <v>15</v>
      </c>
      <c r="F2128" t="s">
        <v>5</v>
      </c>
      <c r="G2128" t="s">
        <v>11</v>
      </c>
      <c r="H2128" t="s">
        <v>4</v>
      </c>
    </row>
    <row r="2129" spans="1:8" ht="16" x14ac:dyDescent="0.2">
      <c r="A2129" s="2" t="s">
        <v>91</v>
      </c>
      <c r="B2129" s="6">
        <v>1</v>
      </c>
      <c r="C2129" t="s">
        <v>1035</v>
      </c>
      <c r="D2129" t="s">
        <v>8</v>
      </c>
      <c r="F2129" t="s">
        <v>17</v>
      </c>
      <c r="G2129" t="s">
        <v>18</v>
      </c>
      <c r="H2129" s="2" t="s">
        <v>454</v>
      </c>
    </row>
    <row r="2130" spans="1:8" x14ac:dyDescent="0.2">
      <c r="A2130" t="s">
        <v>22</v>
      </c>
      <c r="B2130" s="6">
        <f>24068*Parameters!$B$3/1000</f>
        <v>2.5393085401199996E-2</v>
      </c>
      <c r="C2130" t="s">
        <v>26</v>
      </c>
      <c r="D2130" t="s">
        <v>19</v>
      </c>
      <c r="F2130" t="s">
        <v>20</v>
      </c>
      <c r="G2130" t="s">
        <v>92</v>
      </c>
      <c r="H2130" t="s">
        <v>23</v>
      </c>
    </row>
    <row r="2131" spans="1:8" x14ac:dyDescent="0.2">
      <c r="A2131" t="s">
        <v>78</v>
      </c>
      <c r="B2131" s="6">
        <f>7729*Parameters!$B$3/1000</f>
        <v>8.1545270510999992E-3</v>
      </c>
      <c r="C2131" t="s">
        <v>26</v>
      </c>
      <c r="D2131" t="s">
        <v>19</v>
      </c>
      <c r="F2131" t="s">
        <v>20</v>
      </c>
      <c r="G2131" t="s">
        <v>93</v>
      </c>
      <c r="H2131" t="s">
        <v>78</v>
      </c>
    </row>
    <row r="2132" spans="1:8" x14ac:dyDescent="0.2">
      <c r="A2132" t="s">
        <v>81</v>
      </c>
      <c r="B2132" s="6">
        <f>(13511+11877)*Parameters!$B$3/1000</f>
        <v>2.6785759189199995E-2</v>
      </c>
      <c r="C2132" t="s">
        <v>26</v>
      </c>
      <c r="D2132" t="s">
        <v>19</v>
      </c>
      <c r="F2132" t="s">
        <v>20</v>
      </c>
      <c r="G2132" t="s">
        <v>94</v>
      </c>
      <c r="H2132" t="s">
        <v>82</v>
      </c>
    </row>
    <row r="2133" spans="1:8" x14ac:dyDescent="0.2">
      <c r="A2133" t="s">
        <v>28</v>
      </c>
      <c r="B2133" s="6">
        <f>5656*Parameters!$B$3/1000/3.6</f>
        <v>1.6576100473333331E-3</v>
      </c>
      <c r="C2133" t="s">
        <v>1036</v>
      </c>
      <c r="D2133" t="s">
        <v>29</v>
      </c>
      <c r="F2133" t="s">
        <v>20</v>
      </c>
      <c r="H2133" t="s">
        <v>30</v>
      </c>
    </row>
    <row r="2134" spans="1:8" x14ac:dyDescent="0.2">
      <c r="A2134" t="s">
        <v>352</v>
      </c>
      <c r="B2134" s="6">
        <f>20*Parameters!$B$9/1000</f>
        <v>3.2199999999999999E-2</v>
      </c>
      <c r="C2134" t="s">
        <v>572</v>
      </c>
      <c r="D2134" t="s">
        <v>41</v>
      </c>
      <c r="F2134" t="s">
        <v>20</v>
      </c>
      <c r="G2134" t="s">
        <v>86</v>
      </c>
      <c r="H2134" t="s">
        <v>353</v>
      </c>
    </row>
    <row r="2135" spans="1:8" x14ac:dyDescent="0.2">
      <c r="A2135" t="s">
        <v>42</v>
      </c>
      <c r="B2135" s="6">
        <f>1.521/1000</f>
        <v>1.521E-3</v>
      </c>
      <c r="C2135" t="s">
        <v>1036</v>
      </c>
      <c r="D2135" t="s">
        <v>8</v>
      </c>
      <c r="F2135" t="s">
        <v>20</v>
      </c>
      <c r="H2135" t="s">
        <v>43</v>
      </c>
    </row>
    <row r="2136" spans="1:8" x14ac:dyDescent="0.2">
      <c r="A2136" t="s">
        <v>44</v>
      </c>
      <c r="B2136" s="6">
        <f>0.608/1000</f>
        <v>6.0800000000000003E-4</v>
      </c>
      <c r="C2136" t="s">
        <v>1036</v>
      </c>
      <c r="D2136" t="s">
        <v>8</v>
      </c>
      <c r="F2136" t="s">
        <v>20</v>
      </c>
      <c r="H2136" t="s">
        <v>45</v>
      </c>
    </row>
    <row r="2137" spans="1:8" x14ac:dyDescent="0.2">
      <c r="A2137" t="s">
        <v>46</v>
      </c>
      <c r="B2137" s="6">
        <f>0.8/1000</f>
        <v>8.0000000000000004E-4</v>
      </c>
      <c r="C2137" t="s">
        <v>1036</v>
      </c>
      <c r="D2137" t="s">
        <v>8</v>
      </c>
      <c r="F2137" t="s">
        <v>20</v>
      </c>
      <c r="H2137" t="s">
        <v>47</v>
      </c>
    </row>
    <row r="2138" spans="1:8" ht="16" x14ac:dyDescent="0.2">
      <c r="A2138" s="7" t="s">
        <v>48</v>
      </c>
      <c r="B2138" s="6">
        <f>13.342/1000</f>
        <v>1.3342E-2</v>
      </c>
      <c r="C2138" t="s">
        <v>26</v>
      </c>
      <c r="D2138" t="s">
        <v>8</v>
      </c>
      <c r="F2138" t="s">
        <v>20</v>
      </c>
      <c r="H2138" s="7" t="s">
        <v>49</v>
      </c>
    </row>
    <row r="2139" spans="1:8" x14ac:dyDescent="0.2">
      <c r="A2139" t="s">
        <v>50</v>
      </c>
      <c r="B2139" s="6">
        <f>23.96/1000/1000</f>
        <v>2.3960000000000001E-5</v>
      </c>
      <c r="C2139" t="s">
        <v>26</v>
      </c>
      <c r="D2139" t="s">
        <v>8</v>
      </c>
      <c r="F2139" t="s">
        <v>20</v>
      </c>
      <c r="G2139" t="s">
        <v>51</v>
      </c>
      <c r="H2139" t="s">
        <v>53</v>
      </c>
    </row>
    <row r="2140" spans="1:8" x14ac:dyDescent="0.2">
      <c r="A2140" t="s">
        <v>181</v>
      </c>
      <c r="B2140" s="6">
        <v>3.6830900643231697E-5</v>
      </c>
      <c r="C2140" t="s">
        <v>26</v>
      </c>
      <c r="D2140" t="s">
        <v>119</v>
      </c>
      <c r="F2140" t="s">
        <v>20</v>
      </c>
      <c r="G2140" t="s">
        <v>180</v>
      </c>
      <c r="H2140" t="s">
        <v>182</v>
      </c>
    </row>
    <row r="2141" spans="1:8" x14ac:dyDescent="0.2">
      <c r="A2141" t="s">
        <v>183</v>
      </c>
      <c r="B2141" s="6">
        <v>1.1049380686770699E-4</v>
      </c>
      <c r="C2141" t="s">
        <v>26</v>
      </c>
      <c r="D2141" t="s">
        <v>119</v>
      </c>
      <c r="F2141" t="s">
        <v>20</v>
      </c>
      <c r="G2141" t="s">
        <v>180</v>
      </c>
      <c r="H2141" t="s">
        <v>184</v>
      </c>
    </row>
    <row r="2142" spans="1:8" x14ac:dyDescent="0.2">
      <c r="A2142" t="s">
        <v>185</v>
      </c>
      <c r="B2142" s="6">
        <v>3.6830900643231697E-5</v>
      </c>
      <c r="C2142" t="s">
        <v>26</v>
      </c>
      <c r="D2142" t="s">
        <v>119</v>
      </c>
      <c r="F2142" t="s">
        <v>20</v>
      </c>
      <c r="G2142" t="s">
        <v>180</v>
      </c>
      <c r="H2142" t="s">
        <v>186</v>
      </c>
    </row>
    <row r="2143" spans="1:8" x14ac:dyDescent="0.2">
      <c r="A2143" t="s">
        <v>120</v>
      </c>
      <c r="B2143" s="6">
        <v>0.252</v>
      </c>
      <c r="C2143" t="s">
        <v>1036</v>
      </c>
      <c r="D2143" t="s">
        <v>121</v>
      </c>
      <c r="F2143" t="s">
        <v>20</v>
      </c>
      <c r="G2143" t="s">
        <v>125</v>
      </c>
      <c r="H2143" t="s">
        <v>122</v>
      </c>
    </row>
    <row r="2144" spans="1:8" x14ac:dyDescent="0.2">
      <c r="A2144" t="s">
        <v>187</v>
      </c>
      <c r="B2144" s="6">
        <v>1.1048999999999999E-4</v>
      </c>
      <c r="C2144" t="s">
        <v>26</v>
      </c>
      <c r="D2144" t="s">
        <v>119</v>
      </c>
      <c r="F2144" t="s">
        <v>20</v>
      </c>
      <c r="G2144" t="s">
        <v>180</v>
      </c>
      <c r="H2144" t="s">
        <v>188</v>
      </c>
    </row>
    <row r="2145" spans="1:7" x14ac:dyDescent="0.2">
      <c r="A2145" t="s">
        <v>325</v>
      </c>
      <c r="B2145" s="6">
        <f>(1.384)/1000</f>
        <v>1.3839999999999998E-3</v>
      </c>
      <c r="D2145" t="s">
        <v>8</v>
      </c>
      <c r="E2145" t="s">
        <v>37</v>
      </c>
      <c r="F2145" t="s">
        <v>36</v>
      </c>
      <c r="G2145" t="s">
        <v>1001</v>
      </c>
    </row>
    <row r="2146" spans="1:7" x14ac:dyDescent="0.2">
      <c r="A2146" t="s">
        <v>981</v>
      </c>
      <c r="B2146" s="6">
        <f>25.75/1000000</f>
        <v>2.5749999999999999E-5</v>
      </c>
      <c r="D2146" t="s">
        <v>8</v>
      </c>
      <c r="E2146" t="s">
        <v>37</v>
      </c>
      <c r="F2146" t="s">
        <v>36</v>
      </c>
      <c r="G2146" t="s">
        <v>1002</v>
      </c>
    </row>
    <row r="2147" spans="1:7" x14ac:dyDescent="0.2">
      <c r="A2147" t="s">
        <v>40</v>
      </c>
      <c r="B2147" s="6">
        <f>31.68/1000000</f>
        <v>3.1680000000000002E-5</v>
      </c>
      <c r="D2147" t="s">
        <v>8</v>
      </c>
      <c r="E2147" t="s">
        <v>37</v>
      </c>
      <c r="F2147" t="s">
        <v>36</v>
      </c>
      <c r="G2147" t="s">
        <v>1003</v>
      </c>
    </row>
    <row r="2148" spans="1:7" x14ac:dyDescent="0.2">
      <c r="A2148" t="s">
        <v>150</v>
      </c>
      <c r="B2148" s="6">
        <v>9.6866907013685906E-6</v>
      </c>
      <c r="D2148" t="s">
        <v>8</v>
      </c>
      <c r="E2148" t="s">
        <v>170</v>
      </c>
      <c r="F2148" t="s">
        <v>36</v>
      </c>
      <c r="G2148" t="s">
        <v>180</v>
      </c>
    </row>
    <row r="2149" spans="1:7" x14ac:dyDescent="0.2">
      <c r="A2149" t="s">
        <v>132</v>
      </c>
      <c r="B2149" s="6">
        <v>-9.8401857757250106E-7</v>
      </c>
      <c r="D2149" t="s">
        <v>8</v>
      </c>
      <c r="E2149" t="s">
        <v>170</v>
      </c>
      <c r="F2149" t="s">
        <v>36</v>
      </c>
      <c r="G2149" t="s">
        <v>180</v>
      </c>
    </row>
    <row r="2150" spans="1:7" x14ac:dyDescent="0.2">
      <c r="A2150" t="s">
        <v>158</v>
      </c>
      <c r="B2150" s="6">
        <v>8.8484627663318299E-7</v>
      </c>
      <c r="D2150" t="s">
        <v>8</v>
      </c>
      <c r="E2150" t="s">
        <v>170</v>
      </c>
      <c r="F2150" t="s">
        <v>36</v>
      </c>
      <c r="G2150" t="s">
        <v>180</v>
      </c>
    </row>
    <row r="2151" spans="1:7" x14ac:dyDescent="0.2">
      <c r="A2151" t="s">
        <v>164</v>
      </c>
      <c r="B2151" s="6">
        <v>1.5966811678364199E-8</v>
      </c>
      <c r="D2151" t="s">
        <v>8</v>
      </c>
      <c r="E2151" t="s">
        <v>170</v>
      </c>
      <c r="F2151" t="s">
        <v>36</v>
      </c>
      <c r="G2151" t="s">
        <v>180</v>
      </c>
    </row>
    <row r="2152" spans="1:7" x14ac:dyDescent="0.2">
      <c r="A2152" t="s">
        <v>173</v>
      </c>
      <c r="B2152" s="6">
        <v>1.07630556194952E-5</v>
      </c>
      <c r="D2152" t="s">
        <v>8</v>
      </c>
      <c r="E2152" t="s">
        <v>171</v>
      </c>
      <c r="F2152" t="s">
        <v>36</v>
      </c>
      <c r="G2152" t="s">
        <v>180</v>
      </c>
    </row>
    <row r="2153" spans="1:7" x14ac:dyDescent="0.2">
      <c r="A2153" t="s">
        <v>151</v>
      </c>
      <c r="B2153" s="6">
        <v>9.03472245050759E-7</v>
      </c>
      <c r="D2153" t="s">
        <v>8</v>
      </c>
      <c r="E2153" t="s">
        <v>170</v>
      </c>
      <c r="F2153" t="s">
        <v>36</v>
      </c>
      <c r="G2153" t="s">
        <v>180</v>
      </c>
    </row>
    <row r="2154" spans="1:7" x14ac:dyDescent="0.2">
      <c r="A2154" t="s">
        <v>172</v>
      </c>
      <c r="B2154" s="6">
        <v>1.46657242732071E-3</v>
      </c>
      <c r="D2154" t="s">
        <v>8</v>
      </c>
      <c r="E2154" t="s">
        <v>179</v>
      </c>
      <c r="F2154" t="s">
        <v>36</v>
      </c>
      <c r="G2154" t="s">
        <v>180</v>
      </c>
    </row>
    <row r="2155" spans="1:7" x14ac:dyDescent="0.2">
      <c r="A2155" t="s">
        <v>148</v>
      </c>
      <c r="B2155" s="6">
        <v>-2.17184252532495E-8</v>
      </c>
      <c r="D2155" t="s">
        <v>8</v>
      </c>
      <c r="E2155" t="s">
        <v>170</v>
      </c>
      <c r="F2155" t="s">
        <v>36</v>
      </c>
      <c r="G2155" t="s">
        <v>180</v>
      </c>
    </row>
    <row r="2156" spans="1:7" x14ac:dyDescent="0.2">
      <c r="A2156" t="s">
        <v>126</v>
      </c>
      <c r="B2156" s="6">
        <v>2.7599778575834E-3</v>
      </c>
      <c r="D2156" t="s">
        <v>121</v>
      </c>
      <c r="E2156" t="s">
        <v>171</v>
      </c>
      <c r="F2156" t="s">
        <v>36</v>
      </c>
      <c r="G2156" t="s">
        <v>180</v>
      </c>
    </row>
    <row r="2157" spans="1:7" x14ac:dyDescent="0.2">
      <c r="A2157" t="s">
        <v>176</v>
      </c>
      <c r="B2157" s="6">
        <v>1.9959108159754498E-9</v>
      </c>
      <c r="D2157" t="s">
        <v>8</v>
      </c>
      <c r="E2157" t="s">
        <v>170</v>
      </c>
      <c r="F2157" t="s">
        <v>36</v>
      </c>
      <c r="G2157" t="s">
        <v>180</v>
      </c>
    </row>
    <row r="2158" spans="1:7" x14ac:dyDescent="0.2">
      <c r="A2158" t="s">
        <v>38</v>
      </c>
      <c r="B2158" s="6">
        <v>5.1853556439508204E-6</v>
      </c>
      <c r="D2158" t="s">
        <v>8</v>
      </c>
      <c r="E2158" t="s">
        <v>169</v>
      </c>
      <c r="F2158" t="s">
        <v>36</v>
      </c>
      <c r="G2158" t="s">
        <v>180</v>
      </c>
    </row>
    <row r="2159" spans="1:7" x14ac:dyDescent="0.2">
      <c r="A2159" t="s">
        <v>140</v>
      </c>
      <c r="B2159" s="6">
        <v>3.27859780619406E-6</v>
      </c>
      <c r="D2159" t="s">
        <v>8</v>
      </c>
      <c r="E2159" t="s">
        <v>170</v>
      </c>
      <c r="F2159" t="s">
        <v>36</v>
      </c>
      <c r="G2159" t="s">
        <v>180</v>
      </c>
    </row>
    <row r="2160" spans="1:7" x14ac:dyDescent="0.2">
      <c r="A2160" t="s">
        <v>127</v>
      </c>
      <c r="B2160" s="6">
        <v>8.0724401050640405E-5</v>
      </c>
      <c r="D2160" t="s">
        <v>8</v>
      </c>
      <c r="E2160" t="s">
        <v>169</v>
      </c>
      <c r="F2160" t="s">
        <v>36</v>
      </c>
      <c r="G2160" t="s">
        <v>180</v>
      </c>
    </row>
    <row r="2161" spans="1:7" x14ac:dyDescent="0.2">
      <c r="A2161" t="s">
        <v>155</v>
      </c>
      <c r="B2161" s="6">
        <v>2.9099959455172802E-6</v>
      </c>
      <c r="D2161" t="s">
        <v>8</v>
      </c>
      <c r="E2161" t="s">
        <v>170</v>
      </c>
      <c r="F2161" t="s">
        <v>36</v>
      </c>
      <c r="G2161" t="s">
        <v>180</v>
      </c>
    </row>
    <row r="2162" spans="1:7" x14ac:dyDescent="0.2">
      <c r="A2162" t="s">
        <v>159</v>
      </c>
      <c r="B2162" s="6">
        <v>9.5802057193840904E-8</v>
      </c>
      <c r="D2162" t="s">
        <v>8</v>
      </c>
      <c r="E2162" t="s">
        <v>170</v>
      </c>
      <c r="F2162" t="s">
        <v>36</v>
      </c>
      <c r="G2162" t="s">
        <v>180</v>
      </c>
    </row>
    <row r="2163" spans="1:7" x14ac:dyDescent="0.2">
      <c r="A2163" t="s">
        <v>142</v>
      </c>
      <c r="B2163" s="6">
        <v>-1.1393893071195499E-6</v>
      </c>
      <c r="D2163" t="s">
        <v>8</v>
      </c>
      <c r="E2163" t="s">
        <v>170</v>
      </c>
      <c r="F2163" t="s">
        <v>36</v>
      </c>
      <c r="G2163" t="s">
        <v>180</v>
      </c>
    </row>
    <row r="2164" spans="1:7" x14ac:dyDescent="0.2">
      <c r="A2164" t="s">
        <v>168</v>
      </c>
      <c r="B2164" s="6">
        <v>-4.7446953841008502E-7</v>
      </c>
      <c r="D2164" t="s">
        <v>8</v>
      </c>
      <c r="E2164" t="s">
        <v>170</v>
      </c>
      <c r="F2164" t="s">
        <v>36</v>
      </c>
      <c r="G2164" t="s">
        <v>180</v>
      </c>
    </row>
    <row r="2165" spans="1:7" x14ac:dyDescent="0.2">
      <c r="A2165" t="s">
        <v>144</v>
      </c>
      <c r="B2165" s="6">
        <v>2.5015067337276698E-7</v>
      </c>
      <c r="D2165" t="s">
        <v>8</v>
      </c>
      <c r="E2165" t="s">
        <v>170</v>
      </c>
      <c r="F2165" t="s">
        <v>36</v>
      </c>
      <c r="G2165" t="s">
        <v>180</v>
      </c>
    </row>
    <row r="2166" spans="1:7" x14ac:dyDescent="0.2">
      <c r="A2166" t="s">
        <v>110</v>
      </c>
      <c r="B2166" s="6">
        <v>0.11871235448605399</v>
      </c>
      <c r="D2166" t="s">
        <v>115</v>
      </c>
      <c r="E2166" t="s">
        <v>114</v>
      </c>
      <c r="F2166" t="s">
        <v>36</v>
      </c>
      <c r="G2166" t="s">
        <v>180</v>
      </c>
    </row>
    <row r="2167" spans="1:7" x14ac:dyDescent="0.2">
      <c r="A2167" t="s">
        <v>126</v>
      </c>
      <c r="B2167" s="6">
        <v>1.3306552055476401E-2</v>
      </c>
      <c r="D2167" t="s">
        <v>121</v>
      </c>
      <c r="E2167" t="s">
        <v>37</v>
      </c>
      <c r="F2167" t="s">
        <v>36</v>
      </c>
      <c r="G2167" t="s">
        <v>180</v>
      </c>
    </row>
    <row r="2168" spans="1:7" x14ac:dyDescent="0.2">
      <c r="A2168" t="s">
        <v>1031</v>
      </c>
      <c r="B2168" s="6">
        <f>0.42*(1-0.73)*(44/12)</f>
        <v>0.4158</v>
      </c>
      <c r="D2168" t="s">
        <v>8</v>
      </c>
      <c r="E2168" t="s">
        <v>1032</v>
      </c>
      <c r="F2168" t="s">
        <v>36</v>
      </c>
      <c r="G2168" t="s">
        <v>180</v>
      </c>
    </row>
    <row r="2169" spans="1:7" x14ac:dyDescent="0.2">
      <c r="A2169" t="s">
        <v>126</v>
      </c>
      <c r="B2169" s="6">
        <v>1.10399114303107E-2</v>
      </c>
      <c r="D2169" t="s">
        <v>121</v>
      </c>
      <c r="E2169" t="s">
        <v>179</v>
      </c>
      <c r="F2169" t="s">
        <v>36</v>
      </c>
      <c r="G2169" t="s">
        <v>180</v>
      </c>
    </row>
    <row r="2170" spans="1:7" x14ac:dyDescent="0.2">
      <c r="A2170" t="s">
        <v>108</v>
      </c>
      <c r="B2170" s="6">
        <v>3.2528372252739599</v>
      </c>
      <c r="D2170" t="s">
        <v>19</v>
      </c>
      <c r="E2170" t="s">
        <v>112</v>
      </c>
      <c r="F2170" t="s">
        <v>36</v>
      </c>
      <c r="G2170" t="s">
        <v>180</v>
      </c>
    </row>
    <row r="2171" spans="1:7" x14ac:dyDescent="0.2">
      <c r="A2171" t="s">
        <v>173</v>
      </c>
      <c r="B2171" s="6">
        <v>8.3098648140061805E-7</v>
      </c>
      <c r="D2171" t="s">
        <v>8</v>
      </c>
      <c r="E2171" t="s">
        <v>179</v>
      </c>
      <c r="F2171" t="s">
        <v>36</v>
      </c>
      <c r="G2171" t="s">
        <v>180</v>
      </c>
    </row>
    <row r="2172" spans="1:7" x14ac:dyDescent="0.2">
      <c r="A2172" t="s">
        <v>177</v>
      </c>
      <c r="B2172" s="6">
        <v>0.11871235448605399</v>
      </c>
      <c r="D2172" t="s">
        <v>115</v>
      </c>
      <c r="E2172" t="s">
        <v>114</v>
      </c>
      <c r="F2172" t="s">
        <v>36</v>
      </c>
      <c r="G2172" t="s">
        <v>180</v>
      </c>
    </row>
    <row r="2173" spans="1:7" x14ac:dyDescent="0.2">
      <c r="A2173" t="s">
        <v>153</v>
      </c>
      <c r="B2173" s="6">
        <v>1.4903148982175E-7</v>
      </c>
      <c r="D2173" t="s">
        <v>8</v>
      </c>
      <c r="E2173" t="s">
        <v>170</v>
      </c>
      <c r="F2173" t="s">
        <v>36</v>
      </c>
      <c r="G2173" t="s">
        <v>180</v>
      </c>
    </row>
    <row r="2174" spans="1:7" x14ac:dyDescent="0.2">
      <c r="A2174" t="s">
        <v>178</v>
      </c>
      <c r="B2174" s="6">
        <v>6.9244916371715204E-2</v>
      </c>
      <c r="D2174" t="s">
        <v>113</v>
      </c>
      <c r="E2174" t="s">
        <v>114</v>
      </c>
      <c r="F2174" t="s">
        <v>36</v>
      </c>
      <c r="G2174" t="s">
        <v>180</v>
      </c>
    </row>
    <row r="2175" spans="1:7" x14ac:dyDescent="0.2">
      <c r="A2175" t="s">
        <v>149</v>
      </c>
      <c r="B2175" s="6">
        <v>4.3163812091146796E-6</v>
      </c>
      <c r="D2175" t="s">
        <v>8</v>
      </c>
      <c r="E2175" t="s">
        <v>170</v>
      </c>
      <c r="F2175" t="s">
        <v>36</v>
      </c>
      <c r="G2175" t="s">
        <v>180</v>
      </c>
    </row>
    <row r="2177" spans="1:8" ht="16" x14ac:dyDescent="0.2">
      <c r="A2177" s="1" t="s">
        <v>1</v>
      </c>
      <c r="B2177" s="71" t="s">
        <v>452</v>
      </c>
    </row>
    <row r="2178" spans="1:8" x14ac:dyDescent="0.2">
      <c r="A2178" t="s">
        <v>2</v>
      </c>
      <c r="B2178" s="6" t="s">
        <v>1035</v>
      </c>
    </row>
    <row r="2179" spans="1:8" x14ac:dyDescent="0.2">
      <c r="A2179" t="s">
        <v>3</v>
      </c>
      <c r="B2179" s="6">
        <v>1</v>
      </c>
    </row>
    <row r="2180" spans="1:8" ht="16" x14ac:dyDescent="0.2">
      <c r="A2180" t="s">
        <v>4</v>
      </c>
      <c r="B2180" s="72" t="s">
        <v>453</v>
      </c>
    </row>
    <row r="2181" spans="1:8" x14ac:dyDescent="0.2">
      <c r="A2181" t="s">
        <v>5</v>
      </c>
      <c r="B2181" s="6" t="s">
        <v>6</v>
      </c>
    </row>
    <row r="2182" spans="1:8" x14ac:dyDescent="0.2">
      <c r="A2182" t="s">
        <v>7</v>
      </c>
      <c r="B2182" s="6" t="s">
        <v>8</v>
      </c>
    </row>
    <row r="2183" spans="1:8" x14ac:dyDescent="0.2">
      <c r="A2183" t="s">
        <v>9</v>
      </c>
      <c r="B2183" s="6" t="s">
        <v>10</v>
      </c>
    </row>
    <row r="2184" spans="1:8" x14ac:dyDescent="0.2">
      <c r="A2184" t="s">
        <v>11</v>
      </c>
      <c r="B2184" s="6" t="s">
        <v>1052</v>
      </c>
    </row>
    <row r="2185" spans="1:8" x14ac:dyDescent="0.2">
      <c r="A2185" t="s">
        <v>497</v>
      </c>
      <c r="B2185" s="70">
        <f>Summary!O112</f>
        <v>1.4730031931682706</v>
      </c>
    </row>
    <row r="2186" spans="1:8" ht="16" x14ac:dyDescent="0.2">
      <c r="A2186" s="1" t="s">
        <v>12</v>
      </c>
    </row>
    <row r="2187" spans="1:8" x14ac:dyDescent="0.2">
      <c r="A2187" t="s">
        <v>13</v>
      </c>
      <c r="B2187" s="6" t="s">
        <v>14</v>
      </c>
      <c r="C2187" t="s">
        <v>2</v>
      </c>
      <c r="D2187" t="s">
        <v>7</v>
      </c>
      <c r="E2187" t="s">
        <v>15</v>
      </c>
      <c r="F2187" t="s">
        <v>5</v>
      </c>
      <c r="G2187" t="s">
        <v>11</v>
      </c>
      <c r="H2187" t="s">
        <v>4</v>
      </c>
    </row>
    <row r="2188" spans="1:8" ht="16" x14ac:dyDescent="0.2">
      <c r="A2188" s="2" t="s">
        <v>452</v>
      </c>
      <c r="B2188" s="6">
        <v>1</v>
      </c>
      <c r="C2188" t="s">
        <v>1035</v>
      </c>
      <c r="D2188" t="s">
        <v>8</v>
      </c>
      <c r="F2188" t="s">
        <v>17</v>
      </c>
      <c r="G2188" t="s">
        <v>18</v>
      </c>
      <c r="H2188" s="2" t="s">
        <v>453</v>
      </c>
    </row>
    <row r="2189" spans="1:8" ht="16" x14ac:dyDescent="0.2">
      <c r="A2189" s="2" t="s">
        <v>91</v>
      </c>
      <c r="B2189" s="6">
        <f>(1/((Parameters!$F$58*Parameters!$B$4*Parameters!$B$12)/1000))*Parameters!F63*(1-B2126)</f>
        <v>4.9119237638144968</v>
      </c>
      <c r="C2189" t="s">
        <v>1035</v>
      </c>
      <c r="D2189" t="s">
        <v>8</v>
      </c>
      <c r="F2189" t="s">
        <v>20</v>
      </c>
      <c r="G2189" t="s">
        <v>18</v>
      </c>
      <c r="H2189" s="2" t="s">
        <v>454</v>
      </c>
    </row>
    <row r="2190" spans="1:8" ht="16" x14ac:dyDescent="0.2">
      <c r="A2190" s="2" t="s">
        <v>315</v>
      </c>
      <c r="B2190" s="6">
        <f>(106.73*Parameters!$B$3)/(Parameters!$B$4*Parameters!$B$12)*Parameters!F63</f>
        <v>3.5255810543434907E-2</v>
      </c>
      <c r="C2190" t="s">
        <v>31</v>
      </c>
      <c r="D2190" t="s">
        <v>8</v>
      </c>
      <c r="F2190" t="s">
        <v>20</v>
      </c>
      <c r="G2190" t="s">
        <v>458</v>
      </c>
      <c r="H2190" s="2" t="s">
        <v>316</v>
      </c>
    </row>
    <row r="2191" spans="1:8" ht="16" x14ac:dyDescent="0.2">
      <c r="A2191" s="2" t="s">
        <v>384</v>
      </c>
      <c r="B2191" s="6">
        <v>0</v>
      </c>
      <c r="C2191" t="s">
        <v>26</v>
      </c>
      <c r="D2191" t="s">
        <v>8</v>
      </c>
      <c r="F2191" t="s">
        <v>20</v>
      </c>
      <c r="G2191" t="s">
        <v>386</v>
      </c>
      <c r="H2191" s="2" t="s">
        <v>385</v>
      </c>
    </row>
    <row r="2192" spans="1:8" ht="16" x14ac:dyDescent="0.2">
      <c r="A2192" s="2" t="s">
        <v>252</v>
      </c>
      <c r="B2192" s="6">
        <f>((304.85/1000)/(Parameters!$B$4*Parameters!$B$12))*Parameters!F63</f>
        <v>9.5445382597237782E-2</v>
      </c>
      <c r="C2192" t="s">
        <v>31</v>
      </c>
      <c r="D2192" t="s">
        <v>8</v>
      </c>
      <c r="F2192" t="s">
        <v>20</v>
      </c>
      <c r="H2192" s="2" t="s">
        <v>253</v>
      </c>
    </row>
    <row r="2193" spans="1:8" ht="16" x14ac:dyDescent="0.2">
      <c r="A2193" s="2" t="s">
        <v>254</v>
      </c>
      <c r="B2193" s="6">
        <f>((47.18/1000)/(Parameters!$B$4*Parameters!$B$12))*Parameters!F63</f>
        <v>1.4771570119526581E-2</v>
      </c>
      <c r="C2193" t="s">
        <v>255</v>
      </c>
      <c r="D2193" t="s">
        <v>8</v>
      </c>
      <c r="F2193" t="s">
        <v>20</v>
      </c>
      <c r="H2193" s="2" t="s">
        <v>256</v>
      </c>
    </row>
    <row r="2194" spans="1:8" x14ac:dyDescent="0.2">
      <c r="A2194" t="s">
        <v>265</v>
      </c>
      <c r="B2194" s="6">
        <f>(B2168*B2189)-Parameters!$B$15</f>
        <v>0.12837790099406798</v>
      </c>
      <c r="D2194" t="s">
        <v>8</v>
      </c>
      <c r="E2194" t="s">
        <v>37</v>
      </c>
      <c r="F2194" t="s">
        <v>36</v>
      </c>
      <c r="G2194" t="s">
        <v>428</v>
      </c>
    </row>
    <row r="2195" spans="1:8" x14ac:dyDescent="0.2">
      <c r="A2195" t="s">
        <v>306</v>
      </c>
      <c r="B2195" s="6">
        <f>1/(90000000*20)</f>
        <v>5.5555555555555553E-10</v>
      </c>
      <c r="C2195" t="s">
        <v>26</v>
      </c>
      <c r="D2195" t="s">
        <v>7</v>
      </c>
      <c r="F2195" t="s">
        <v>20</v>
      </c>
      <c r="G2195" t="s">
        <v>308</v>
      </c>
      <c r="H2195" t="s">
        <v>307</v>
      </c>
    </row>
    <row r="2196" spans="1:8" ht="16" x14ac:dyDescent="0.2">
      <c r="A2196" s="2"/>
      <c r="H2196" s="2"/>
    </row>
    <row r="2197" spans="1:8" ht="16" x14ac:dyDescent="0.2">
      <c r="A2197" s="1" t="s">
        <v>1</v>
      </c>
      <c r="B2197" s="71" t="s">
        <v>455</v>
      </c>
    </row>
    <row r="2198" spans="1:8" x14ac:dyDescent="0.2">
      <c r="A2198" t="s">
        <v>2</v>
      </c>
      <c r="B2198" s="6" t="s">
        <v>1035</v>
      </c>
    </row>
    <row r="2199" spans="1:8" x14ac:dyDescent="0.2">
      <c r="A2199" t="s">
        <v>3</v>
      </c>
      <c r="B2199" s="6">
        <v>1</v>
      </c>
    </row>
    <row r="2200" spans="1:8" ht="16" x14ac:dyDescent="0.2">
      <c r="A2200" t="s">
        <v>4</v>
      </c>
      <c r="B2200" s="72" t="s">
        <v>453</v>
      </c>
    </row>
    <row r="2201" spans="1:8" x14ac:dyDescent="0.2">
      <c r="A2201" t="s">
        <v>5</v>
      </c>
      <c r="B2201" s="6" t="s">
        <v>6</v>
      </c>
    </row>
    <row r="2202" spans="1:8" x14ac:dyDescent="0.2">
      <c r="A2202" t="s">
        <v>7</v>
      </c>
      <c r="B2202" s="6" t="s">
        <v>8</v>
      </c>
    </row>
    <row r="2203" spans="1:8" x14ac:dyDescent="0.2">
      <c r="A2203" t="s">
        <v>9</v>
      </c>
      <c r="B2203" s="6" t="s">
        <v>10</v>
      </c>
    </row>
    <row r="2204" spans="1:8" x14ac:dyDescent="0.2">
      <c r="A2204" t="s">
        <v>11</v>
      </c>
      <c r="B2204" s="6" t="s">
        <v>1051</v>
      </c>
    </row>
    <row r="2205" spans="1:8" x14ac:dyDescent="0.2">
      <c r="A2205" t="s">
        <v>497</v>
      </c>
      <c r="B2205" s="70">
        <f>Summary!O43</f>
        <v>0.41271881921790227</v>
      </c>
    </row>
    <row r="2206" spans="1:8" ht="16" x14ac:dyDescent="0.2">
      <c r="A2206" s="1" t="s">
        <v>12</v>
      </c>
    </row>
    <row r="2207" spans="1:8" x14ac:dyDescent="0.2">
      <c r="A2207" t="s">
        <v>13</v>
      </c>
      <c r="B2207" s="6" t="s">
        <v>14</v>
      </c>
      <c r="C2207" t="s">
        <v>2</v>
      </c>
      <c r="D2207" t="s">
        <v>7</v>
      </c>
      <c r="E2207" t="s">
        <v>15</v>
      </c>
      <c r="F2207" t="s">
        <v>5</v>
      </c>
      <c r="G2207" t="s">
        <v>11</v>
      </c>
      <c r="H2207" t="s">
        <v>4</v>
      </c>
    </row>
    <row r="2208" spans="1:8" ht="16" x14ac:dyDescent="0.2">
      <c r="A2208" s="2" t="s">
        <v>455</v>
      </c>
      <c r="B2208" s="6">
        <v>1</v>
      </c>
      <c r="C2208" t="s">
        <v>1035</v>
      </c>
      <c r="D2208" t="s">
        <v>8</v>
      </c>
      <c r="F2208" t="s">
        <v>17</v>
      </c>
      <c r="G2208" t="s">
        <v>18</v>
      </c>
      <c r="H2208" s="2" t="s">
        <v>453</v>
      </c>
    </row>
    <row r="2209" spans="1:8" ht="16" x14ac:dyDescent="0.2">
      <c r="A2209" s="2" t="s">
        <v>91</v>
      </c>
      <c r="B2209" s="6">
        <f>(1/((Parameters!$F$58*Parameters!$B$4*Parameters!$B$12)/1000))*Parameters!F64*(1-B2126)</f>
        <v>4.7333083542212417</v>
      </c>
      <c r="C2209" t="s">
        <v>1035</v>
      </c>
      <c r="D2209" t="s">
        <v>8</v>
      </c>
      <c r="F2209" t="s">
        <v>20</v>
      </c>
      <c r="G2209" t="s">
        <v>18</v>
      </c>
      <c r="H2209" s="2" t="s">
        <v>454</v>
      </c>
    </row>
    <row r="2210" spans="1:8" ht="16" x14ac:dyDescent="0.2">
      <c r="A2210" s="2" t="s">
        <v>315</v>
      </c>
      <c r="B2210" s="6">
        <f>(106.73*Parameters!$B$3)/(Parameters!$B$4*Parameters!$B$12)*Parameters!F64</f>
        <v>3.3973781069128184E-2</v>
      </c>
      <c r="C2210" t="s">
        <v>31</v>
      </c>
      <c r="D2210" t="s">
        <v>8</v>
      </c>
      <c r="F2210" t="s">
        <v>20</v>
      </c>
      <c r="G2210" t="s">
        <v>458</v>
      </c>
      <c r="H2210" s="2" t="s">
        <v>316</v>
      </c>
    </row>
    <row r="2211" spans="1:8" ht="16" x14ac:dyDescent="0.2">
      <c r="A2211" s="2" t="s">
        <v>384</v>
      </c>
      <c r="B2211" s="6">
        <v>0</v>
      </c>
      <c r="C2211" t="s">
        <v>26</v>
      </c>
      <c r="D2211" t="s">
        <v>8</v>
      </c>
      <c r="F2211" t="s">
        <v>20</v>
      </c>
      <c r="G2211" t="s">
        <v>386</v>
      </c>
      <c r="H2211" s="2" t="s">
        <v>385</v>
      </c>
    </row>
    <row r="2212" spans="1:8" ht="16" x14ac:dyDescent="0.2">
      <c r="A2212" s="2" t="s">
        <v>252</v>
      </c>
      <c r="B2212" s="6">
        <f>((304.85/1000)/(Parameters!$B$4*Parameters!$B$12))*Parameters!F64</f>
        <v>9.1974641411883676E-2</v>
      </c>
      <c r="C2212" t="s">
        <v>31</v>
      </c>
      <c r="D2212" t="s">
        <v>8</v>
      </c>
      <c r="F2212" t="s">
        <v>20</v>
      </c>
      <c r="H2212" s="2" t="s">
        <v>253</v>
      </c>
    </row>
    <row r="2213" spans="1:8" ht="16" x14ac:dyDescent="0.2">
      <c r="A2213" s="2" t="s">
        <v>254</v>
      </c>
      <c r="B2213" s="6">
        <f>((47.18/1000)/(Parameters!$B$4*Parameters!$B$12))*Parameters!F64</f>
        <v>1.4234422115180159E-2</v>
      </c>
      <c r="C2213" t="s">
        <v>255</v>
      </c>
      <c r="D2213" t="s">
        <v>8</v>
      </c>
      <c r="F2213" t="s">
        <v>20</v>
      </c>
      <c r="H2213" s="2" t="s">
        <v>256</v>
      </c>
    </row>
    <row r="2214" spans="1:8" x14ac:dyDescent="0.2">
      <c r="A2214" t="s">
        <v>265</v>
      </c>
      <c r="B2214" s="6">
        <f>(B2168*B2209)-Parameters!$B$15</f>
        <v>5.4109613685192404E-2</v>
      </c>
      <c r="D2214" t="s">
        <v>8</v>
      </c>
      <c r="E2214" t="s">
        <v>37</v>
      </c>
      <c r="F2214" t="s">
        <v>36</v>
      </c>
      <c r="G2214" t="s">
        <v>428</v>
      </c>
    </row>
    <row r="2215" spans="1:8" x14ac:dyDescent="0.2">
      <c r="A2215" t="s">
        <v>306</v>
      </c>
      <c r="B2215" s="6">
        <f>1/(90000000*20)</f>
        <v>5.5555555555555553E-10</v>
      </c>
      <c r="C2215" t="s">
        <v>26</v>
      </c>
      <c r="D2215" t="s">
        <v>7</v>
      </c>
      <c r="F2215" t="s">
        <v>20</v>
      </c>
      <c r="G2215" t="s">
        <v>308</v>
      </c>
      <c r="H2215" t="s">
        <v>307</v>
      </c>
    </row>
    <row r="2216" spans="1:8" ht="16" x14ac:dyDescent="0.2">
      <c r="A2216" s="2"/>
      <c r="H2216" s="2"/>
    </row>
    <row r="2217" spans="1:8" ht="16" x14ac:dyDescent="0.2">
      <c r="A2217" s="1" t="s">
        <v>1</v>
      </c>
      <c r="B2217" s="71" t="s">
        <v>532</v>
      </c>
    </row>
    <row r="2218" spans="1:8" x14ac:dyDescent="0.2">
      <c r="A2218" t="s">
        <v>2</v>
      </c>
      <c r="B2218" s="6" t="s">
        <v>1035</v>
      </c>
    </row>
    <row r="2219" spans="1:8" x14ac:dyDescent="0.2">
      <c r="A2219" t="s">
        <v>3</v>
      </c>
      <c r="B2219" s="6">
        <v>1</v>
      </c>
    </row>
    <row r="2220" spans="1:8" ht="16" x14ac:dyDescent="0.2">
      <c r="A2220" t="s">
        <v>4</v>
      </c>
      <c r="B2220" s="72" t="s">
        <v>453</v>
      </c>
    </row>
    <row r="2221" spans="1:8" x14ac:dyDescent="0.2">
      <c r="A2221" t="s">
        <v>5</v>
      </c>
      <c r="B2221" s="6" t="s">
        <v>6</v>
      </c>
    </row>
    <row r="2222" spans="1:8" x14ac:dyDescent="0.2">
      <c r="A2222" t="s">
        <v>7</v>
      </c>
      <c r="B2222" s="6" t="s">
        <v>8</v>
      </c>
    </row>
    <row r="2223" spans="1:8" x14ac:dyDescent="0.2">
      <c r="A2223" t="s">
        <v>9</v>
      </c>
      <c r="B2223" s="6" t="s">
        <v>10</v>
      </c>
    </row>
    <row r="2224" spans="1:8" x14ac:dyDescent="0.2">
      <c r="A2224" t="s">
        <v>11</v>
      </c>
      <c r="B2224" s="6" t="s">
        <v>1050</v>
      </c>
    </row>
    <row r="2225" spans="1:9" x14ac:dyDescent="0.2">
      <c r="A2225" t="s">
        <v>497</v>
      </c>
      <c r="B2225" s="70">
        <f>Summary!O150</f>
        <v>1.377257985612333</v>
      </c>
    </row>
    <row r="2226" spans="1:9" ht="16" x14ac:dyDescent="0.2">
      <c r="A2226" s="1" t="s">
        <v>12</v>
      </c>
    </row>
    <row r="2227" spans="1:9" x14ac:dyDescent="0.2">
      <c r="A2227" t="s">
        <v>13</v>
      </c>
      <c r="B2227" s="6" t="s">
        <v>14</v>
      </c>
      <c r="C2227" t="s">
        <v>2</v>
      </c>
      <c r="D2227" t="s">
        <v>7</v>
      </c>
      <c r="E2227" t="s">
        <v>15</v>
      </c>
      <c r="F2227" t="s">
        <v>5</v>
      </c>
      <c r="G2227" t="s">
        <v>11</v>
      </c>
      <c r="H2227" t="s">
        <v>4</v>
      </c>
    </row>
    <row r="2228" spans="1:9" ht="16" x14ac:dyDescent="0.2">
      <c r="A2228" s="2" t="s">
        <v>532</v>
      </c>
      <c r="B2228" s="6">
        <v>1</v>
      </c>
      <c r="C2228" t="s">
        <v>1035</v>
      </c>
      <c r="D2228" t="s">
        <v>8</v>
      </c>
      <c r="F2228" t="s">
        <v>17</v>
      </c>
      <c r="G2228" t="s">
        <v>18</v>
      </c>
      <c r="H2228" s="2" t="s">
        <v>453</v>
      </c>
    </row>
    <row r="2229" spans="1:9" ht="16" x14ac:dyDescent="0.2">
      <c r="A2229" s="2" t="s">
        <v>91</v>
      </c>
      <c r="B2229" s="6">
        <f>(1/((Parameters!$F$58*Parameters!$B$4*Parameters!$B$12)/1000))*(1-B2126)</f>
        <v>5.2533943998015999</v>
      </c>
      <c r="C2229" t="s">
        <v>1035</v>
      </c>
      <c r="D2229" t="s">
        <v>8</v>
      </c>
      <c r="F2229" t="s">
        <v>20</v>
      </c>
      <c r="G2229" t="s">
        <v>18</v>
      </c>
      <c r="H2229" s="2" t="s">
        <v>454</v>
      </c>
    </row>
    <row r="2230" spans="1:9" ht="16" x14ac:dyDescent="0.2">
      <c r="A2230" s="2" t="s">
        <v>315</v>
      </c>
      <c r="B2230" s="6">
        <f>(106.73*Parameters!$B$3)/(Parameters!$B$4*Parameters!$B$12)</f>
        <v>3.7706749244315406E-2</v>
      </c>
      <c r="C2230" t="s">
        <v>31</v>
      </c>
      <c r="D2230" t="s">
        <v>8</v>
      </c>
      <c r="F2230" t="s">
        <v>20</v>
      </c>
      <c r="G2230" t="s">
        <v>458</v>
      </c>
      <c r="H2230" s="2" t="s">
        <v>316</v>
      </c>
    </row>
    <row r="2231" spans="1:9" ht="16" x14ac:dyDescent="0.2">
      <c r="A2231" s="2" t="s">
        <v>384</v>
      </c>
      <c r="B2231" s="6">
        <v>0</v>
      </c>
      <c r="C2231" t="s">
        <v>26</v>
      </c>
      <c r="D2231" t="s">
        <v>8</v>
      </c>
      <c r="F2231" t="s">
        <v>20</v>
      </c>
      <c r="G2231" t="s">
        <v>386</v>
      </c>
      <c r="H2231" s="2" t="s">
        <v>385</v>
      </c>
    </row>
    <row r="2232" spans="1:9" ht="16" x14ac:dyDescent="0.2">
      <c r="A2232" s="2" t="s">
        <v>252</v>
      </c>
      <c r="B2232" s="6">
        <f>((304.85/1000)/(Parameters!$B$4*Parameters!$B$12))</f>
        <v>0.10208062309865003</v>
      </c>
      <c r="C2232" t="s">
        <v>31</v>
      </c>
      <c r="D2232" t="s">
        <v>8</v>
      </c>
      <c r="F2232" t="s">
        <v>20</v>
      </c>
      <c r="H2232" s="2" t="s">
        <v>253</v>
      </c>
    </row>
    <row r="2233" spans="1:9" ht="16" x14ac:dyDescent="0.2">
      <c r="A2233" s="2" t="s">
        <v>254</v>
      </c>
      <c r="B2233" s="6">
        <f>((47.18/1000)/(Parameters!$B$4*Parameters!$B$12))</f>
        <v>1.5798470716071208E-2</v>
      </c>
      <c r="C2233" t="s">
        <v>255</v>
      </c>
      <c r="D2233" t="s">
        <v>8</v>
      </c>
      <c r="F2233" t="s">
        <v>20</v>
      </c>
      <c r="H2233" s="2" t="s">
        <v>256</v>
      </c>
    </row>
    <row r="2234" spans="1:9" x14ac:dyDescent="0.2">
      <c r="A2234" t="s">
        <v>265</v>
      </c>
      <c r="B2234" s="6">
        <f>(B2168*B2229)-Parameters!$B$15</f>
        <v>0.27036139143750515</v>
      </c>
      <c r="D2234" t="s">
        <v>8</v>
      </c>
      <c r="E2234" t="s">
        <v>37</v>
      </c>
      <c r="F2234" t="s">
        <v>36</v>
      </c>
      <c r="G2234" t="s">
        <v>428</v>
      </c>
    </row>
    <row r="2235" spans="1:9" x14ac:dyDescent="0.2">
      <c r="A2235" t="s">
        <v>306</v>
      </c>
      <c r="B2235" s="6">
        <f>1/(90000000*20)</f>
        <v>5.5555555555555553E-10</v>
      </c>
      <c r="C2235" t="s">
        <v>26</v>
      </c>
      <c r="D2235" t="s">
        <v>7</v>
      </c>
      <c r="F2235" t="s">
        <v>20</v>
      </c>
      <c r="G2235" t="s">
        <v>308</v>
      </c>
      <c r="H2235" t="s">
        <v>307</v>
      </c>
    </row>
    <row r="2236" spans="1:9" x14ac:dyDescent="0.2">
      <c r="A2236" s="35" t="s">
        <v>28</v>
      </c>
      <c r="B2236" s="36">
        <f>Parameters!F57/Parameters!B4*Parameters!B12*-1</f>
        <v>-0.51905151915455749</v>
      </c>
      <c r="C2236" t="s">
        <v>1036</v>
      </c>
      <c r="D2236" s="35" t="s">
        <v>29</v>
      </c>
      <c r="E2236" s="35"/>
      <c r="F2236" s="35" t="s">
        <v>20</v>
      </c>
      <c r="G2236" s="35" t="s">
        <v>505</v>
      </c>
      <c r="H2236" s="35" t="s">
        <v>30</v>
      </c>
      <c r="I2236" s="35"/>
    </row>
    <row r="2237" spans="1:9" ht="16" x14ac:dyDescent="0.2">
      <c r="A2237" s="2"/>
      <c r="H2237" s="2"/>
    </row>
    <row r="2238" spans="1:9" ht="16" x14ac:dyDescent="0.2">
      <c r="A2238" s="1" t="s">
        <v>1</v>
      </c>
      <c r="B2238" s="71" t="s">
        <v>456</v>
      </c>
    </row>
    <row r="2239" spans="1:9" x14ac:dyDescent="0.2">
      <c r="A2239" t="s">
        <v>2</v>
      </c>
      <c r="B2239" s="6" t="s">
        <v>1035</v>
      </c>
    </row>
    <row r="2240" spans="1:9" x14ac:dyDescent="0.2">
      <c r="A2240" t="s">
        <v>3</v>
      </c>
      <c r="B2240" s="6">
        <v>1</v>
      </c>
    </row>
    <row r="2241" spans="1:10" ht="16" x14ac:dyDescent="0.2">
      <c r="A2241" t="s">
        <v>4</v>
      </c>
      <c r="B2241" s="72" t="s">
        <v>337</v>
      </c>
    </row>
    <row r="2242" spans="1:10" x14ac:dyDescent="0.2">
      <c r="A2242" t="s">
        <v>5</v>
      </c>
      <c r="B2242" s="6" t="s">
        <v>6</v>
      </c>
    </row>
    <row r="2243" spans="1:10" x14ac:dyDescent="0.2">
      <c r="A2243" t="s">
        <v>7</v>
      </c>
      <c r="B2243" s="6" t="s">
        <v>8</v>
      </c>
    </row>
    <row r="2244" spans="1:10" x14ac:dyDescent="0.2">
      <c r="A2244" t="s">
        <v>9</v>
      </c>
      <c r="B2244" s="6" t="s">
        <v>393</v>
      </c>
    </row>
    <row r="2245" spans="1:10" x14ac:dyDescent="0.2">
      <c r="A2245" t="s">
        <v>11</v>
      </c>
      <c r="B2245" s="6" t="s">
        <v>362</v>
      </c>
    </row>
    <row r="2246" spans="1:10" ht="16" x14ac:dyDescent="0.2">
      <c r="A2246" s="1" t="s">
        <v>12</v>
      </c>
    </row>
    <row r="2247" spans="1:10" x14ac:dyDescent="0.2">
      <c r="A2247" t="s">
        <v>13</v>
      </c>
      <c r="B2247" s="6" t="s">
        <v>14</v>
      </c>
      <c r="C2247" t="s">
        <v>2</v>
      </c>
      <c r="D2247" t="s">
        <v>7</v>
      </c>
      <c r="E2247" t="s">
        <v>15</v>
      </c>
      <c r="F2247" t="s">
        <v>5</v>
      </c>
      <c r="G2247" t="s">
        <v>338</v>
      </c>
      <c r="H2247" t="s">
        <v>339</v>
      </c>
      <c r="I2247" t="s">
        <v>11</v>
      </c>
      <c r="J2247" t="s">
        <v>4</v>
      </c>
    </row>
    <row r="2248" spans="1:10" x14ac:dyDescent="0.2">
      <c r="A2248" s="35" t="s">
        <v>456</v>
      </c>
      <c r="B2248" s="36">
        <v>1</v>
      </c>
      <c r="C2248" t="s">
        <v>1035</v>
      </c>
      <c r="D2248" s="35" t="s">
        <v>8</v>
      </c>
      <c r="E2248" s="35"/>
      <c r="F2248" s="35" t="s">
        <v>17</v>
      </c>
      <c r="G2248" s="35"/>
      <c r="H2248" s="35"/>
      <c r="I2248" s="35" t="s">
        <v>18</v>
      </c>
      <c r="J2248" s="35" t="s">
        <v>337</v>
      </c>
    </row>
    <row r="2249" spans="1:10" ht="16" x14ac:dyDescent="0.2">
      <c r="A2249" s="2" t="s">
        <v>452</v>
      </c>
      <c r="B2249" s="6">
        <v>1.00057</v>
      </c>
      <c r="C2249" t="s">
        <v>1035</v>
      </c>
      <c r="D2249" t="s">
        <v>8</v>
      </c>
      <c r="F2249" s="35" t="s">
        <v>20</v>
      </c>
      <c r="G2249" t="s">
        <v>18</v>
      </c>
      <c r="I2249" s="35"/>
      <c r="J2249" s="2" t="s">
        <v>453</v>
      </c>
    </row>
    <row r="2250" spans="1:10" x14ac:dyDescent="0.2">
      <c r="A2250" s="35" t="s">
        <v>28</v>
      </c>
      <c r="B2250" s="36">
        <v>6.7000000000000002E-3</v>
      </c>
      <c r="C2250" t="s">
        <v>1036</v>
      </c>
      <c r="D2250" s="35" t="s">
        <v>29</v>
      </c>
      <c r="E2250" s="35"/>
      <c r="F2250" s="35" t="s">
        <v>20</v>
      </c>
      <c r="G2250" s="35"/>
      <c r="H2250" s="35"/>
      <c r="I2250" s="35"/>
      <c r="J2250" s="35" t="s">
        <v>30</v>
      </c>
    </row>
    <row r="2251" spans="1:10" x14ac:dyDescent="0.2">
      <c r="A2251" s="35" t="s">
        <v>340</v>
      </c>
      <c r="B2251" s="36">
        <v>-1.6799999999999999E-4</v>
      </c>
      <c r="C2251" s="35" t="s">
        <v>31</v>
      </c>
      <c r="D2251" s="35" t="s">
        <v>8</v>
      </c>
      <c r="E2251" s="35"/>
      <c r="F2251" s="35" t="s">
        <v>20</v>
      </c>
      <c r="G2251" s="35"/>
      <c r="H2251" s="35"/>
      <c r="I2251" s="35"/>
      <c r="J2251" s="35" t="s">
        <v>341</v>
      </c>
    </row>
    <row r="2252" spans="1:10" x14ac:dyDescent="0.2">
      <c r="A2252" s="35" t="s">
        <v>342</v>
      </c>
      <c r="B2252" s="36">
        <v>5.8399999999999999E-4</v>
      </c>
      <c r="C2252" s="35" t="s">
        <v>31</v>
      </c>
      <c r="D2252" s="35" t="s">
        <v>19</v>
      </c>
      <c r="E2252" s="35"/>
      <c r="F2252" s="35" t="s">
        <v>20</v>
      </c>
      <c r="G2252" s="35"/>
      <c r="H2252" s="35"/>
      <c r="I2252" s="35"/>
      <c r="J2252" s="35" t="s">
        <v>343</v>
      </c>
    </row>
    <row r="2253" spans="1:10" x14ac:dyDescent="0.2">
      <c r="A2253" s="35" t="s">
        <v>344</v>
      </c>
      <c r="B2253" s="36">
        <v>2.5999999999999998E-10</v>
      </c>
      <c r="C2253" s="35" t="s">
        <v>31</v>
      </c>
      <c r="D2253" s="35" t="s">
        <v>7</v>
      </c>
      <c r="E2253" s="35"/>
      <c r="F2253" s="35" t="s">
        <v>20</v>
      </c>
      <c r="G2253" s="35"/>
      <c r="H2253" s="35"/>
      <c r="I2253" s="35"/>
      <c r="J2253" s="35" t="s">
        <v>345</v>
      </c>
    </row>
    <row r="2254" spans="1:10" x14ac:dyDescent="0.2">
      <c r="A2254" s="35" t="s">
        <v>346</v>
      </c>
      <c r="B2254" s="36">
        <v>-6.2700000000000001E-6</v>
      </c>
      <c r="C2254" s="35" t="s">
        <v>31</v>
      </c>
      <c r="D2254" s="35" t="s">
        <v>8</v>
      </c>
      <c r="E2254" s="35"/>
      <c r="F2254" s="35" t="s">
        <v>20</v>
      </c>
      <c r="G2254" s="35"/>
      <c r="H2254" s="35"/>
      <c r="I2254" s="35"/>
      <c r="J2254" s="35" t="s">
        <v>347</v>
      </c>
    </row>
    <row r="2255" spans="1:10" x14ac:dyDescent="0.2">
      <c r="A2255" s="35" t="s">
        <v>348</v>
      </c>
      <c r="B2255" s="36">
        <v>-7.4999999999999993E-5</v>
      </c>
      <c r="C2255" s="35" t="s">
        <v>31</v>
      </c>
      <c r="D2255" s="35" t="s">
        <v>121</v>
      </c>
      <c r="E2255" s="35"/>
      <c r="F2255" s="35" t="s">
        <v>20</v>
      </c>
      <c r="G2255" s="35"/>
      <c r="H2255" s="35"/>
      <c r="I2255" s="35"/>
      <c r="J2255" s="35" t="s">
        <v>349</v>
      </c>
    </row>
    <row r="2256" spans="1:10" x14ac:dyDescent="0.2">
      <c r="A2256" s="35" t="s">
        <v>350</v>
      </c>
      <c r="B2256" s="36">
        <v>6.8900000000000005E-4</v>
      </c>
      <c r="C2256" s="35" t="s">
        <v>31</v>
      </c>
      <c r="D2256" s="35" t="s">
        <v>8</v>
      </c>
      <c r="E2256" s="35"/>
      <c r="F2256" s="35" t="s">
        <v>20</v>
      </c>
      <c r="G2256" s="35"/>
      <c r="H2256" s="35"/>
      <c r="I2256" s="35"/>
      <c r="J2256" s="35" t="s">
        <v>351</v>
      </c>
    </row>
    <row r="2257" spans="1:10" x14ac:dyDescent="0.2">
      <c r="A2257" s="35" t="s">
        <v>100</v>
      </c>
      <c r="B2257" s="36">
        <v>3.3599999999999998E-2</v>
      </c>
      <c r="C2257" s="35" t="s">
        <v>31</v>
      </c>
      <c r="D2257" s="35" t="s">
        <v>41</v>
      </c>
      <c r="E2257" s="35"/>
      <c r="F2257" s="35" t="s">
        <v>20</v>
      </c>
      <c r="G2257" s="35"/>
      <c r="H2257" s="35"/>
      <c r="I2257" s="35"/>
      <c r="J2257" s="35" t="s">
        <v>103</v>
      </c>
    </row>
    <row r="2258" spans="1:10" x14ac:dyDescent="0.2">
      <c r="A2258" s="35" t="s">
        <v>352</v>
      </c>
      <c r="B2258" s="36">
        <v>3.2599999999999997E-2</v>
      </c>
      <c r="C2258" s="35" t="s">
        <v>572</v>
      </c>
      <c r="D2258" s="35" t="s">
        <v>41</v>
      </c>
      <c r="E2258" s="35"/>
      <c r="F2258" s="35" t="s">
        <v>20</v>
      </c>
      <c r="G2258" s="35"/>
      <c r="H2258" s="35"/>
      <c r="I2258" s="35"/>
      <c r="J2258" s="35" t="s">
        <v>353</v>
      </c>
    </row>
    <row r="2259" spans="1:10" x14ac:dyDescent="0.2">
      <c r="A2259" s="35" t="s">
        <v>354</v>
      </c>
      <c r="B2259" s="36">
        <v>-6.8899999999999999E-7</v>
      </c>
      <c r="C2259" s="35" t="s">
        <v>31</v>
      </c>
      <c r="D2259" s="35" t="s">
        <v>121</v>
      </c>
      <c r="E2259" s="35"/>
      <c r="F2259" s="35" t="s">
        <v>20</v>
      </c>
      <c r="G2259" s="35"/>
      <c r="H2259" s="35"/>
      <c r="I2259" s="35"/>
      <c r="J2259" s="35" t="s">
        <v>355</v>
      </c>
    </row>
    <row r="2261" spans="1:10" ht="16" x14ac:dyDescent="0.2">
      <c r="A2261" s="1" t="s">
        <v>1</v>
      </c>
      <c r="B2261" s="71" t="s">
        <v>457</v>
      </c>
    </row>
    <row r="2262" spans="1:10" x14ac:dyDescent="0.2">
      <c r="A2262" t="s">
        <v>2</v>
      </c>
      <c r="B2262" s="6" t="s">
        <v>1035</v>
      </c>
    </row>
    <row r="2263" spans="1:10" x14ac:dyDescent="0.2">
      <c r="A2263" t="s">
        <v>3</v>
      </c>
      <c r="B2263" s="6">
        <v>1</v>
      </c>
    </row>
    <row r="2264" spans="1:10" ht="16" x14ac:dyDescent="0.2">
      <c r="A2264" t="s">
        <v>4</v>
      </c>
      <c r="B2264" s="72" t="s">
        <v>337</v>
      </c>
    </row>
    <row r="2265" spans="1:10" x14ac:dyDescent="0.2">
      <c r="A2265" t="s">
        <v>5</v>
      </c>
      <c r="B2265" s="6" t="s">
        <v>6</v>
      </c>
    </row>
    <row r="2266" spans="1:10" x14ac:dyDescent="0.2">
      <c r="A2266" t="s">
        <v>7</v>
      </c>
      <c r="B2266" s="6" t="s">
        <v>8</v>
      </c>
    </row>
    <row r="2267" spans="1:10" x14ac:dyDescent="0.2">
      <c r="A2267" t="s">
        <v>9</v>
      </c>
      <c r="B2267" s="6" t="s">
        <v>393</v>
      </c>
    </row>
    <row r="2268" spans="1:10" x14ac:dyDescent="0.2">
      <c r="A2268" t="s">
        <v>11</v>
      </c>
      <c r="B2268" s="6" t="s">
        <v>361</v>
      </c>
    </row>
    <row r="2269" spans="1:10" ht="16" x14ac:dyDescent="0.2">
      <c r="A2269" s="1" t="s">
        <v>12</v>
      </c>
    </row>
    <row r="2270" spans="1:10" x14ac:dyDescent="0.2">
      <c r="A2270" t="s">
        <v>13</v>
      </c>
      <c r="B2270" s="6" t="s">
        <v>14</v>
      </c>
      <c r="C2270" t="s">
        <v>2</v>
      </c>
      <c r="D2270" t="s">
        <v>7</v>
      </c>
      <c r="E2270" t="s">
        <v>15</v>
      </c>
      <c r="F2270" t="s">
        <v>5</v>
      </c>
      <c r="G2270" t="s">
        <v>338</v>
      </c>
      <c r="H2270" t="s">
        <v>339</v>
      </c>
      <c r="I2270" t="s">
        <v>11</v>
      </c>
      <c r="J2270" t="s">
        <v>4</v>
      </c>
    </row>
    <row r="2271" spans="1:10" x14ac:dyDescent="0.2">
      <c r="A2271" s="35" t="s">
        <v>457</v>
      </c>
      <c r="B2271" s="36">
        <v>1</v>
      </c>
      <c r="C2271" t="s">
        <v>1035</v>
      </c>
      <c r="D2271" s="35" t="s">
        <v>8</v>
      </c>
      <c r="E2271" s="35"/>
      <c r="F2271" s="35" t="s">
        <v>17</v>
      </c>
      <c r="G2271" s="35"/>
      <c r="H2271" s="35"/>
      <c r="I2271" s="35" t="s">
        <v>18</v>
      </c>
      <c r="J2271" s="35" t="s">
        <v>337</v>
      </c>
    </row>
    <row r="2272" spans="1:10" ht="16" x14ac:dyDescent="0.2">
      <c r="A2272" s="2" t="s">
        <v>455</v>
      </c>
      <c r="B2272" s="6">
        <v>1.00057</v>
      </c>
      <c r="C2272" t="s">
        <v>1035</v>
      </c>
      <c r="D2272" t="s">
        <v>8</v>
      </c>
      <c r="F2272" s="35" t="s">
        <v>20</v>
      </c>
      <c r="G2272" t="s">
        <v>18</v>
      </c>
      <c r="I2272" s="35"/>
      <c r="J2272" s="2" t="s">
        <v>453</v>
      </c>
    </row>
    <row r="2273" spans="1:10" x14ac:dyDescent="0.2">
      <c r="A2273" s="35" t="s">
        <v>28</v>
      </c>
      <c r="B2273" s="36">
        <v>6.7000000000000002E-3</v>
      </c>
      <c r="C2273" t="s">
        <v>1036</v>
      </c>
      <c r="D2273" s="35" t="s">
        <v>29</v>
      </c>
      <c r="E2273" s="35"/>
      <c r="F2273" s="35" t="s">
        <v>20</v>
      </c>
      <c r="G2273" s="35"/>
      <c r="H2273" s="35"/>
      <c r="I2273" s="35"/>
      <c r="J2273" s="35" t="s">
        <v>30</v>
      </c>
    </row>
    <row r="2274" spans="1:10" x14ac:dyDescent="0.2">
      <c r="A2274" s="35" t="s">
        <v>340</v>
      </c>
      <c r="B2274" s="36">
        <v>-1.6799999999999999E-4</v>
      </c>
      <c r="C2274" s="35" t="s">
        <v>31</v>
      </c>
      <c r="D2274" s="35" t="s">
        <v>8</v>
      </c>
      <c r="E2274" s="35"/>
      <c r="F2274" s="35" t="s">
        <v>20</v>
      </c>
      <c r="G2274" s="35"/>
      <c r="H2274" s="35"/>
      <c r="I2274" s="35"/>
      <c r="J2274" s="35" t="s">
        <v>341</v>
      </c>
    </row>
    <row r="2275" spans="1:10" x14ac:dyDescent="0.2">
      <c r="A2275" s="35" t="s">
        <v>342</v>
      </c>
      <c r="B2275" s="36">
        <v>5.8399999999999999E-4</v>
      </c>
      <c r="C2275" s="35" t="s">
        <v>31</v>
      </c>
      <c r="D2275" s="35" t="s">
        <v>19</v>
      </c>
      <c r="E2275" s="35"/>
      <c r="F2275" s="35" t="s">
        <v>20</v>
      </c>
      <c r="G2275" s="35"/>
      <c r="H2275" s="35"/>
      <c r="I2275" s="35"/>
      <c r="J2275" s="35" t="s">
        <v>343</v>
      </c>
    </row>
    <row r="2276" spans="1:10" x14ac:dyDescent="0.2">
      <c r="A2276" s="35" t="s">
        <v>344</v>
      </c>
      <c r="B2276" s="36">
        <v>2.5999999999999998E-10</v>
      </c>
      <c r="C2276" s="35" t="s">
        <v>31</v>
      </c>
      <c r="D2276" s="35" t="s">
        <v>7</v>
      </c>
      <c r="E2276" s="35"/>
      <c r="F2276" s="35" t="s">
        <v>20</v>
      </c>
      <c r="G2276" s="35"/>
      <c r="H2276" s="35"/>
      <c r="I2276" s="35"/>
      <c r="J2276" s="35" t="s">
        <v>345</v>
      </c>
    </row>
    <row r="2277" spans="1:10" x14ac:dyDescent="0.2">
      <c r="A2277" s="35" t="s">
        <v>346</v>
      </c>
      <c r="B2277" s="36">
        <v>-6.2700000000000001E-6</v>
      </c>
      <c r="C2277" s="35" t="s">
        <v>31</v>
      </c>
      <c r="D2277" s="35" t="s">
        <v>8</v>
      </c>
      <c r="E2277" s="35"/>
      <c r="F2277" s="35" t="s">
        <v>20</v>
      </c>
      <c r="G2277" s="35"/>
      <c r="H2277" s="35"/>
      <c r="I2277" s="35"/>
      <c r="J2277" s="35" t="s">
        <v>347</v>
      </c>
    </row>
    <row r="2278" spans="1:10" x14ac:dyDescent="0.2">
      <c r="A2278" s="35" t="s">
        <v>348</v>
      </c>
      <c r="B2278" s="36">
        <v>-7.4999999999999993E-5</v>
      </c>
      <c r="C2278" s="35" t="s">
        <v>31</v>
      </c>
      <c r="D2278" s="35" t="s">
        <v>121</v>
      </c>
      <c r="E2278" s="35"/>
      <c r="F2278" s="35" t="s">
        <v>20</v>
      </c>
      <c r="G2278" s="35"/>
      <c r="H2278" s="35"/>
      <c r="I2278" s="35"/>
      <c r="J2278" s="35" t="s">
        <v>349</v>
      </c>
    </row>
    <row r="2279" spans="1:10" x14ac:dyDescent="0.2">
      <c r="A2279" s="35" t="s">
        <v>350</v>
      </c>
      <c r="B2279" s="36">
        <v>6.8900000000000005E-4</v>
      </c>
      <c r="C2279" s="35" t="s">
        <v>31</v>
      </c>
      <c r="D2279" s="35" t="s">
        <v>8</v>
      </c>
      <c r="E2279" s="35"/>
      <c r="F2279" s="35" t="s">
        <v>20</v>
      </c>
      <c r="G2279" s="35"/>
      <c r="H2279" s="35"/>
      <c r="I2279" s="35"/>
      <c r="J2279" s="35" t="s">
        <v>351</v>
      </c>
    </row>
    <row r="2280" spans="1:10" x14ac:dyDescent="0.2">
      <c r="A2280" s="35" t="s">
        <v>100</v>
      </c>
      <c r="B2280" s="36">
        <v>3.3599999999999998E-2</v>
      </c>
      <c r="C2280" s="35" t="s">
        <v>31</v>
      </c>
      <c r="D2280" s="35" t="s">
        <v>41</v>
      </c>
      <c r="E2280" s="35"/>
      <c r="F2280" s="35" t="s">
        <v>20</v>
      </c>
      <c r="G2280" s="35"/>
      <c r="H2280" s="35"/>
      <c r="I2280" s="35"/>
      <c r="J2280" s="35" t="s">
        <v>103</v>
      </c>
    </row>
    <row r="2281" spans="1:10" x14ac:dyDescent="0.2">
      <c r="A2281" s="35" t="s">
        <v>352</v>
      </c>
      <c r="B2281" s="36">
        <v>3.2599999999999997E-2</v>
      </c>
      <c r="C2281" s="35" t="s">
        <v>572</v>
      </c>
      <c r="D2281" s="35" t="s">
        <v>41</v>
      </c>
      <c r="E2281" s="35"/>
      <c r="F2281" s="35" t="s">
        <v>20</v>
      </c>
      <c r="G2281" s="35"/>
      <c r="H2281" s="35"/>
      <c r="I2281" s="35"/>
      <c r="J2281" s="35" t="s">
        <v>353</v>
      </c>
    </row>
    <row r="2282" spans="1:10" x14ac:dyDescent="0.2">
      <c r="A2282" s="35" t="s">
        <v>354</v>
      </c>
      <c r="B2282" s="36">
        <v>-6.8899999999999999E-7</v>
      </c>
      <c r="C2282" s="35" t="s">
        <v>31</v>
      </c>
      <c r="D2282" s="35" t="s">
        <v>121</v>
      </c>
      <c r="E2282" s="35"/>
      <c r="F2282" s="35" t="s">
        <v>20</v>
      </c>
      <c r="G2282" s="35"/>
      <c r="H2282" s="35"/>
      <c r="I2282" s="35"/>
      <c r="J2282" s="35" t="s">
        <v>355</v>
      </c>
    </row>
    <row r="2283" spans="1:10" x14ac:dyDescent="0.2">
      <c r="A2283" s="35"/>
      <c r="B2283" s="36"/>
      <c r="C2283" s="35"/>
      <c r="D2283" s="35"/>
      <c r="E2283" s="35"/>
      <c r="F2283" s="35"/>
      <c r="G2283" s="35"/>
      <c r="H2283" s="35"/>
      <c r="I2283" s="35"/>
      <c r="J2283" s="35"/>
    </row>
    <row r="2284" spans="1:10" ht="16" x14ac:dyDescent="0.2">
      <c r="A2284" s="1" t="s">
        <v>1</v>
      </c>
      <c r="B2284" s="71" t="s">
        <v>533</v>
      </c>
    </row>
    <row r="2285" spans="1:10" x14ac:dyDescent="0.2">
      <c r="A2285" t="s">
        <v>2</v>
      </c>
      <c r="B2285" s="6" t="s">
        <v>1035</v>
      </c>
    </row>
    <row r="2286" spans="1:10" x14ac:dyDescent="0.2">
      <c r="A2286" t="s">
        <v>3</v>
      </c>
      <c r="B2286" s="6">
        <v>1</v>
      </c>
    </row>
    <row r="2287" spans="1:10" ht="16" x14ac:dyDescent="0.2">
      <c r="A2287" t="s">
        <v>4</v>
      </c>
      <c r="B2287" s="72" t="s">
        <v>337</v>
      </c>
    </row>
    <row r="2288" spans="1:10" x14ac:dyDescent="0.2">
      <c r="A2288" t="s">
        <v>5</v>
      </c>
      <c r="B2288" s="6" t="s">
        <v>6</v>
      </c>
    </row>
    <row r="2289" spans="1:10" x14ac:dyDescent="0.2">
      <c r="A2289" t="s">
        <v>7</v>
      </c>
      <c r="B2289" s="6" t="s">
        <v>8</v>
      </c>
    </row>
    <row r="2290" spans="1:10" x14ac:dyDescent="0.2">
      <c r="A2290" t="s">
        <v>9</v>
      </c>
      <c r="B2290" s="6" t="s">
        <v>393</v>
      </c>
    </row>
    <row r="2291" spans="1:10" x14ac:dyDescent="0.2">
      <c r="A2291" t="s">
        <v>11</v>
      </c>
      <c r="B2291" s="6" t="s">
        <v>507</v>
      </c>
    </row>
    <row r="2292" spans="1:10" ht="16" x14ac:dyDescent="0.2">
      <c r="A2292" s="1" t="s">
        <v>12</v>
      </c>
    </row>
    <row r="2293" spans="1:10" x14ac:dyDescent="0.2">
      <c r="A2293" t="s">
        <v>13</v>
      </c>
      <c r="B2293" s="6" t="s">
        <v>14</v>
      </c>
      <c r="C2293" t="s">
        <v>2</v>
      </c>
      <c r="D2293" t="s">
        <v>7</v>
      </c>
      <c r="E2293" t="s">
        <v>15</v>
      </c>
      <c r="F2293" t="s">
        <v>5</v>
      </c>
      <c r="G2293" t="s">
        <v>338</v>
      </c>
      <c r="H2293" t="s">
        <v>339</v>
      </c>
      <c r="I2293" t="s">
        <v>11</v>
      </c>
      <c r="J2293" t="s">
        <v>4</v>
      </c>
    </row>
    <row r="2294" spans="1:10" x14ac:dyDescent="0.2">
      <c r="A2294" s="35" t="s">
        <v>533</v>
      </c>
      <c r="B2294" s="36">
        <v>1</v>
      </c>
      <c r="C2294" t="s">
        <v>1035</v>
      </c>
      <c r="D2294" s="35" t="s">
        <v>8</v>
      </c>
      <c r="E2294" s="35"/>
      <c r="F2294" s="35" t="s">
        <v>17</v>
      </c>
      <c r="G2294" s="35"/>
      <c r="H2294" s="35"/>
      <c r="I2294" s="35" t="s">
        <v>18</v>
      </c>
      <c r="J2294" s="35" t="s">
        <v>337</v>
      </c>
    </row>
    <row r="2295" spans="1:10" ht="16" x14ac:dyDescent="0.2">
      <c r="A2295" s="2" t="s">
        <v>532</v>
      </c>
      <c r="B2295" s="6">
        <v>1.00057</v>
      </c>
      <c r="C2295" t="s">
        <v>1035</v>
      </c>
      <c r="D2295" t="s">
        <v>8</v>
      </c>
      <c r="F2295" s="35" t="s">
        <v>20</v>
      </c>
      <c r="G2295" t="s">
        <v>18</v>
      </c>
      <c r="I2295" s="35"/>
      <c r="J2295" s="2" t="s">
        <v>453</v>
      </c>
    </row>
    <row r="2296" spans="1:10" x14ac:dyDescent="0.2">
      <c r="A2296" s="35" t="s">
        <v>28</v>
      </c>
      <c r="B2296" s="36">
        <v>6.7000000000000002E-3</v>
      </c>
      <c r="C2296" t="s">
        <v>1036</v>
      </c>
      <c r="D2296" s="35" t="s">
        <v>29</v>
      </c>
      <c r="E2296" s="35"/>
      <c r="F2296" s="35" t="s">
        <v>20</v>
      </c>
      <c r="G2296" s="35"/>
      <c r="H2296" s="35"/>
      <c r="I2296" s="35"/>
      <c r="J2296" s="35" t="s">
        <v>30</v>
      </c>
    </row>
    <row r="2297" spans="1:10" x14ac:dyDescent="0.2">
      <c r="A2297" s="35" t="s">
        <v>340</v>
      </c>
      <c r="B2297" s="36">
        <v>-1.6799999999999999E-4</v>
      </c>
      <c r="C2297" s="35" t="s">
        <v>31</v>
      </c>
      <c r="D2297" s="35" t="s">
        <v>8</v>
      </c>
      <c r="E2297" s="35"/>
      <c r="F2297" s="35" t="s">
        <v>20</v>
      </c>
      <c r="G2297" s="35"/>
      <c r="H2297" s="35"/>
      <c r="I2297" s="35"/>
      <c r="J2297" s="35" t="s">
        <v>341</v>
      </c>
    </row>
    <row r="2298" spans="1:10" x14ac:dyDescent="0.2">
      <c r="A2298" s="35" t="s">
        <v>342</v>
      </c>
      <c r="B2298" s="36">
        <v>5.8399999999999999E-4</v>
      </c>
      <c r="C2298" s="35" t="s">
        <v>31</v>
      </c>
      <c r="D2298" s="35" t="s">
        <v>19</v>
      </c>
      <c r="E2298" s="35"/>
      <c r="F2298" s="35" t="s">
        <v>20</v>
      </c>
      <c r="G2298" s="35"/>
      <c r="H2298" s="35"/>
      <c r="I2298" s="35"/>
      <c r="J2298" s="35" t="s">
        <v>343</v>
      </c>
    </row>
    <row r="2299" spans="1:10" x14ac:dyDescent="0.2">
      <c r="A2299" s="35" t="s">
        <v>344</v>
      </c>
      <c r="B2299" s="36">
        <v>2.5999999999999998E-10</v>
      </c>
      <c r="C2299" s="35" t="s">
        <v>31</v>
      </c>
      <c r="D2299" s="35" t="s">
        <v>7</v>
      </c>
      <c r="E2299" s="35"/>
      <c r="F2299" s="35" t="s">
        <v>20</v>
      </c>
      <c r="G2299" s="35"/>
      <c r="H2299" s="35"/>
      <c r="I2299" s="35"/>
      <c r="J2299" s="35" t="s">
        <v>345</v>
      </c>
    </row>
    <row r="2300" spans="1:10" x14ac:dyDescent="0.2">
      <c r="A2300" s="35" t="s">
        <v>346</v>
      </c>
      <c r="B2300" s="36">
        <v>-6.2700000000000001E-6</v>
      </c>
      <c r="C2300" s="35" t="s">
        <v>31</v>
      </c>
      <c r="D2300" s="35" t="s">
        <v>8</v>
      </c>
      <c r="E2300" s="35"/>
      <c r="F2300" s="35" t="s">
        <v>20</v>
      </c>
      <c r="G2300" s="35"/>
      <c r="H2300" s="35"/>
      <c r="I2300" s="35"/>
      <c r="J2300" s="35" t="s">
        <v>347</v>
      </c>
    </row>
    <row r="2301" spans="1:10" x14ac:dyDescent="0.2">
      <c r="A2301" s="35" t="s">
        <v>348</v>
      </c>
      <c r="B2301" s="36">
        <v>-7.4999999999999993E-5</v>
      </c>
      <c r="C2301" s="35" t="s">
        <v>31</v>
      </c>
      <c r="D2301" s="35" t="s">
        <v>121</v>
      </c>
      <c r="E2301" s="35"/>
      <c r="F2301" s="35" t="s">
        <v>20</v>
      </c>
      <c r="G2301" s="35"/>
      <c r="H2301" s="35"/>
      <c r="I2301" s="35"/>
      <c r="J2301" s="35" t="s">
        <v>349</v>
      </c>
    </row>
    <row r="2302" spans="1:10" x14ac:dyDescent="0.2">
      <c r="A2302" s="35" t="s">
        <v>350</v>
      </c>
      <c r="B2302" s="36">
        <v>6.8900000000000005E-4</v>
      </c>
      <c r="C2302" s="35" t="s">
        <v>31</v>
      </c>
      <c r="D2302" s="35" t="s">
        <v>8</v>
      </c>
      <c r="E2302" s="35"/>
      <c r="F2302" s="35" t="s">
        <v>20</v>
      </c>
      <c r="G2302" s="35"/>
      <c r="H2302" s="35"/>
      <c r="I2302" s="35"/>
      <c r="J2302" s="35" t="s">
        <v>351</v>
      </c>
    </row>
    <row r="2303" spans="1:10" x14ac:dyDescent="0.2">
      <c r="A2303" s="35" t="s">
        <v>100</v>
      </c>
      <c r="B2303" s="36">
        <v>3.3599999999999998E-2</v>
      </c>
      <c r="C2303" s="35" t="s">
        <v>31</v>
      </c>
      <c r="D2303" s="35" t="s">
        <v>41</v>
      </c>
      <c r="E2303" s="35"/>
      <c r="F2303" s="35" t="s">
        <v>20</v>
      </c>
      <c r="G2303" s="35"/>
      <c r="H2303" s="35"/>
      <c r="I2303" s="35"/>
      <c r="J2303" s="35" t="s">
        <v>103</v>
      </c>
    </row>
    <row r="2304" spans="1:10" x14ac:dyDescent="0.2">
      <c r="A2304" s="35" t="s">
        <v>352</v>
      </c>
      <c r="B2304" s="36">
        <v>3.2599999999999997E-2</v>
      </c>
      <c r="C2304" s="35" t="s">
        <v>572</v>
      </c>
      <c r="D2304" s="35" t="s">
        <v>41</v>
      </c>
      <c r="E2304" s="35"/>
      <c r="F2304" s="35" t="s">
        <v>20</v>
      </c>
      <c r="G2304" s="35"/>
      <c r="H2304" s="35"/>
      <c r="I2304" s="35"/>
      <c r="J2304" s="35" t="s">
        <v>353</v>
      </c>
    </row>
    <row r="2305" spans="1:10" x14ac:dyDescent="0.2">
      <c r="A2305" s="35" t="s">
        <v>354</v>
      </c>
      <c r="B2305" s="36">
        <v>-6.8899999999999999E-7</v>
      </c>
      <c r="C2305" s="35" t="s">
        <v>31</v>
      </c>
      <c r="D2305" s="35" t="s">
        <v>121</v>
      </c>
      <c r="E2305" s="35"/>
      <c r="F2305" s="35" t="s">
        <v>20</v>
      </c>
      <c r="G2305" s="35"/>
      <c r="H2305" s="35"/>
      <c r="I2305" s="35"/>
      <c r="J2305" s="35" t="s">
        <v>355</v>
      </c>
    </row>
    <row r="2306" spans="1:10" x14ac:dyDescent="0.2">
      <c r="A2306" s="35"/>
      <c r="B2306" s="36"/>
      <c r="C2306" s="35"/>
      <c r="D2306" s="35"/>
      <c r="E2306" s="35"/>
      <c r="F2306" s="35"/>
      <c r="G2306" s="35"/>
      <c r="H2306" s="35"/>
      <c r="I2306" s="35"/>
      <c r="J2306" s="35"/>
    </row>
    <row r="2307" spans="1:10" ht="16" x14ac:dyDescent="0.2">
      <c r="A2307" s="1" t="s">
        <v>1</v>
      </c>
      <c r="B2307" s="71" t="s">
        <v>96</v>
      </c>
    </row>
    <row r="2308" spans="1:10" x14ac:dyDescent="0.2">
      <c r="A2308" t="s">
        <v>2</v>
      </c>
      <c r="B2308" s="6" t="s">
        <v>1035</v>
      </c>
    </row>
    <row r="2309" spans="1:10" x14ac:dyDescent="0.2">
      <c r="A2309" t="s">
        <v>3</v>
      </c>
      <c r="B2309" s="6">
        <v>1</v>
      </c>
    </row>
    <row r="2310" spans="1:10" ht="16" x14ac:dyDescent="0.2">
      <c r="A2310" t="s">
        <v>4</v>
      </c>
      <c r="B2310" s="2" t="s">
        <v>431</v>
      </c>
    </row>
    <row r="2311" spans="1:10" x14ac:dyDescent="0.2">
      <c r="A2311" t="s">
        <v>5</v>
      </c>
      <c r="B2311" s="6" t="s">
        <v>6</v>
      </c>
    </row>
    <row r="2312" spans="1:10" x14ac:dyDescent="0.2">
      <c r="A2312" t="s">
        <v>7</v>
      </c>
      <c r="B2312" s="6" t="s">
        <v>8</v>
      </c>
    </row>
    <row r="2313" spans="1:10" x14ac:dyDescent="0.2">
      <c r="A2313" t="s">
        <v>9</v>
      </c>
      <c r="B2313" s="6" t="s">
        <v>10</v>
      </c>
    </row>
    <row r="2314" spans="1:10" x14ac:dyDescent="0.2">
      <c r="A2314" t="s">
        <v>11</v>
      </c>
      <c r="B2314" s="6" t="s">
        <v>175</v>
      </c>
    </row>
    <row r="2315" spans="1:10" x14ac:dyDescent="0.2">
      <c r="A2315" t="s">
        <v>841</v>
      </c>
      <c r="B2315" s="5">
        <f>Summary!R16</f>
        <v>15.839794265873016</v>
      </c>
    </row>
    <row r="2316" spans="1:10" x14ac:dyDescent="0.2">
      <c r="A2316" t="s">
        <v>847</v>
      </c>
      <c r="B2316" s="76">
        <f>Summary!Q16</f>
        <v>0.14000000000000001</v>
      </c>
    </row>
    <row r="2317" spans="1:10" ht="16" x14ac:dyDescent="0.2">
      <c r="A2317" s="1" t="s">
        <v>12</v>
      </c>
    </row>
    <row r="2318" spans="1:10" x14ac:dyDescent="0.2">
      <c r="A2318" t="s">
        <v>13</v>
      </c>
      <c r="B2318" s="6" t="s">
        <v>14</v>
      </c>
      <c r="C2318" t="s">
        <v>2</v>
      </c>
      <c r="D2318" t="s">
        <v>7</v>
      </c>
      <c r="E2318" t="s">
        <v>15</v>
      </c>
      <c r="F2318" t="s">
        <v>5</v>
      </c>
      <c r="G2318" t="s">
        <v>11</v>
      </c>
      <c r="H2318" t="s">
        <v>4</v>
      </c>
    </row>
    <row r="2319" spans="1:10" ht="16" x14ac:dyDescent="0.2">
      <c r="A2319" s="2" t="s">
        <v>96</v>
      </c>
      <c r="B2319" s="6">
        <v>1</v>
      </c>
      <c r="C2319" t="s">
        <v>1035</v>
      </c>
      <c r="D2319" t="s">
        <v>8</v>
      </c>
      <c r="F2319" t="s">
        <v>17</v>
      </c>
      <c r="G2319" t="s">
        <v>18</v>
      </c>
      <c r="H2319" s="2" t="s">
        <v>431</v>
      </c>
    </row>
    <row r="2320" spans="1:10" x14ac:dyDescent="0.2">
      <c r="A2320" t="s">
        <v>22</v>
      </c>
      <c r="B2320" s="6">
        <f>5200*Parameters!$B$3/Parameters!$B$10/1000</f>
        <v>0.21599526407159997</v>
      </c>
      <c r="C2320" t="s">
        <v>26</v>
      </c>
      <c r="D2320" t="s">
        <v>19</v>
      </c>
      <c r="F2320" t="s">
        <v>20</v>
      </c>
      <c r="G2320" t="s">
        <v>1044</v>
      </c>
      <c r="H2320" t="s">
        <v>23</v>
      </c>
    </row>
    <row r="2321" spans="1:8" x14ac:dyDescent="0.2">
      <c r="A2321" t="s">
        <v>78</v>
      </c>
      <c r="B2321" s="6">
        <f>802*Parameters!$B$3/Parameters!$B$10/1000</f>
        <v>3.331311572796599E-2</v>
      </c>
      <c r="C2321" t="s">
        <v>26</v>
      </c>
      <c r="D2321" t="s">
        <v>19</v>
      </c>
      <c r="F2321" t="s">
        <v>20</v>
      </c>
      <c r="G2321" t="s">
        <v>93</v>
      </c>
      <c r="H2321" t="s">
        <v>78</v>
      </c>
    </row>
    <row r="2322" spans="1:8" x14ac:dyDescent="0.2">
      <c r="A2322" t="s">
        <v>81</v>
      </c>
      <c r="B2322" s="6">
        <f>(479+1026)*Parameters!$B$3/Parameters!$B$10/1000</f>
        <v>6.2514013928414991E-2</v>
      </c>
      <c r="C2322" t="s">
        <v>26</v>
      </c>
      <c r="D2322" t="s">
        <v>19</v>
      </c>
      <c r="F2322" t="s">
        <v>20</v>
      </c>
      <c r="G2322" t="s">
        <v>1046</v>
      </c>
      <c r="H2322" t="s">
        <v>82</v>
      </c>
    </row>
    <row r="2323" spans="1:8" x14ac:dyDescent="0.2">
      <c r="A2323" t="s">
        <v>28</v>
      </c>
      <c r="B2323" s="6">
        <f>1326*Parameters!$B$3/Parameters!$B$10/1000/3.6</f>
        <v>1.5299664538404997E-2</v>
      </c>
      <c r="C2323" t="s">
        <v>1036</v>
      </c>
      <c r="D2323" t="s">
        <v>29</v>
      </c>
      <c r="F2323" t="s">
        <v>20</v>
      </c>
      <c r="G2323" t="s">
        <v>1045</v>
      </c>
      <c r="H2323" t="s">
        <v>30</v>
      </c>
    </row>
    <row r="2324" spans="1:8" x14ac:dyDescent="0.2">
      <c r="A2324" t="s">
        <v>352</v>
      </c>
      <c r="B2324" s="6">
        <f>50*Parameters!$B$9/1000</f>
        <v>8.0500000000000002E-2</v>
      </c>
      <c r="C2324" t="s">
        <v>572</v>
      </c>
      <c r="D2324" t="s">
        <v>41</v>
      </c>
      <c r="F2324" t="s">
        <v>20</v>
      </c>
      <c r="G2324" t="s">
        <v>99</v>
      </c>
      <c r="H2324" t="s">
        <v>353</v>
      </c>
    </row>
    <row r="2325" spans="1:8" x14ac:dyDescent="0.2">
      <c r="A2325" t="s">
        <v>97</v>
      </c>
      <c r="B2325" s="6">
        <f>350*Parameters!$B$9/1000</f>
        <v>0.5635</v>
      </c>
      <c r="C2325" t="s">
        <v>31</v>
      </c>
      <c r="D2325" t="s">
        <v>41</v>
      </c>
      <c r="F2325" t="s">
        <v>20</v>
      </c>
      <c r="G2325" t="s">
        <v>102</v>
      </c>
      <c r="H2325" t="s">
        <v>98</v>
      </c>
    </row>
    <row r="2326" spans="1:8" x14ac:dyDescent="0.2">
      <c r="A2326" t="s">
        <v>100</v>
      </c>
      <c r="B2326" s="6">
        <f>400*Parameters!$B$9/1000</f>
        <v>0.64400000000000002</v>
      </c>
      <c r="C2326" t="s">
        <v>31</v>
      </c>
      <c r="D2326" t="s">
        <v>41</v>
      </c>
      <c r="F2326" t="s">
        <v>20</v>
      </c>
      <c r="G2326" t="s">
        <v>101</v>
      </c>
      <c r="H2326" t="s">
        <v>103</v>
      </c>
    </row>
    <row r="2327" spans="1:8" x14ac:dyDescent="0.2">
      <c r="A2327" t="s">
        <v>42</v>
      </c>
      <c r="B2327" s="6">
        <f>0.4015/Parameters!B10/1000</f>
        <v>1.5807054999999997E-2</v>
      </c>
      <c r="C2327" t="s">
        <v>1036</v>
      </c>
      <c r="D2327" t="s">
        <v>8</v>
      </c>
      <c r="F2327" t="s">
        <v>20</v>
      </c>
      <c r="H2327" t="s">
        <v>43</v>
      </c>
    </row>
    <row r="2328" spans="1:8" x14ac:dyDescent="0.2">
      <c r="A2328" t="s">
        <v>44</v>
      </c>
      <c r="B2328" s="6">
        <f>0.1506/Parameters!B10/1000</f>
        <v>5.9291219999999993E-3</v>
      </c>
      <c r="C2328" t="s">
        <v>1036</v>
      </c>
      <c r="D2328" t="s">
        <v>8</v>
      </c>
      <c r="F2328" t="s">
        <v>20</v>
      </c>
      <c r="H2328" t="s">
        <v>45</v>
      </c>
    </row>
    <row r="2329" spans="1:8" x14ac:dyDescent="0.2">
      <c r="A2329" t="s">
        <v>46</v>
      </c>
      <c r="B2329" s="6">
        <f>0.1523/Parameters!B10/1000</f>
        <v>5.9960509999999988E-3</v>
      </c>
      <c r="C2329" t="s">
        <v>1036</v>
      </c>
      <c r="D2329" t="s">
        <v>8</v>
      </c>
      <c r="F2329" t="s">
        <v>20</v>
      </c>
      <c r="H2329" t="s">
        <v>47</v>
      </c>
    </row>
    <row r="2330" spans="1:8" ht="16" x14ac:dyDescent="0.2">
      <c r="A2330" s="7" t="s">
        <v>48</v>
      </c>
      <c r="B2330" s="6">
        <f>1.457/1000/Parameters!B10</f>
        <v>5.7362089999999998E-2</v>
      </c>
      <c r="C2330" t="s">
        <v>26</v>
      </c>
      <c r="D2330" t="s">
        <v>8</v>
      </c>
      <c r="F2330" t="s">
        <v>20</v>
      </c>
      <c r="H2330" s="7" t="s">
        <v>49</v>
      </c>
    </row>
    <row r="2331" spans="1:8" x14ac:dyDescent="0.2">
      <c r="A2331" t="s">
        <v>105</v>
      </c>
      <c r="B2331" s="6">
        <f>0.01249/1000/Parameters!B10/1000</f>
        <v>4.9173129999999992E-7</v>
      </c>
      <c r="C2331" t="s">
        <v>26</v>
      </c>
      <c r="D2331" t="s">
        <v>8</v>
      </c>
      <c r="F2331" t="s">
        <v>20</v>
      </c>
      <c r="G2331" t="s">
        <v>52</v>
      </c>
      <c r="H2331" t="s">
        <v>106</v>
      </c>
    </row>
    <row r="2332" spans="1:8" x14ac:dyDescent="0.2">
      <c r="A2332" t="s">
        <v>50</v>
      </c>
      <c r="B2332" s="6">
        <f>5.85295/1000/Parameters!B10/1000</f>
        <v>2.3043064149999999E-4</v>
      </c>
      <c r="C2332" t="s">
        <v>26</v>
      </c>
      <c r="D2332" t="s">
        <v>8</v>
      </c>
      <c r="F2332" t="s">
        <v>20</v>
      </c>
      <c r="G2332" t="s">
        <v>51</v>
      </c>
      <c r="H2332" t="s">
        <v>53</v>
      </c>
    </row>
    <row r="2333" spans="1:8" x14ac:dyDescent="0.2">
      <c r="A2333" t="s">
        <v>117</v>
      </c>
      <c r="B2333" s="6">
        <v>3.2200000000000002E-3</v>
      </c>
      <c r="C2333" t="s">
        <v>26</v>
      </c>
      <c r="D2333" t="s">
        <v>8</v>
      </c>
      <c r="F2333" t="s">
        <v>20</v>
      </c>
      <c r="G2333" t="s">
        <v>123</v>
      </c>
      <c r="H2333" t="s">
        <v>118</v>
      </c>
    </row>
    <row r="2334" spans="1:8" x14ac:dyDescent="0.2">
      <c r="A2334" t="s">
        <v>181</v>
      </c>
      <c r="B2334" s="6">
        <v>8.2529999999999998E-5</v>
      </c>
      <c r="C2334" t="s">
        <v>26</v>
      </c>
      <c r="D2334" t="s">
        <v>119</v>
      </c>
      <c r="F2334" t="s">
        <v>20</v>
      </c>
      <c r="G2334" t="s">
        <v>124</v>
      </c>
      <c r="H2334" t="s">
        <v>182</v>
      </c>
    </row>
    <row r="2335" spans="1:8" x14ac:dyDescent="0.2">
      <c r="A2335" t="s">
        <v>120</v>
      </c>
      <c r="B2335" s="6">
        <v>0.24474000000000001</v>
      </c>
      <c r="C2335" t="s">
        <v>1036</v>
      </c>
      <c r="D2335" t="s">
        <v>121</v>
      </c>
      <c r="F2335" t="s">
        <v>20</v>
      </c>
      <c r="G2335" t="s">
        <v>125</v>
      </c>
      <c r="H2335" t="s">
        <v>122</v>
      </c>
    </row>
    <row r="2336" spans="1:8" x14ac:dyDescent="0.2">
      <c r="A2336" t="s">
        <v>1031</v>
      </c>
      <c r="B2336" s="6">
        <v>1.4762999999999999</v>
      </c>
      <c r="D2336" t="s">
        <v>8</v>
      </c>
      <c r="E2336" t="s">
        <v>1032</v>
      </c>
      <c r="F2336" t="s">
        <v>36</v>
      </c>
      <c r="G2336" t="s">
        <v>478</v>
      </c>
    </row>
    <row r="2337" spans="1:7" x14ac:dyDescent="0.2">
      <c r="A2337" t="s">
        <v>108</v>
      </c>
      <c r="B2337" s="6">
        <v>15.91</v>
      </c>
      <c r="D2337" t="s">
        <v>19</v>
      </c>
      <c r="E2337" t="s">
        <v>112</v>
      </c>
      <c r="F2337" t="s">
        <v>36</v>
      </c>
      <c r="G2337" t="s">
        <v>478</v>
      </c>
    </row>
    <row r="2338" spans="1:7" x14ac:dyDescent="0.2">
      <c r="A2338" t="s">
        <v>325</v>
      </c>
      <c r="B2338" s="6">
        <f>(0.248+0.315)/Parameters!B10/1000</f>
        <v>2.2165309999999994E-2</v>
      </c>
      <c r="D2338" t="s">
        <v>8</v>
      </c>
      <c r="E2338" t="s">
        <v>37</v>
      </c>
      <c r="F2338" t="s">
        <v>36</v>
      </c>
      <c r="G2338" t="s">
        <v>1043</v>
      </c>
    </row>
    <row r="2339" spans="1:7" x14ac:dyDescent="0.2">
      <c r="A2339" t="s">
        <v>981</v>
      </c>
      <c r="B2339" s="6">
        <f>0.009194/Parameters!B10/1000</f>
        <v>3.6196777999999996E-4</v>
      </c>
      <c r="D2339" t="s">
        <v>8</v>
      </c>
      <c r="E2339" t="s">
        <v>37</v>
      </c>
      <c r="F2339" t="s">
        <v>36</v>
      </c>
      <c r="G2339" t="s">
        <v>1004</v>
      </c>
    </row>
    <row r="2340" spans="1:7" x14ac:dyDescent="0.2">
      <c r="A2340" t="s">
        <v>40</v>
      </c>
      <c r="B2340" s="6">
        <f>11.481/1000/Parameters!B10/1000</f>
        <v>4.5200696999999994E-4</v>
      </c>
      <c r="D2340" t="s">
        <v>8</v>
      </c>
      <c r="E2340" t="s">
        <v>37</v>
      </c>
      <c r="F2340" t="s">
        <v>36</v>
      </c>
      <c r="G2340" t="s">
        <v>1005</v>
      </c>
    </row>
    <row r="2341" spans="1:7" x14ac:dyDescent="0.2">
      <c r="A2341" t="s">
        <v>126</v>
      </c>
      <c r="B2341" s="6">
        <v>0.17007192792102799</v>
      </c>
      <c r="D2341" t="s">
        <v>121</v>
      </c>
      <c r="E2341" t="s">
        <v>37</v>
      </c>
      <c r="F2341" t="s">
        <v>36</v>
      </c>
      <c r="G2341" t="s">
        <v>116</v>
      </c>
    </row>
    <row r="2342" spans="1:7" x14ac:dyDescent="0.2">
      <c r="A2342" t="s">
        <v>38</v>
      </c>
      <c r="B2342" s="6">
        <v>8.3517419999999996E-5</v>
      </c>
      <c r="D2342" t="s">
        <v>8</v>
      </c>
      <c r="E2342" t="s">
        <v>169</v>
      </c>
      <c r="F2342" t="s">
        <v>36</v>
      </c>
      <c r="G2342" t="s">
        <v>116</v>
      </c>
    </row>
    <row r="2343" spans="1:7" x14ac:dyDescent="0.2">
      <c r="A2343" t="s">
        <v>127</v>
      </c>
      <c r="B2343" s="6">
        <v>1.0182310000000001E-3</v>
      </c>
      <c r="D2343" t="s">
        <v>8</v>
      </c>
      <c r="E2343" t="s">
        <v>169</v>
      </c>
      <c r="F2343" t="s">
        <v>36</v>
      </c>
      <c r="G2343" t="s">
        <v>116</v>
      </c>
    </row>
    <row r="2344" spans="1:7" x14ac:dyDescent="0.2">
      <c r="A2344" t="s">
        <v>110</v>
      </c>
      <c r="B2344" s="6">
        <f>B2346/2</f>
        <v>0.47991081325301199</v>
      </c>
      <c r="D2344" t="s">
        <v>115</v>
      </c>
      <c r="E2344" t="s">
        <v>114</v>
      </c>
      <c r="F2344" t="s">
        <v>36</v>
      </c>
      <c r="G2344" t="s">
        <v>579</v>
      </c>
    </row>
    <row r="2345" spans="1:7" x14ac:dyDescent="0.2">
      <c r="A2345" t="s">
        <v>111</v>
      </c>
      <c r="B2345" s="6">
        <f>B2346/2</f>
        <v>0.47991081325301199</v>
      </c>
      <c r="D2345" t="s">
        <v>115</v>
      </c>
      <c r="E2345" t="s">
        <v>114</v>
      </c>
      <c r="F2345" t="s">
        <v>36</v>
      </c>
      <c r="G2345" t="s">
        <v>579</v>
      </c>
    </row>
    <row r="2346" spans="1:7" x14ac:dyDescent="0.2">
      <c r="A2346" t="s">
        <v>109</v>
      </c>
      <c r="B2346" s="6">
        <v>0.95982162650602398</v>
      </c>
      <c r="D2346" t="s">
        <v>113</v>
      </c>
      <c r="E2346" t="s">
        <v>114</v>
      </c>
      <c r="F2346" t="s">
        <v>36</v>
      </c>
      <c r="G2346" t="s">
        <v>580</v>
      </c>
    </row>
    <row r="2347" spans="1:7" x14ac:dyDescent="0.2">
      <c r="A2347" t="s">
        <v>128</v>
      </c>
      <c r="B2347" s="6">
        <v>1.0107999999999999E-6</v>
      </c>
      <c r="D2347" t="s">
        <v>8</v>
      </c>
      <c r="E2347" t="s">
        <v>170</v>
      </c>
      <c r="F2347" t="s">
        <v>36</v>
      </c>
      <c r="G2347" t="s">
        <v>116</v>
      </c>
    </row>
    <row r="2348" spans="1:7" x14ac:dyDescent="0.2">
      <c r="A2348" t="s">
        <v>129</v>
      </c>
      <c r="B2348" s="6">
        <v>6.1366999999999996E-7</v>
      </c>
      <c r="D2348" t="s">
        <v>8</v>
      </c>
      <c r="E2348" t="s">
        <v>170</v>
      </c>
      <c r="F2348" t="s">
        <v>36</v>
      </c>
      <c r="G2348" t="s">
        <v>116</v>
      </c>
    </row>
    <row r="2349" spans="1:7" x14ac:dyDescent="0.2">
      <c r="A2349" t="s">
        <v>130</v>
      </c>
      <c r="B2349" s="6">
        <v>4.8131000000000003E-9</v>
      </c>
      <c r="D2349" t="s">
        <v>8</v>
      </c>
      <c r="E2349" t="s">
        <v>170</v>
      </c>
      <c r="F2349" t="s">
        <v>36</v>
      </c>
      <c r="G2349" t="s">
        <v>116</v>
      </c>
    </row>
    <row r="2350" spans="1:7" x14ac:dyDescent="0.2">
      <c r="A2350" t="s">
        <v>131</v>
      </c>
      <c r="B2350" s="6">
        <v>6.4977000000000003E-7</v>
      </c>
      <c r="D2350" t="s">
        <v>8</v>
      </c>
      <c r="E2350" t="s">
        <v>170</v>
      </c>
      <c r="F2350" t="s">
        <v>36</v>
      </c>
      <c r="G2350" t="s">
        <v>116</v>
      </c>
    </row>
    <row r="2351" spans="1:7" x14ac:dyDescent="0.2">
      <c r="A2351" t="s">
        <v>132</v>
      </c>
      <c r="B2351" s="6">
        <v>-1.5040999999999999E-6</v>
      </c>
      <c r="D2351" t="s">
        <v>8</v>
      </c>
      <c r="E2351" t="s">
        <v>170</v>
      </c>
      <c r="F2351" t="s">
        <v>36</v>
      </c>
      <c r="G2351" t="s">
        <v>116</v>
      </c>
    </row>
    <row r="2352" spans="1:7" x14ac:dyDescent="0.2">
      <c r="A2352" t="s">
        <v>133</v>
      </c>
      <c r="B2352" s="6">
        <v>1.2032999999999999E-7</v>
      </c>
      <c r="D2352" t="s">
        <v>8</v>
      </c>
      <c r="E2352" t="s">
        <v>170</v>
      </c>
      <c r="F2352" t="s">
        <v>36</v>
      </c>
      <c r="G2352" t="s">
        <v>116</v>
      </c>
    </row>
    <row r="2353" spans="1:7" x14ac:dyDescent="0.2">
      <c r="A2353" t="s">
        <v>134</v>
      </c>
      <c r="B2353" s="6">
        <v>2.4787000000000001E-6</v>
      </c>
      <c r="D2353" t="s">
        <v>8</v>
      </c>
      <c r="E2353" t="s">
        <v>170</v>
      </c>
      <c r="F2353" t="s">
        <v>36</v>
      </c>
      <c r="G2353" t="s">
        <v>116</v>
      </c>
    </row>
    <row r="2354" spans="1:7" x14ac:dyDescent="0.2">
      <c r="A2354" t="s">
        <v>135</v>
      </c>
      <c r="B2354" s="6">
        <v>1.0829E-7</v>
      </c>
      <c r="D2354" t="s">
        <v>8</v>
      </c>
      <c r="E2354" t="s">
        <v>170</v>
      </c>
      <c r="F2354" t="s">
        <v>36</v>
      </c>
      <c r="G2354" t="s">
        <v>116</v>
      </c>
    </row>
    <row r="2355" spans="1:7" x14ac:dyDescent="0.2">
      <c r="A2355" t="s">
        <v>136</v>
      </c>
      <c r="B2355" s="6">
        <v>1.0107999999999999E-6</v>
      </c>
      <c r="D2355" t="s">
        <v>8</v>
      </c>
      <c r="E2355" t="s">
        <v>170</v>
      </c>
      <c r="F2355" t="s">
        <v>36</v>
      </c>
      <c r="G2355" t="s">
        <v>116</v>
      </c>
    </row>
    <row r="2356" spans="1:7" x14ac:dyDescent="0.2">
      <c r="A2356" t="s">
        <v>137</v>
      </c>
      <c r="B2356" s="6">
        <v>2.4065000000000001E-8</v>
      </c>
      <c r="D2356" t="s">
        <v>8</v>
      </c>
      <c r="E2356" t="s">
        <v>170</v>
      </c>
      <c r="F2356" t="s">
        <v>36</v>
      </c>
      <c r="G2356" t="s">
        <v>116</v>
      </c>
    </row>
    <row r="2357" spans="1:7" x14ac:dyDescent="0.2">
      <c r="A2357" t="s">
        <v>138</v>
      </c>
      <c r="B2357" s="6">
        <v>-3.2893999999999998E-7</v>
      </c>
      <c r="D2357" t="s">
        <v>8</v>
      </c>
      <c r="E2357" t="s">
        <v>170</v>
      </c>
      <c r="F2357" t="s">
        <v>36</v>
      </c>
      <c r="G2357" t="s">
        <v>116</v>
      </c>
    </row>
    <row r="2358" spans="1:7" x14ac:dyDescent="0.2">
      <c r="A2358" t="s">
        <v>139</v>
      </c>
      <c r="B2358" s="6">
        <v>7.9416000000000001E-7</v>
      </c>
      <c r="D2358" t="s">
        <v>8</v>
      </c>
      <c r="E2358" t="s">
        <v>170</v>
      </c>
      <c r="F2358" t="s">
        <v>36</v>
      </c>
      <c r="G2358" t="s">
        <v>116</v>
      </c>
    </row>
    <row r="2359" spans="1:7" x14ac:dyDescent="0.2">
      <c r="A2359" t="s">
        <v>140</v>
      </c>
      <c r="B2359" s="6">
        <v>4.1393000000000003E-6</v>
      </c>
      <c r="D2359" t="s">
        <v>8</v>
      </c>
      <c r="E2359" t="s">
        <v>170</v>
      </c>
      <c r="F2359" t="s">
        <v>36</v>
      </c>
      <c r="G2359" t="s">
        <v>116</v>
      </c>
    </row>
    <row r="2360" spans="1:7" x14ac:dyDescent="0.2">
      <c r="A2360" t="s">
        <v>141</v>
      </c>
      <c r="B2360" s="6">
        <v>5.0537999999999999E-8</v>
      </c>
      <c r="D2360" t="s">
        <v>8</v>
      </c>
      <c r="E2360" t="s">
        <v>170</v>
      </c>
      <c r="F2360" t="s">
        <v>36</v>
      </c>
      <c r="G2360" t="s">
        <v>116</v>
      </c>
    </row>
    <row r="2361" spans="1:7" x14ac:dyDescent="0.2">
      <c r="A2361" t="s">
        <v>142</v>
      </c>
      <c r="B2361" s="6">
        <v>-5.9000999999999996E-6</v>
      </c>
      <c r="D2361" t="s">
        <v>8</v>
      </c>
      <c r="E2361" t="s">
        <v>170</v>
      </c>
      <c r="F2361" t="s">
        <v>36</v>
      </c>
      <c r="G2361" t="s">
        <v>116</v>
      </c>
    </row>
    <row r="2362" spans="1:7" x14ac:dyDescent="0.2">
      <c r="A2362" t="s">
        <v>143</v>
      </c>
      <c r="B2362" s="6">
        <v>1.5643E-6</v>
      </c>
      <c r="D2362" t="s">
        <v>8</v>
      </c>
      <c r="E2362" t="s">
        <v>170</v>
      </c>
      <c r="F2362" t="s">
        <v>36</v>
      </c>
      <c r="G2362" t="s">
        <v>116</v>
      </c>
    </row>
    <row r="2363" spans="1:7" x14ac:dyDescent="0.2">
      <c r="A2363" t="s">
        <v>144</v>
      </c>
      <c r="B2363" s="6">
        <v>2.6952999999999998E-6</v>
      </c>
      <c r="D2363" t="s">
        <v>8</v>
      </c>
      <c r="E2363" t="s">
        <v>170</v>
      </c>
      <c r="F2363" t="s">
        <v>36</v>
      </c>
      <c r="G2363" t="s">
        <v>116</v>
      </c>
    </row>
    <row r="2364" spans="1:7" x14ac:dyDescent="0.2">
      <c r="A2364" t="s">
        <v>145</v>
      </c>
      <c r="B2364" s="6">
        <v>4.4454999999999997E-8</v>
      </c>
      <c r="D2364" t="s">
        <v>8</v>
      </c>
      <c r="E2364" t="s">
        <v>170</v>
      </c>
      <c r="F2364" t="s">
        <v>36</v>
      </c>
      <c r="G2364" t="s">
        <v>116</v>
      </c>
    </row>
    <row r="2365" spans="1:7" x14ac:dyDescent="0.2">
      <c r="A2365" t="s">
        <v>146</v>
      </c>
      <c r="B2365" s="6">
        <v>3.6097999999999997E-8</v>
      </c>
      <c r="D2365" t="s">
        <v>8</v>
      </c>
      <c r="E2365" t="s">
        <v>170</v>
      </c>
      <c r="F2365" t="s">
        <v>36</v>
      </c>
      <c r="G2365" t="s">
        <v>116</v>
      </c>
    </row>
    <row r="2366" spans="1:7" x14ac:dyDescent="0.2">
      <c r="A2366" t="s">
        <v>147</v>
      </c>
      <c r="B2366" s="6">
        <v>2.1659000000000001E-7</v>
      </c>
      <c r="D2366" t="s">
        <v>8</v>
      </c>
      <c r="E2366" t="s">
        <v>170</v>
      </c>
      <c r="F2366" t="s">
        <v>36</v>
      </c>
      <c r="G2366" t="s">
        <v>116</v>
      </c>
    </row>
    <row r="2367" spans="1:7" x14ac:dyDescent="0.2">
      <c r="A2367" t="s">
        <v>148</v>
      </c>
      <c r="B2367" s="6">
        <v>-1.8835E-8</v>
      </c>
      <c r="D2367" t="s">
        <v>8</v>
      </c>
      <c r="E2367" t="s">
        <v>170</v>
      </c>
      <c r="F2367" t="s">
        <v>36</v>
      </c>
      <c r="G2367" t="s">
        <v>116</v>
      </c>
    </row>
    <row r="2368" spans="1:7" x14ac:dyDescent="0.2">
      <c r="A2368" t="s">
        <v>149</v>
      </c>
      <c r="B2368" s="6">
        <v>4.2885E-5</v>
      </c>
      <c r="D2368" t="s">
        <v>8</v>
      </c>
      <c r="E2368" t="s">
        <v>170</v>
      </c>
      <c r="F2368" t="s">
        <v>36</v>
      </c>
      <c r="G2368" t="s">
        <v>116</v>
      </c>
    </row>
    <row r="2369" spans="1:7" x14ac:dyDescent="0.2">
      <c r="A2369" t="s">
        <v>150</v>
      </c>
      <c r="B2369" s="6">
        <v>9.2460000000000006E-5</v>
      </c>
      <c r="D2369" t="s">
        <v>8</v>
      </c>
      <c r="E2369" t="s">
        <v>170</v>
      </c>
      <c r="F2369" t="s">
        <v>36</v>
      </c>
      <c r="G2369" t="s">
        <v>116</v>
      </c>
    </row>
    <row r="2370" spans="1:7" x14ac:dyDescent="0.2">
      <c r="A2370" t="s">
        <v>151</v>
      </c>
      <c r="B2370" s="6">
        <v>5.0297000000000003E-6</v>
      </c>
      <c r="D2370" t="s">
        <v>8</v>
      </c>
      <c r="E2370" t="s">
        <v>170</v>
      </c>
      <c r="F2370" t="s">
        <v>36</v>
      </c>
      <c r="G2370" t="s">
        <v>116</v>
      </c>
    </row>
    <row r="2371" spans="1:7" x14ac:dyDescent="0.2">
      <c r="A2371" t="s">
        <v>152</v>
      </c>
      <c r="B2371" s="6">
        <v>2.4306000000000001E-6</v>
      </c>
      <c r="D2371" t="s">
        <v>8</v>
      </c>
      <c r="E2371" t="s">
        <v>170</v>
      </c>
      <c r="F2371" t="s">
        <v>36</v>
      </c>
      <c r="G2371" t="s">
        <v>116</v>
      </c>
    </row>
    <row r="2372" spans="1:7" x14ac:dyDescent="0.2">
      <c r="A2372" t="s">
        <v>153</v>
      </c>
      <c r="B2372" s="6">
        <v>1.7326999999999999E-6</v>
      </c>
      <c r="D2372" t="s">
        <v>8</v>
      </c>
      <c r="E2372" t="s">
        <v>170</v>
      </c>
      <c r="F2372" t="s">
        <v>36</v>
      </c>
      <c r="G2372" t="s">
        <v>116</v>
      </c>
    </row>
    <row r="2373" spans="1:7" x14ac:dyDescent="0.2">
      <c r="A2373" t="s">
        <v>154</v>
      </c>
      <c r="B2373" s="6">
        <v>2.8878999999999998E-7</v>
      </c>
      <c r="D2373" t="s">
        <v>8</v>
      </c>
      <c r="E2373" t="s">
        <v>170</v>
      </c>
      <c r="F2373" t="s">
        <v>36</v>
      </c>
      <c r="G2373" t="s">
        <v>116</v>
      </c>
    </row>
    <row r="2374" spans="1:7" x14ac:dyDescent="0.2">
      <c r="A2374" t="s">
        <v>155</v>
      </c>
      <c r="B2374" s="6">
        <v>1.9661999999999999E-5</v>
      </c>
      <c r="D2374" t="s">
        <v>8</v>
      </c>
      <c r="E2374" t="s">
        <v>170</v>
      </c>
      <c r="F2374" t="s">
        <v>36</v>
      </c>
      <c r="G2374" t="s">
        <v>116</v>
      </c>
    </row>
    <row r="2375" spans="1:7" x14ac:dyDescent="0.2">
      <c r="A2375" t="s">
        <v>156</v>
      </c>
      <c r="B2375" s="6">
        <v>1.1911999999999999E-6</v>
      </c>
      <c r="D2375" t="s">
        <v>8</v>
      </c>
      <c r="E2375" t="s">
        <v>170</v>
      </c>
      <c r="F2375" t="s">
        <v>36</v>
      </c>
      <c r="G2375" t="s">
        <v>116</v>
      </c>
    </row>
    <row r="2376" spans="1:7" x14ac:dyDescent="0.2">
      <c r="A2376" t="s">
        <v>157</v>
      </c>
      <c r="B2376" s="6">
        <v>1.9252000000000001E-7</v>
      </c>
      <c r="D2376" t="s">
        <v>8</v>
      </c>
      <c r="E2376" t="s">
        <v>170</v>
      </c>
      <c r="F2376" t="s">
        <v>36</v>
      </c>
      <c r="G2376" t="s">
        <v>116</v>
      </c>
    </row>
    <row r="2377" spans="1:7" x14ac:dyDescent="0.2">
      <c r="A2377" t="s">
        <v>158</v>
      </c>
      <c r="B2377" s="6">
        <v>3.0442999999999998E-6</v>
      </c>
      <c r="D2377" t="s">
        <v>8</v>
      </c>
      <c r="E2377" t="s">
        <v>170</v>
      </c>
      <c r="F2377" t="s">
        <v>36</v>
      </c>
      <c r="G2377" t="s">
        <v>116</v>
      </c>
    </row>
    <row r="2378" spans="1:7" x14ac:dyDescent="0.2">
      <c r="A2378" t="s">
        <v>159</v>
      </c>
      <c r="B2378" s="6">
        <v>4.8130999999999997E-6</v>
      </c>
      <c r="D2378" t="s">
        <v>8</v>
      </c>
      <c r="E2378" t="s">
        <v>170</v>
      </c>
      <c r="F2378" t="s">
        <v>36</v>
      </c>
      <c r="G2378" t="s">
        <v>116</v>
      </c>
    </row>
    <row r="2379" spans="1:7" x14ac:dyDescent="0.2">
      <c r="A2379" t="s">
        <v>160</v>
      </c>
      <c r="B2379" s="6">
        <v>5.9441999999999998E-5</v>
      </c>
      <c r="D2379" t="s">
        <v>8</v>
      </c>
      <c r="E2379" t="s">
        <v>170</v>
      </c>
      <c r="F2379" t="s">
        <v>36</v>
      </c>
      <c r="G2379" t="s">
        <v>116</v>
      </c>
    </row>
    <row r="2380" spans="1:7" x14ac:dyDescent="0.2">
      <c r="A2380" t="s">
        <v>161</v>
      </c>
      <c r="B2380" s="6">
        <v>3.3691999999999998E-7</v>
      </c>
      <c r="D2380" t="s">
        <v>8</v>
      </c>
      <c r="E2380" t="s">
        <v>170</v>
      </c>
      <c r="F2380" t="s">
        <v>36</v>
      </c>
      <c r="G2380" t="s">
        <v>116</v>
      </c>
    </row>
    <row r="2381" spans="1:7" x14ac:dyDescent="0.2">
      <c r="A2381" t="s">
        <v>162</v>
      </c>
      <c r="B2381" s="6">
        <v>1.6846000000000001E-8</v>
      </c>
      <c r="D2381" t="s">
        <v>8</v>
      </c>
      <c r="E2381" t="s">
        <v>170</v>
      </c>
      <c r="F2381" t="s">
        <v>36</v>
      </c>
      <c r="G2381" t="s">
        <v>116</v>
      </c>
    </row>
    <row r="2382" spans="1:7" x14ac:dyDescent="0.2">
      <c r="A2382" t="s">
        <v>163</v>
      </c>
      <c r="B2382" s="6">
        <v>5.7757E-7</v>
      </c>
      <c r="D2382" t="s">
        <v>8</v>
      </c>
      <c r="E2382" t="s">
        <v>170</v>
      </c>
      <c r="F2382" t="s">
        <v>36</v>
      </c>
      <c r="G2382" t="s">
        <v>116</v>
      </c>
    </row>
    <row r="2383" spans="1:7" x14ac:dyDescent="0.2">
      <c r="A2383" t="s">
        <v>164</v>
      </c>
      <c r="B2383" s="6">
        <v>2.1658999999999999E-8</v>
      </c>
      <c r="D2383" t="s">
        <v>8</v>
      </c>
      <c r="E2383" t="s">
        <v>170</v>
      </c>
      <c r="F2383" t="s">
        <v>36</v>
      </c>
      <c r="G2383" t="s">
        <v>116</v>
      </c>
    </row>
    <row r="2384" spans="1:7" x14ac:dyDescent="0.2">
      <c r="A2384" t="s">
        <v>165</v>
      </c>
      <c r="B2384" s="6">
        <v>3.6097999999999997E-8</v>
      </c>
      <c r="D2384" t="s">
        <v>8</v>
      </c>
      <c r="E2384" t="s">
        <v>170</v>
      </c>
      <c r="F2384" t="s">
        <v>36</v>
      </c>
      <c r="G2384" t="s">
        <v>116</v>
      </c>
    </row>
    <row r="2385" spans="1:7" x14ac:dyDescent="0.2">
      <c r="A2385" t="s">
        <v>166</v>
      </c>
      <c r="B2385" s="6">
        <v>2.6472E-7</v>
      </c>
      <c r="D2385" t="s">
        <v>8</v>
      </c>
      <c r="E2385" t="s">
        <v>170</v>
      </c>
      <c r="F2385" t="s">
        <v>36</v>
      </c>
      <c r="G2385" t="s">
        <v>116</v>
      </c>
    </row>
    <row r="2386" spans="1:7" x14ac:dyDescent="0.2">
      <c r="A2386" t="s">
        <v>167</v>
      </c>
      <c r="B2386" s="6">
        <v>1.2032999999999999E-7</v>
      </c>
      <c r="D2386" t="s">
        <v>8</v>
      </c>
      <c r="E2386" t="s">
        <v>170</v>
      </c>
      <c r="F2386" t="s">
        <v>36</v>
      </c>
      <c r="G2386" t="s">
        <v>116</v>
      </c>
    </row>
    <row r="2387" spans="1:7" x14ac:dyDescent="0.2">
      <c r="A2387" t="s">
        <v>168</v>
      </c>
      <c r="B2387" s="6">
        <v>2.6436999999999998E-7</v>
      </c>
      <c r="D2387" t="s">
        <v>8</v>
      </c>
      <c r="E2387" t="s">
        <v>170</v>
      </c>
      <c r="F2387" t="s">
        <v>36</v>
      </c>
      <c r="G2387" t="s">
        <v>116</v>
      </c>
    </row>
    <row r="2388" spans="1:7" x14ac:dyDescent="0.2">
      <c r="A2388" t="s">
        <v>126</v>
      </c>
      <c r="B2388" s="6">
        <v>5.9736877488796199E-2</v>
      </c>
      <c r="D2388" t="s">
        <v>121</v>
      </c>
      <c r="E2388" t="s">
        <v>179</v>
      </c>
      <c r="F2388" t="s">
        <v>36</v>
      </c>
      <c r="G2388" t="s">
        <v>116</v>
      </c>
    </row>
    <row r="2389" spans="1:7" x14ac:dyDescent="0.2">
      <c r="A2389" t="s">
        <v>172</v>
      </c>
      <c r="B2389" s="6">
        <v>1.1639108E-2</v>
      </c>
      <c r="D2389" t="s">
        <v>8</v>
      </c>
      <c r="E2389" t="s">
        <v>179</v>
      </c>
      <c r="F2389" t="s">
        <v>36</v>
      </c>
      <c r="G2389" t="s">
        <v>116</v>
      </c>
    </row>
    <row r="2390" spans="1:7" x14ac:dyDescent="0.2">
      <c r="A2390" t="s">
        <v>126</v>
      </c>
      <c r="B2390" s="6">
        <v>1.4934219372198999E-2</v>
      </c>
      <c r="D2390" t="s">
        <v>121</v>
      </c>
      <c r="E2390" t="s">
        <v>171</v>
      </c>
      <c r="F2390" t="s">
        <v>36</v>
      </c>
      <c r="G2390" t="s">
        <v>116</v>
      </c>
    </row>
    <row r="2391" spans="1:7" x14ac:dyDescent="0.2">
      <c r="A2391" t="s">
        <v>173</v>
      </c>
      <c r="B2391" s="6">
        <v>9.7541999999999995E-5</v>
      </c>
      <c r="D2391" t="s">
        <v>8</v>
      </c>
      <c r="E2391" t="s">
        <v>171</v>
      </c>
      <c r="F2391" t="s">
        <v>36</v>
      </c>
      <c r="G2391" t="s">
        <v>116</v>
      </c>
    </row>
    <row r="2392" spans="1:7" x14ac:dyDescent="0.2">
      <c r="A2392" t="s">
        <v>174</v>
      </c>
      <c r="B2392" s="6">
        <v>7.5147999999999996E-6</v>
      </c>
      <c r="D2392" t="s">
        <v>8</v>
      </c>
      <c r="E2392" t="s">
        <v>171</v>
      </c>
      <c r="F2392" t="s">
        <v>36</v>
      </c>
      <c r="G2392" t="s">
        <v>116</v>
      </c>
    </row>
    <row r="2394" spans="1:7" ht="16" x14ac:dyDescent="0.2">
      <c r="A2394" s="1" t="s">
        <v>1</v>
      </c>
      <c r="B2394" s="71" t="s">
        <v>429</v>
      </c>
    </row>
    <row r="2395" spans="1:7" x14ac:dyDescent="0.2">
      <c r="A2395" t="s">
        <v>2</v>
      </c>
      <c r="B2395" s="6" t="s">
        <v>1035</v>
      </c>
    </row>
    <row r="2396" spans="1:7" x14ac:dyDescent="0.2">
      <c r="A2396" t="s">
        <v>3</v>
      </c>
      <c r="B2396" s="6">
        <v>1</v>
      </c>
    </row>
    <row r="2397" spans="1:7" ht="16" x14ac:dyDescent="0.2">
      <c r="A2397" t="s">
        <v>4</v>
      </c>
      <c r="B2397" s="72" t="s">
        <v>430</v>
      </c>
    </row>
    <row r="2398" spans="1:7" x14ac:dyDescent="0.2">
      <c r="A2398" t="s">
        <v>5</v>
      </c>
      <c r="B2398" s="6" t="s">
        <v>6</v>
      </c>
    </row>
    <row r="2399" spans="1:7" x14ac:dyDescent="0.2">
      <c r="A2399" t="s">
        <v>7</v>
      </c>
      <c r="B2399" s="6" t="s">
        <v>8</v>
      </c>
    </row>
    <row r="2400" spans="1:7" x14ac:dyDescent="0.2">
      <c r="A2400" t="s">
        <v>9</v>
      </c>
      <c r="B2400" s="6" t="s">
        <v>10</v>
      </c>
    </row>
    <row r="2401" spans="1:8" x14ac:dyDescent="0.2">
      <c r="A2401" t="s">
        <v>11</v>
      </c>
      <c r="B2401" s="6" t="s">
        <v>556</v>
      </c>
    </row>
    <row r="2402" spans="1:8" x14ac:dyDescent="0.2">
      <c r="A2402" t="s">
        <v>497</v>
      </c>
      <c r="B2402" s="70">
        <f>Summary!O113</f>
        <v>0.73917989230142067</v>
      </c>
    </row>
    <row r="2403" spans="1:8" ht="16" x14ac:dyDescent="0.2">
      <c r="A2403" s="1" t="s">
        <v>12</v>
      </c>
    </row>
    <row r="2404" spans="1:8" x14ac:dyDescent="0.2">
      <c r="A2404" t="s">
        <v>13</v>
      </c>
      <c r="B2404" s="6" t="s">
        <v>14</v>
      </c>
      <c r="C2404" t="s">
        <v>2</v>
      </c>
      <c r="D2404" t="s">
        <v>7</v>
      </c>
      <c r="E2404" t="s">
        <v>15</v>
      </c>
      <c r="F2404" t="s">
        <v>5</v>
      </c>
      <c r="G2404" t="s">
        <v>11</v>
      </c>
      <c r="H2404" t="s">
        <v>4</v>
      </c>
    </row>
    <row r="2405" spans="1:8" ht="16" x14ac:dyDescent="0.2">
      <c r="A2405" s="2" t="s">
        <v>429</v>
      </c>
      <c r="B2405" s="6">
        <v>1</v>
      </c>
      <c r="C2405" t="s">
        <v>1035</v>
      </c>
      <c r="D2405" t="s">
        <v>8</v>
      </c>
      <c r="F2405" t="s">
        <v>17</v>
      </c>
      <c r="G2405" t="s">
        <v>18</v>
      </c>
      <c r="H2405" s="2" t="s">
        <v>430</v>
      </c>
    </row>
    <row r="2406" spans="1:8" ht="16" x14ac:dyDescent="0.2">
      <c r="A2406" s="2" t="s">
        <v>96</v>
      </c>
      <c r="B2406" s="6">
        <f>(1/((Parameters!$C$58*Parameters!$B$4*Parameters!$B$12)/1000))*Parameters!C63</f>
        <v>2.5366279208115974</v>
      </c>
      <c r="C2406" t="s">
        <v>1035</v>
      </c>
      <c r="D2406" t="s">
        <v>8</v>
      </c>
      <c r="F2406" t="s">
        <v>20</v>
      </c>
      <c r="G2406" t="s">
        <v>18</v>
      </c>
      <c r="H2406" s="2" t="s">
        <v>431</v>
      </c>
    </row>
    <row r="2407" spans="1:8" ht="16" x14ac:dyDescent="0.2">
      <c r="A2407" s="2" t="s">
        <v>438</v>
      </c>
      <c r="B2407" s="6">
        <f>(22812*Parameters!$B$3)/(Parameters!$B$4*Parameters!$B$12)*Parameters!C63</f>
        <v>6.8262054727428154</v>
      </c>
      <c r="C2407" t="s">
        <v>31</v>
      </c>
      <c r="D2407" t="s">
        <v>19</v>
      </c>
      <c r="F2407" t="s">
        <v>20</v>
      </c>
      <c r="G2407" t="s">
        <v>1047</v>
      </c>
      <c r="H2407" s="2" t="s">
        <v>439</v>
      </c>
    </row>
    <row r="2408" spans="1:8" ht="16" x14ac:dyDescent="0.2">
      <c r="A2408" s="2" t="s">
        <v>28</v>
      </c>
      <c r="B2408" s="6">
        <f>((2126*Parameters!$B$3/3.6)/(Parameters!$B$4*Parameters!$B$12))*Parameters!C63</f>
        <v>0.17671635828914636</v>
      </c>
      <c r="C2408" t="s">
        <v>1036</v>
      </c>
      <c r="D2408" t="s">
        <v>29</v>
      </c>
      <c r="F2408" t="s">
        <v>20</v>
      </c>
      <c r="H2408" s="2" t="s">
        <v>30</v>
      </c>
    </row>
    <row r="2409" spans="1:8" ht="16" x14ac:dyDescent="0.2">
      <c r="A2409" s="2" t="s">
        <v>384</v>
      </c>
      <c r="B2409" s="6">
        <f>((2.76/1000)/(Parameters!$B$4*Parameters!$B$12))*Parameters!$C$63</f>
        <v>7.8279781607405654E-4</v>
      </c>
      <c r="C2409" t="s">
        <v>26</v>
      </c>
      <c r="D2409" t="s">
        <v>8</v>
      </c>
      <c r="F2409" t="s">
        <v>20</v>
      </c>
      <c r="G2409" t="s">
        <v>386</v>
      </c>
      <c r="H2409" s="2" t="s">
        <v>385</v>
      </c>
    </row>
    <row r="2410" spans="1:8" ht="16" x14ac:dyDescent="0.2">
      <c r="A2410" s="2" t="s">
        <v>252</v>
      </c>
      <c r="B2410" s="6">
        <f>((4.68/1000)/(Parameters!$B$4*Parameters!$B$12))*Parameters!$C$63</f>
        <v>1.3273528185603568E-3</v>
      </c>
      <c r="C2410" t="s">
        <v>31</v>
      </c>
      <c r="D2410" t="s">
        <v>8</v>
      </c>
      <c r="F2410" t="s">
        <v>20</v>
      </c>
      <c r="H2410" s="2" t="s">
        <v>253</v>
      </c>
    </row>
    <row r="2411" spans="1:8" ht="16" x14ac:dyDescent="0.2">
      <c r="A2411" s="2" t="s">
        <v>254</v>
      </c>
      <c r="B2411" s="6">
        <f>((17.93/1000)/(Parameters!$B$4*Parameters!$B$12))*Parameters!$C$63</f>
        <v>5.0853495805100839E-3</v>
      </c>
      <c r="C2411" t="s">
        <v>255</v>
      </c>
      <c r="D2411" t="s">
        <v>8</v>
      </c>
      <c r="F2411" t="s">
        <v>20</v>
      </c>
      <c r="H2411" s="2" t="s">
        <v>256</v>
      </c>
    </row>
    <row r="2412" spans="1:8" ht="16" x14ac:dyDescent="0.2">
      <c r="A2412" s="2" t="s">
        <v>370</v>
      </c>
      <c r="B2412" s="6">
        <f>((10.73/1000)/(Parameters!$B$4*Parameters!$B$12))*Parameters!$C$63</f>
        <v>3.043268321186459E-3</v>
      </c>
      <c r="C2412" t="s">
        <v>31</v>
      </c>
      <c r="D2412" t="s">
        <v>8</v>
      </c>
      <c r="F2412" t="s">
        <v>20</v>
      </c>
      <c r="G2412" t="s">
        <v>387</v>
      </c>
      <c r="H2412" s="2" t="s">
        <v>371</v>
      </c>
    </row>
    <row r="2413" spans="1:8" ht="16" x14ac:dyDescent="0.2">
      <c r="A2413" s="2" t="s">
        <v>388</v>
      </c>
      <c r="B2413" s="6">
        <f>((22.49/1000)/(Parameters!$B$4*Parameters!$B$12))*Parameters!$C$63</f>
        <v>6.3786677114150477E-3</v>
      </c>
      <c r="C2413" t="s">
        <v>26</v>
      </c>
      <c r="D2413" t="s">
        <v>8</v>
      </c>
      <c r="F2413" t="s">
        <v>20</v>
      </c>
      <c r="G2413" t="s">
        <v>390</v>
      </c>
      <c r="H2413" s="2" t="s">
        <v>389</v>
      </c>
    </row>
    <row r="2414" spans="1:8" x14ac:dyDescent="0.2">
      <c r="A2414" t="s">
        <v>265</v>
      </c>
      <c r="B2414" s="6">
        <f>(B2336*B2406)-Parameters!$B$15</f>
        <v>1.830823799494161</v>
      </c>
      <c r="D2414" t="s">
        <v>8</v>
      </c>
      <c r="E2414" t="s">
        <v>37</v>
      </c>
      <c r="F2414" t="s">
        <v>36</v>
      </c>
      <c r="G2414" t="s">
        <v>428</v>
      </c>
    </row>
    <row r="2415" spans="1:8" x14ac:dyDescent="0.2">
      <c r="A2415" t="s">
        <v>306</v>
      </c>
      <c r="B2415" s="6">
        <f>1/(90000000*20)</f>
        <v>5.5555555555555553E-10</v>
      </c>
      <c r="C2415" t="s">
        <v>26</v>
      </c>
      <c r="D2415" t="s">
        <v>7</v>
      </c>
      <c r="F2415" t="s">
        <v>20</v>
      </c>
      <c r="G2415" t="s">
        <v>308</v>
      </c>
      <c r="H2415" t="s">
        <v>307</v>
      </c>
    </row>
    <row r="2416" spans="1:8" ht="16" x14ac:dyDescent="0.2">
      <c r="A2416" s="2"/>
      <c r="H2416" s="2"/>
    </row>
    <row r="2417" spans="1:8" ht="16" x14ac:dyDescent="0.2">
      <c r="A2417" s="1" t="s">
        <v>1</v>
      </c>
      <c r="B2417" s="71" t="s">
        <v>432</v>
      </c>
    </row>
    <row r="2418" spans="1:8" x14ac:dyDescent="0.2">
      <c r="A2418" t="s">
        <v>2</v>
      </c>
      <c r="B2418" s="6" t="s">
        <v>1035</v>
      </c>
    </row>
    <row r="2419" spans="1:8" x14ac:dyDescent="0.2">
      <c r="A2419" t="s">
        <v>3</v>
      </c>
      <c r="B2419" s="6">
        <v>1</v>
      </c>
    </row>
    <row r="2420" spans="1:8" ht="16" x14ac:dyDescent="0.2">
      <c r="A2420" t="s">
        <v>4</v>
      </c>
      <c r="B2420" s="72" t="s">
        <v>430</v>
      </c>
    </row>
    <row r="2421" spans="1:8" x14ac:dyDescent="0.2">
      <c r="A2421" t="s">
        <v>5</v>
      </c>
      <c r="B2421" s="6" t="s">
        <v>6</v>
      </c>
    </row>
    <row r="2422" spans="1:8" x14ac:dyDescent="0.2">
      <c r="A2422" t="s">
        <v>7</v>
      </c>
      <c r="B2422" s="6" t="s">
        <v>8</v>
      </c>
    </row>
    <row r="2423" spans="1:8" x14ac:dyDescent="0.2">
      <c r="A2423" t="s">
        <v>9</v>
      </c>
      <c r="B2423" s="6" t="s">
        <v>10</v>
      </c>
    </row>
    <row r="2424" spans="1:8" x14ac:dyDescent="0.2">
      <c r="A2424" t="s">
        <v>11</v>
      </c>
      <c r="B2424" s="6" t="s">
        <v>557</v>
      </c>
    </row>
    <row r="2425" spans="1:8" x14ac:dyDescent="0.2">
      <c r="A2425" t="s">
        <v>497</v>
      </c>
      <c r="B2425" s="70">
        <f>Summary!O44</f>
        <v>0.97218224965730304</v>
      </c>
    </row>
    <row r="2426" spans="1:8" ht="16" x14ac:dyDescent="0.2">
      <c r="A2426" s="1" t="s">
        <v>12</v>
      </c>
    </row>
    <row r="2427" spans="1:8" x14ac:dyDescent="0.2">
      <c r="A2427" t="s">
        <v>13</v>
      </c>
      <c r="B2427" s="6" t="s">
        <v>14</v>
      </c>
      <c r="C2427" t="s">
        <v>2</v>
      </c>
      <c r="D2427" t="s">
        <v>7</v>
      </c>
      <c r="E2427" t="s">
        <v>15</v>
      </c>
      <c r="F2427" t="s">
        <v>5</v>
      </c>
      <c r="G2427" t="s">
        <v>11</v>
      </c>
      <c r="H2427" t="s">
        <v>4</v>
      </c>
    </row>
    <row r="2428" spans="1:8" ht="16" x14ac:dyDescent="0.2">
      <c r="A2428" s="2" t="s">
        <v>432</v>
      </c>
      <c r="B2428" s="6">
        <v>1</v>
      </c>
      <c r="C2428" t="s">
        <v>1035</v>
      </c>
      <c r="D2428" t="s">
        <v>8</v>
      </c>
      <c r="F2428" t="s">
        <v>17</v>
      </c>
      <c r="G2428" t="s">
        <v>18</v>
      </c>
      <c r="H2428" s="2" t="s">
        <v>430</v>
      </c>
    </row>
    <row r="2429" spans="1:8" ht="16" x14ac:dyDescent="0.2">
      <c r="A2429" s="2" t="s">
        <v>96</v>
      </c>
      <c r="B2429" s="6">
        <f>(1/((Parameters!$C$58*Parameters!$B$4*Parameters!$B$12)/1000))*Parameters!C64</f>
        <v>1.9286757745013801</v>
      </c>
      <c r="C2429" t="s">
        <v>1035</v>
      </c>
      <c r="D2429" t="s">
        <v>8</v>
      </c>
      <c r="F2429" t="s">
        <v>20</v>
      </c>
      <c r="G2429" t="s">
        <v>18</v>
      </c>
      <c r="H2429" s="2" t="s">
        <v>431</v>
      </c>
    </row>
    <row r="2430" spans="1:8" ht="16" x14ac:dyDescent="0.2">
      <c r="A2430" s="2" t="s">
        <v>438</v>
      </c>
      <c r="B2430" s="6">
        <f>(22812*Parameters!$B$3)/(Parameters!$B$4*Parameters!$B$12)*Parameters!C64</f>
        <v>5.1901727561350333</v>
      </c>
      <c r="C2430" t="s">
        <v>31</v>
      </c>
      <c r="D2430" t="s">
        <v>19</v>
      </c>
      <c r="F2430" t="s">
        <v>20</v>
      </c>
      <c r="G2430" t="s">
        <v>1027</v>
      </c>
      <c r="H2430" s="2" t="s">
        <v>439</v>
      </c>
    </row>
    <row r="2431" spans="1:8" ht="16" x14ac:dyDescent="0.2">
      <c r="A2431" s="2" t="s">
        <v>28</v>
      </c>
      <c r="B2431" s="6">
        <f>(2126*Parameters!$B$3/3.6)/(Parameters!$B$4*Parameters!$B$12)*Parameters!C64</f>
        <v>0.13436285093059064</v>
      </c>
      <c r="C2431" t="s">
        <v>1036</v>
      </c>
      <c r="D2431" t="s">
        <v>29</v>
      </c>
      <c r="F2431" t="s">
        <v>20</v>
      </c>
      <c r="H2431" s="2" t="s">
        <v>30</v>
      </c>
    </row>
    <row r="2432" spans="1:8" ht="16" x14ac:dyDescent="0.2">
      <c r="A2432" s="2" t="s">
        <v>384</v>
      </c>
      <c r="B2432" s="6">
        <f>((2.76/1000)/(Parameters!$B$4*Parameters!$B$12))*Parameters!$C$64</f>
        <v>5.9518511635382808E-4</v>
      </c>
      <c r="C2432" t="s">
        <v>26</v>
      </c>
      <c r="D2432" t="s">
        <v>8</v>
      </c>
      <c r="F2432" t="s">
        <v>20</v>
      </c>
      <c r="G2432" t="s">
        <v>386</v>
      </c>
      <c r="H2432" s="2" t="s">
        <v>385</v>
      </c>
    </row>
    <row r="2433" spans="1:8" ht="16" x14ac:dyDescent="0.2">
      <c r="A2433" s="2" t="s">
        <v>252</v>
      </c>
      <c r="B2433" s="6">
        <f>((4.68/1000)/(Parameters!$B$4*Parameters!$B$12))*Parameters!$C$64</f>
        <v>1.0092269364260565E-3</v>
      </c>
      <c r="C2433" t="s">
        <v>31</v>
      </c>
      <c r="D2433" t="s">
        <v>8</v>
      </c>
      <c r="F2433" t="s">
        <v>20</v>
      </c>
      <c r="H2433" s="2" t="s">
        <v>253</v>
      </c>
    </row>
    <row r="2434" spans="1:8" ht="16" x14ac:dyDescent="0.2">
      <c r="A2434" s="2" t="s">
        <v>254</v>
      </c>
      <c r="B2434" s="6">
        <f>((17.93/1000)/(Parameters!$B$4*Parameters!$B$12))*Parameters!$C$64</f>
        <v>3.8665467884870059E-3</v>
      </c>
      <c r="C2434" t="s">
        <v>255</v>
      </c>
      <c r="D2434" t="s">
        <v>8</v>
      </c>
      <c r="F2434" t="s">
        <v>20</v>
      </c>
      <c r="H2434" s="2" t="s">
        <v>256</v>
      </c>
    </row>
    <row r="2435" spans="1:8" ht="16" x14ac:dyDescent="0.2">
      <c r="A2435" s="2" t="s">
        <v>370</v>
      </c>
      <c r="B2435" s="6">
        <f>((10.73/1000)/(Parameters!$B$4*Parameters!$B$12))*Parameters!$C$64</f>
        <v>2.3138899632161509E-3</v>
      </c>
      <c r="C2435" t="s">
        <v>31</v>
      </c>
      <c r="D2435" t="s">
        <v>8</v>
      </c>
      <c r="F2435" t="s">
        <v>20</v>
      </c>
      <c r="G2435" t="s">
        <v>387</v>
      </c>
      <c r="H2435" s="2" t="s">
        <v>371</v>
      </c>
    </row>
    <row r="2436" spans="1:8" ht="16" x14ac:dyDescent="0.2">
      <c r="A2436" s="2" t="s">
        <v>388</v>
      </c>
      <c r="B2436" s="6">
        <f>((22.49/1000)/(Parameters!$B$4*Parameters!$B$12))*Parameters!$C$64</f>
        <v>4.8498961111585488E-3</v>
      </c>
      <c r="C2436" t="s">
        <v>26</v>
      </c>
      <c r="D2436" t="s">
        <v>8</v>
      </c>
      <c r="F2436" t="s">
        <v>20</v>
      </c>
      <c r="G2436" t="s">
        <v>390</v>
      </c>
      <c r="H2436" s="2" t="s">
        <v>389</v>
      </c>
    </row>
    <row r="2437" spans="1:8" x14ac:dyDescent="0.2">
      <c r="A2437" t="s">
        <v>265</v>
      </c>
      <c r="B2437" s="6">
        <f>(B2336*B2429)-Parameters!$B$15</f>
        <v>0.93330404589638749</v>
      </c>
      <c r="D2437" t="s">
        <v>8</v>
      </c>
      <c r="E2437" t="s">
        <v>37</v>
      </c>
      <c r="F2437" t="s">
        <v>36</v>
      </c>
      <c r="G2437" t="s">
        <v>428</v>
      </c>
    </row>
    <row r="2438" spans="1:8" x14ac:dyDescent="0.2">
      <c r="A2438" t="s">
        <v>306</v>
      </c>
      <c r="B2438" s="6">
        <f>1/(90000000*20)</f>
        <v>5.5555555555555553E-10</v>
      </c>
      <c r="C2438" t="s">
        <v>26</v>
      </c>
      <c r="D2438" t="s">
        <v>7</v>
      </c>
      <c r="F2438" t="s">
        <v>20</v>
      </c>
      <c r="G2438" t="s">
        <v>308</v>
      </c>
      <c r="H2438" t="s">
        <v>307</v>
      </c>
    </row>
    <row r="2439" spans="1:8" ht="16" x14ac:dyDescent="0.2">
      <c r="A2439" s="2"/>
      <c r="H2439" s="2"/>
    </row>
    <row r="2440" spans="1:8" ht="16" x14ac:dyDescent="0.2">
      <c r="A2440" s="1" t="s">
        <v>1</v>
      </c>
      <c r="B2440" s="71" t="s">
        <v>534</v>
      </c>
    </row>
    <row r="2441" spans="1:8" x14ac:dyDescent="0.2">
      <c r="A2441" t="s">
        <v>2</v>
      </c>
      <c r="B2441" s="6" t="s">
        <v>1035</v>
      </c>
    </row>
    <row r="2442" spans="1:8" x14ac:dyDescent="0.2">
      <c r="A2442" t="s">
        <v>3</v>
      </c>
      <c r="B2442" s="6">
        <v>1</v>
      </c>
    </row>
    <row r="2443" spans="1:8" ht="16" x14ac:dyDescent="0.2">
      <c r="A2443" t="s">
        <v>4</v>
      </c>
      <c r="B2443" s="72" t="s">
        <v>430</v>
      </c>
    </row>
    <row r="2444" spans="1:8" x14ac:dyDescent="0.2">
      <c r="A2444" t="s">
        <v>5</v>
      </c>
      <c r="B2444" s="6" t="s">
        <v>6</v>
      </c>
    </row>
    <row r="2445" spans="1:8" x14ac:dyDescent="0.2">
      <c r="A2445" t="s">
        <v>7</v>
      </c>
      <c r="B2445" s="6" t="s">
        <v>8</v>
      </c>
    </row>
    <row r="2446" spans="1:8" x14ac:dyDescent="0.2">
      <c r="A2446" t="s">
        <v>9</v>
      </c>
      <c r="B2446" s="6" t="s">
        <v>10</v>
      </c>
    </row>
    <row r="2447" spans="1:8" x14ac:dyDescent="0.2">
      <c r="A2447" t="s">
        <v>11</v>
      </c>
      <c r="B2447" s="6" t="s">
        <v>558</v>
      </c>
    </row>
    <row r="2448" spans="1:8" x14ac:dyDescent="0.2">
      <c r="A2448" t="s">
        <v>497</v>
      </c>
      <c r="B2448" s="70">
        <f>Summary!O151</f>
        <v>0.62608536877930321</v>
      </c>
    </row>
    <row r="2449" spans="1:9" ht="16" x14ac:dyDescent="0.2">
      <c r="A2449" s="1" t="s">
        <v>12</v>
      </c>
    </row>
    <row r="2450" spans="1:9" x14ac:dyDescent="0.2">
      <c r="A2450" t="s">
        <v>13</v>
      </c>
      <c r="B2450" s="6" t="s">
        <v>14</v>
      </c>
      <c r="C2450" t="s">
        <v>2</v>
      </c>
      <c r="D2450" t="s">
        <v>7</v>
      </c>
      <c r="E2450" t="s">
        <v>15</v>
      </c>
      <c r="F2450" t="s">
        <v>5</v>
      </c>
      <c r="G2450" t="s">
        <v>11</v>
      </c>
      <c r="H2450" t="s">
        <v>4</v>
      </c>
    </row>
    <row r="2451" spans="1:9" ht="16" x14ac:dyDescent="0.2">
      <c r="A2451" s="2" t="s">
        <v>534</v>
      </c>
      <c r="B2451" s="6">
        <v>1</v>
      </c>
      <c r="C2451" t="s">
        <v>1035</v>
      </c>
      <c r="D2451" t="s">
        <v>8</v>
      </c>
      <c r="F2451" t="s">
        <v>17</v>
      </c>
      <c r="G2451" t="s">
        <v>18</v>
      </c>
      <c r="H2451" s="2" t="s">
        <v>430</v>
      </c>
    </row>
    <row r="2452" spans="1:9" ht="16" x14ac:dyDescent="0.2">
      <c r="A2452" s="2" t="s">
        <v>96</v>
      </c>
      <c r="B2452" s="6">
        <f>(1/((Parameters!$C$58*Parameters!$B$4*Parameters!$B$12)/1000))</f>
        <v>2.9948381591636335</v>
      </c>
      <c r="C2452" t="s">
        <v>1035</v>
      </c>
      <c r="D2452" t="s">
        <v>8</v>
      </c>
      <c r="F2452" t="s">
        <v>20</v>
      </c>
      <c r="G2452" t="s">
        <v>18</v>
      </c>
      <c r="H2452" s="2" t="s">
        <v>431</v>
      </c>
    </row>
    <row r="2453" spans="1:9" ht="16" x14ac:dyDescent="0.2">
      <c r="A2453" s="2" t="s">
        <v>438</v>
      </c>
      <c r="B2453" s="6">
        <f>(22812*Parameters!$B$3)/(Parameters!$B$4*Parameters!$B$12)</f>
        <v>8.0592744660481888</v>
      </c>
      <c r="C2453" t="s">
        <v>31</v>
      </c>
      <c r="D2453" t="s">
        <v>19</v>
      </c>
      <c r="F2453" t="s">
        <v>20</v>
      </c>
      <c r="G2453" t="s">
        <v>1027</v>
      </c>
      <c r="H2453" s="2" t="s">
        <v>439</v>
      </c>
    </row>
    <row r="2454" spans="1:9" ht="16" x14ac:dyDescent="0.2">
      <c r="A2454" s="2" t="s">
        <v>28</v>
      </c>
      <c r="B2454" s="6">
        <f>(2126*Parameters!$B$3/3.6)/(Parameters!$B$4*Parameters!$B$12)</f>
        <v>0.20863796728352582</v>
      </c>
      <c r="C2454" t="s">
        <v>1036</v>
      </c>
      <c r="D2454" t="s">
        <v>29</v>
      </c>
      <c r="F2454" t="s">
        <v>20</v>
      </c>
      <c r="H2454" s="2" t="s">
        <v>30</v>
      </c>
    </row>
    <row r="2455" spans="1:9" ht="16" x14ac:dyDescent="0.2">
      <c r="A2455" s="2" t="s">
        <v>384</v>
      </c>
      <c r="B2455" s="6">
        <f>((2.76/1000)/(Parameters!$B$4*Parameters!$B$12))</f>
        <v>9.2420049123265234E-4</v>
      </c>
      <c r="C2455" t="s">
        <v>26</v>
      </c>
      <c r="D2455" t="s">
        <v>8</v>
      </c>
      <c r="F2455" t="s">
        <v>20</v>
      </c>
      <c r="G2455" t="s">
        <v>386</v>
      </c>
      <c r="H2455" s="2" t="s">
        <v>385</v>
      </c>
    </row>
    <row r="2456" spans="1:9" ht="16" x14ac:dyDescent="0.2">
      <c r="A2456" s="2" t="s">
        <v>252</v>
      </c>
      <c r="B2456" s="6">
        <f>((4.68/1000)/(Parameters!$B$4*Parameters!$B$12))</f>
        <v>1.5671225720901498E-3</v>
      </c>
      <c r="C2456" t="s">
        <v>31</v>
      </c>
      <c r="D2456" t="s">
        <v>8</v>
      </c>
      <c r="F2456" t="s">
        <v>20</v>
      </c>
      <c r="H2456" s="2" t="s">
        <v>253</v>
      </c>
    </row>
    <row r="2457" spans="1:9" ht="16" x14ac:dyDescent="0.2">
      <c r="A2457" s="2" t="s">
        <v>254</v>
      </c>
      <c r="B2457" s="6">
        <f>((17.93/1000)/(Parameters!$B$4*Parameters!$B$12))</f>
        <v>6.0039546405077733E-3</v>
      </c>
      <c r="C2457" t="s">
        <v>255</v>
      </c>
      <c r="D2457" t="s">
        <v>8</v>
      </c>
      <c r="F2457" t="s">
        <v>20</v>
      </c>
      <c r="H2457" s="2" t="s">
        <v>256</v>
      </c>
    </row>
    <row r="2458" spans="1:9" ht="16" x14ac:dyDescent="0.2">
      <c r="A2458" s="2" t="s">
        <v>370</v>
      </c>
      <c r="B2458" s="6">
        <f>((10.73/1000)/(Parameters!$B$4*Parameters!$B$12))</f>
        <v>3.5929968372921594E-3</v>
      </c>
      <c r="C2458" t="s">
        <v>31</v>
      </c>
      <c r="D2458" t="s">
        <v>8</v>
      </c>
      <c r="F2458" t="s">
        <v>20</v>
      </c>
      <c r="G2458" t="s">
        <v>387</v>
      </c>
      <c r="H2458" s="2" t="s">
        <v>371</v>
      </c>
    </row>
    <row r="2459" spans="1:9" ht="16" x14ac:dyDescent="0.2">
      <c r="A2459" s="2" t="s">
        <v>388</v>
      </c>
      <c r="B2459" s="6">
        <f>((22.49/1000)/(Parameters!$B$4*Parameters!$B$12))</f>
        <v>7.5308945825443303E-3</v>
      </c>
      <c r="C2459" t="s">
        <v>26</v>
      </c>
      <c r="D2459" t="s">
        <v>8</v>
      </c>
      <c r="F2459" t="s">
        <v>20</v>
      </c>
      <c r="G2459" t="s">
        <v>390</v>
      </c>
      <c r="H2459" s="2" t="s">
        <v>389</v>
      </c>
    </row>
    <row r="2460" spans="1:9" x14ac:dyDescent="0.2">
      <c r="A2460" t="s">
        <v>265</v>
      </c>
      <c r="B2460" s="6">
        <f>(B2336*B2452)-Parameters!$B$15</f>
        <v>2.5072795743732721</v>
      </c>
      <c r="D2460" t="s">
        <v>8</v>
      </c>
      <c r="E2460" t="s">
        <v>37</v>
      </c>
      <c r="F2460" t="s">
        <v>36</v>
      </c>
      <c r="G2460" t="s">
        <v>428</v>
      </c>
    </row>
    <row r="2461" spans="1:9" x14ac:dyDescent="0.2">
      <c r="A2461" t="s">
        <v>306</v>
      </c>
      <c r="B2461" s="6">
        <f>1/(90000000*20)</f>
        <v>5.5555555555555553E-10</v>
      </c>
      <c r="C2461" t="s">
        <v>26</v>
      </c>
      <c r="D2461" t="s">
        <v>7</v>
      </c>
      <c r="F2461" t="s">
        <v>20</v>
      </c>
      <c r="G2461" t="s">
        <v>308</v>
      </c>
      <c r="H2461" t="s">
        <v>307</v>
      </c>
    </row>
    <row r="2462" spans="1:9" x14ac:dyDescent="0.2">
      <c r="A2462" s="35" t="s">
        <v>525</v>
      </c>
      <c r="B2462" s="36">
        <f>Parameters!C59/Parameters!B4*Parameters!B12*-1*0.27</f>
        <v>-0.14373294505680315</v>
      </c>
      <c r="C2462" t="s">
        <v>26</v>
      </c>
      <c r="D2462" t="s">
        <v>8</v>
      </c>
      <c r="E2462" s="35"/>
      <c r="F2462" s="35" t="s">
        <v>20</v>
      </c>
      <c r="G2462" s="35" t="s">
        <v>566</v>
      </c>
      <c r="H2462" s="35" t="s">
        <v>526</v>
      </c>
      <c r="I2462" s="35"/>
    </row>
    <row r="2463" spans="1:9" x14ac:dyDescent="0.2">
      <c r="A2463" s="35" t="s">
        <v>553</v>
      </c>
      <c r="B2463" s="36">
        <f>Parameters!C61*Parameters!B8/Parameters!B10/1000*B2452*-1</f>
        <v>-2.8880557910350428E-2</v>
      </c>
      <c r="C2463" t="s">
        <v>26</v>
      </c>
      <c r="D2463" t="s">
        <v>8</v>
      </c>
      <c r="E2463" s="35"/>
      <c r="F2463" s="35" t="s">
        <v>20</v>
      </c>
      <c r="G2463" s="35" t="s">
        <v>1033</v>
      </c>
      <c r="H2463" s="35" t="s">
        <v>554</v>
      </c>
      <c r="I2463" s="35"/>
    </row>
    <row r="2464" spans="1:9" ht="16" x14ac:dyDescent="0.2">
      <c r="A2464" s="2"/>
      <c r="H2464" s="2"/>
    </row>
    <row r="2465" spans="1:8" ht="16" x14ac:dyDescent="0.2">
      <c r="A2465" s="1" t="s">
        <v>1</v>
      </c>
      <c r="B2465" s="71" t="s">
        <v>1055</v>
      </c>
    </row>
    <row r="2466" spans="1:8" x14ac:dyDescent="0.2">
      <c r="A2466" t="s">
        <v>2</v>
      </c>
      <c r="B2466" s="6" t="s">
        <v>1035</v>
      </c>
    </row>
    <row r="2467" spans="1:8" x14ac:dyDescent="0.2">
      <c r="A2467" t="s">
        <v>3</v>
      </c>
      <c r="B2467" s="6">
        <v>1</v>
      </c>
    </row>
    <row r="2468" spans="1:8" ht="16" x14ac:dyDescent="0.2">
      <c r="A2468" t="s">
        <v>4</v>
      </c>
      <c r="B2468" s="72" t="s">
        <v>430</v>
      </c>
    </row>
    <row r="2469" spans="1:8" x14ac:dyDescent="0.2">
      <c r="A2469" t="s">
        <v>5</v>
      </c>
      <c r="B2469" s="6" t="s">
        <v>6</v>
      </c>
    </row>
    <row r="2470" spans="1:8" x14ac:dyDescent="0.2">
      <c r="A2470" t="s">
        <v>7</v>
      </c>
      <c r="B2470" s="6" t="s">
        <v>8</v>
      </c>
    </row>
    <row r="2471" spans="1:8" x14ac:dyDescent="0.2">
      <c r="A2471" t="s">
        <v>9</v>
      </c>
      <c r="B2471" s="6" t="s">
        <v>10</v>
      </c>
    </row>
    <row r="2472" spans="1:8" x14ac:dyDescent="0.2">
      <c r="A2472" t="s">
        <v>11</v>
      </c>
      <c r="B2472" s="6" t="s">
        <v>1007</v>
      </c>
    </row>
    <row r="2473" spans="1:8" x14ac:dyDescent="0.2">
      <c r="A2473" t="s">
        <v>497</v>
      </c>
      <c r="B2473" s="70">
        <f>Summary!O114</f>
        <v>0.59737027650636099</v>
      </c>
    </row>
    <row r="2474" spans="1:8" ht="16" x14ac:dyDescent="0.2">
      <c r="A2474" s="1" t="s">
        <v>12</v>
      </c>
    </row>
    <row r="2475" spans="1:8" x14ac:dyDescent="0.2">
      <c r="A2475" t="s">
        <v>13</v>
      </c>
      <c r="B2475" s="6" t="s">
        <v>14</v>
      </c>
      <c r="C2475" t="s">
        <v>2</v>
      </c>
      <c r="D2475" t="s">
        <v>7</v>
      </c>
      <c r="E2475" t="s">
        <v>15</v>
      </c>
      <c r="F2475" t="s">
        <v>5</v>
      </c>
      <c r="G2475" t="s">
        <v>11</v>
      </c>
      <c r="H2475" t="s">
        <v>4</v>
      </c>
    </row>
    <row r="2476" spans="1:8" ht="16" x14ac:dyDescent="0.2">
      <c r="A2476" s="2" t="s">
        <v>1055</v>
      </c>
      <c r="B2476" s="6">
        <v>1</v>
      </c>
      <c r="C2476" t="s">
        <v>1035</v>
      </c>
      <c r="D2476" t="s">
        <v>8</v>
      </c>
      <c r="F2476" t="s">
        <v>17</v>
      </c>
      <c r="G2476" t="s">
        <v>18</v>
      </c>
      <c r="H2476" s="2" t="s">
        <v>430</v>
      </c>
    </row>
    <row r="2477" spans="1:8" ht="16" x14ac:dyDescent="0.2">
      <c r="A2477" s="2" t="s">
        <v>96</v>
      </c>
      <c r="B2477" s="6">
        <f>(1/((Parameters!$C$58*Parameters!$B$4*Parameters!$B$12)/1000))*Parameters!C63</f>
        <v>2.5366279208115974</v>
      </c>
      <c r="C2477" t="s">
        <v>1035</v>
      </c>
      <c r="D2477" t="s">
        <v>8</v>
      </c>
      <c r="F2477" t="s">
        <v>20</v>
      </c>
      <c r="G2477" t="s">
        <v>18</v>
      </c>
      <c r="H2477" s="2" t="s">
        <v>431</v>
      </c>
    </row>
    <row r="2478" spans="1:8" ht="16" x14ac:dyDescent="0.2">
      <c r="A2478" s="2" t="s">
        <v>438</v>
      </c>
      <c r="B2478" s="6">
        <f>(22812*Parameters!$B$3)/(Parameters!$B$4*Parameters!$B$12)*Parameters!C63</f>
        <v>6.8262054727428154</v>
      </c>
      <c r="C2478" t="s">
        <v>31</v>
      </c>
      <c r="D2478" t="s">
        <v>19</v>
      </c>
      <c r="F2478" t="s">
        <v>20</v>
      </c>
      <c r="G2478" t="s">
        <v>1047</v>
      </c>
      <c r="H2478" s="2" t="s">
        <v>439</v>
      </c>
    </row>
    <row r="2479" spans="1:8" ht="16" x14ac:dyDescent="0.2">
      <c r="A2479" s="2" t="s">
        <v>28</v>
      </c>
      <c r="B2479" s="6">
        <f>(((2126+1932)*Parameters!$B$3/3.6)/(Parameters!$B$4*Parameters!$B$12))*Parameters!$C$63</f>
        <v>0.33730714108060017</v>
      </c>
      <c r="C2479" t="s">
        <v>1036</v>
      </c>
      <c r="D2479" t="s">
        <v>29</v>
      </c>
      <c r="F2479" t="s">
        <v>20</v>
      </c>
      <c r="G2479" t="s">
        <v>1048</v>
      </c>
      <c r="H2479" s="2" t="s">
        <v>30</v>
      </c>
    </row>
    <row r="2480" spans="1:8" ht="16" x14ac:dyDescent="0.2">
      <c r="A2480" s="2" t="s">
        <v>384</v>
      </c>
      <c r="B2480" s="6">
        <f>((2.76/1000)/(Parameters!$B$4*Parameters!$B$12))*Parameters!$C$63</f>
        <v>7.8279781607405654E-4</v>
      </c>
      <c r="C2480" t="s">
        <v>26</v>
      </c>
      <c r="D2480" t="s">
        <v>8</v>
      </c>
      <c r="F2480" t="s">
        <v>20</v>
      </c>
      <c r="G2480" t="s">
        <v>386</v>
      </c>
      <c r="H2480" s="2" t="s">
        <v>385</v>
      </c>
    </row>
    <row r="2481" spans="1:8" ht="16" x14ac:dyDescent="0.2">
      <c r="A2481" s="2" t="s">
        <v>252</v>
      </c>
      <c r="B2481" s="6">
        <f>((4.68/1000)/(Parameters!$B$4*Parameters!$B$12))*Parameters!$C$63</f>
        <v>1.3273528185603568E-3</v>
      </c>
      <c r="C2481" t="s">
        <v>31</v>
      </c>
      <c r="D2481" t="s">
        <v>8</v>
      </c>
      <c r="F2481" t="s">
        <v>20</v>
      </c>
      <c r="H2481" s="2" t="s">
        <v>253</v>
      </c>
    </row>
    <row r="2482" spans="1:8" ht="16" x14ac:dyDescent="0.2">
      <c r="A2482" s="2" t="s">
        <v>254</v>
      </c>
      <c r="B2482" s="6">
        <f>((17.93/1000)/(Parameters!$B$4*Parameters!$B$12))*Parameters!$C$63</f>
        <v>5.0853495805100839E-3</v>
      </c>
      <c r="C2482" t="s">
        <v>255</v>
      </c>
      <c r="D2482" t="s">
        <v>8</v>
      </c>
      <c r="F2482" t="s">
        <v>20</v>
      </c>
      <c r="H2482" s="2" t="s">
        <v>256</v>
      </c>
    </row>
    <row r="2483" spans="1:8" ht="16" x14ac:dyDescent="0.2">
      <c r="A2483" s="2" t="s">
        <v>370</v>
      </c>
      <c r="B2483" s="6">
        <f>((10.73/1000)/(Parameters!$B$4*Parameters!$B$12))*Parameters!$C$63</f>
        <v>3.043268321186459E-3</v>
      </c>
      <c r="C2483" t="s">
        <v>31</v>
      </c>
      <c r="D2483" t="s">
        <v>8</v>
      </c>
      <c r="F2483" t="s">
        <v>20</v>
      </c>
      <c r="G2483" t="s">
        <v>387</v>
      </c>
      <c r="H2483" s="2" t="s">
        <v>371</v>
      </c>
    </row>
    <row r="2484" spans="1:8" ht="16" x14ac:dyDescent="0.2">
      <c r="A2484" s="2" t="s">
        <v>388</v>
      </c>
      <c r="B2484" s="6">
        <f>((22.49/1000)/(Parameters!$B$4*Parameters!$B$12))*Parameters!$C$63</f>
        <v>6.3786677114150477E-3</v>
      </c>
      <c r="C2484" t="s">
        <v>26</v>
      </c>
      <c r="D2484" t="s">
        <v>8</v>
      </c>
      <c r="F2484" t="s">
        <v>20</v>
      </c>
      <c r="G2484" t="s">
        <v>390</v>
      </c>
      <c r="H2484" s="2" t="s">
        <v>389</v>
      </c>
    </row>
    <row r="2485" spans="1:8" x14ac:dyDescent="0.2">
      <c r="A2485" t="s">
        <v>265</v>
      </c>
      <c r="B2485" s="6">
        <f>((B2336*B2477)-Parameters!$B$15)*(1-0.975)</f>
        <v>4.5770594987354064E-2</v>
      </c>
      <c r="D2485" t="s">
        <v>8</v>
      </c>
      <c r="E2485" t="s">
        <v>37</v>
      </c>
      <c r="F2485" t="s">
        <v>36</v>
      </c>
      <c r="G2485" t="s">
        <v>428</v>
      </c>
    </row>
    <row r="2486" spans="1:8" x14ac:dyDescent="0.2">
      <c r="A2486" t="s">
        <v>306</v>
      </c>
      <c r="B2486" s="6">
        <f>1/(90000000*20)</f>
        <v>5.5555555555555553E-10</v>
      </c>
      <c r="C2486" t="s">
        <v>26</v>
      </c>
      <c r="D2486" t="s">
        <v>7</v>
      </c>
      <c r="F2486" t="s">
        <v>20</v>
      </c>
      <c r="G2486" t="s">
        <v>308</v>
      </c>
      <c r="H2486" t="s">
        <v>307</v>
      </c>
    </row>
    <row r="2487" spans="1:8" ht="16" x14ac:dyDescent="0.2">
      <c r="A2487" s="2"/>
      <c r="H2487" s="2"/>
    </row>
    <row r="2488" spans="1:8" ht="16" x14ac:dyDescent="0.2">
      <c r="A2488" s="1" t="s">
        <v>1</v>
      </c>
      <c r="B2488" s="71" t="s">
        <v>1056</v>
      </c>
    </row>
    <row r="2489" spans="1:8" x14ac:dyDescent="0.2">
      <c r="A2489" t="s">
        <v>2</v>
      </c>
      <c r="B2489" s="6" t="s">
        <v>1035</v>
      </c>
    </row>
    <row r="2490" spans="1:8" x14ac:dyDescent="0.2">
      <c r="A2490" t="s">
        <v>3</v>
      </c>
      <c r="B2490" s="6">
        <v>1</v>
      </c>
    </row>
    <row r="2491" spans="1:8" ht="16" x14ac:dyDescent="0.2">
      <c r="A2491" t="s">
        <v>4</v>
      </c>
      <c r="B2491" s="72" t="s">
        <v>430</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1053</v>
      </c>
    </row>
    <row r="2496" spans="1:8" x14ac:dyDescent="0.2">
      <c r="A2496" t="s">
        <v>497</v>
      </c>
      <c r="B2496" s="70">
        <f>Summary!O45</f>
        <v>0.97218224965730304</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1056</v>
      </c>
      <c r="B2499" s="6">
        <v>1</v>
      </c>
      <c r="C2499" t="s">
        <v>1035</v>
      </c>
      <c r="D2499" t="s">
        <v>8</v>
      </c>
      <c r="F2499" t="s">
        <v>17</v>
      </c>
      <c r="G2499" t="s">
        <v>18</v>
      </c>
      <c r="H2499" s="2" t="s">
        <v>430</v>
      </c>
    </row>
    <row r="2500" spans="1:8" ht="16" x14ac:dyDescent="0.2">
      <c r="A2500" s="2" t="s">
        <v>96</v>
      </c>
      <c r="B2500" s="6">
        <f>(1/((Parameters!$C$58*Parameters!$B$4*Parameters!$B$12)/1000))*Parameters!C64</f>
        <v>1.9286757745013801</v>
      </c>
      <c r="C2500" t="s">
        <v>1035</v>
      </c>
      <c r="D2500" t="s">
        <v>8</v>
      </c>
      <c r="F2500" t="s">
        <v>20</v>
      </c>
      <c r="G2500" t="s">
        <v>18</v>
      </c>
      <c r="H2500" s="2" t="s">
        <v>431</v>
      </c>
    </row>
    <row r="2501" spans="1:8" ht="16" x14ac:dyDescent="0.2">
      <c r="A2501" s="2" t="s">
        <v>438</v>
      </c>
      <c r="B2501" s="6">
        <f>(22812*Parameters!$B$3)/(Parameters!$B$4*Parameters!$B$12)*Parameters!C64</f>
        <v>5.1901727561350333</v>
      </c>
      <c r="C2501" t="s">
        <v>31</v>
      </c>
      <c r="D2501" t="s">
        <v>19</v>
      </c>
      <c r="F2501" t="s">
        <v>20</v>
      </c>
      <c r="G2501" t="s">
        <v>437</v>
      </c>
      <c r="H2501" s="2" t="s">
        <v>439</v>
      </c>
    </row>
    <row r="2502" spans="1:8" ht="16" x14ac:dyDescent="0.2">
      <c r="A2502" s="2" t="s">
        <v>28</v>
      </c>
      <c r="B2502" s="6">
        <f>(((2126+1932)*Parameters!$B$3/3.6)/(Parameters!$B$4*Parameters!$B$12))*Parameters!C64</f>
        <v>0.25646493371417534</v>
      </c>
      <c r="C2502" t="s">
        <v>1036</v>
      </c>
      <c r="D2502" t="s">
        <v>29</v>
      </c>
      <c r="F2502" t="s">
        <v>20</v>
      </c>
      <c r="H2502" s="2" t="s">
        <v>30</v>
      </c>
    </row>
    <row r="2503" spans="1:8" ht="16" x14ac:dyDescent="0.2">
      <c r="A2503" s="2" t="s">
        <v>384</v>
      </c>
      <c r="B2503" s="6">
        <f>((2.76/1000)/(Parameters!$B$4*Parameters!$B$12))*Parameters!$C$64</f>
        <v>5.9518511635382808E-4</v>
      </c>
      <c r="C2503" t="s">
        <v>26</v>
      </c>
      <c r="D2503" t="s">
        <v>8</v>
      </c>
      <c r="F2503" t="s">
        <v>20</v>
      </c>
      <c r="G2503" t="s">
        <v>386</v>
      </c>
      <c r="H2503" s="2" t="s">
        <v>385</v>
      </c>
    </row>
    <row r="2504" spans="1:8" ht="16" x14ac:dyDescent="0.2">
      <c r="A2504" s="2" t="s">
        <v>252</v>
      </c>
      <c r="B2504" s="6">
        <f>((4.68/1000)/(Parameters!$B$4*Parameters!$B$12))*Parameters!$C$64</f>
        <v>1.0092269364260565E-3</v>
      </c>
      <c r="C2504" t="s">
        <v>31</v>
      </c>
      <c r="D2504" t="s">
        <v>8</v>
      </c>
      <c r="F2504" t="s">
        <v>20</v>
      </c>
      <c r="H2504" s="2" t="s">
        <v>253</v>
      </c>
    </row>
    <row r="2505" spans="1:8" ht="16" x14ac:dyDescent="0.2">
      <c r="A2505" s="2" t="s">
        <v>254</v>
      </c>
      <c r="B2505" s="6">
        <f>((17.93/1000)/(Parameters!$B$4*Parameters!$B$12))*Parameters!$C$64</f>
        <v>3.8665467884870059E-3</v>
      </c>
      <c r="C2505" t="s">
        <v>255</v>
      </c>
      <c r="D2505" t="s">
        <v>8</v>
      </c>
      <c r="F2505" t="s">
        <v>20</v>
      </c>
      <c r="H2505" s="2" t="s">
        <v>256</v>
      </c>
    </row>
    <row r="2506" spans="1:8" ht="16" x14ac:dyDescent="0.2">
      <c r="A2506" s="2" t="s">
        <v>370</v>
      </c>
      <c r="B2506" s="6">
        <f>((10.73/1000)/(Parameters!$B$4*Parameters!$B$12))*Parameters!$C$64</f>
        <v>2.3138899632161509E-3</v>
      </c>
      <c r="C2506" t="s">
        <v>31</v>
      </c>
      <c r="D2506" t="s">
        <v>8</v>
      </c>
      <c r="F2506" t="s">
        <v>20</v>
      </c>
      <c r="G2506" t="s">
        <v>387</v>
      </c>
      <c r="H2506" s="2" t="s">
        <v>371</v>
      </c>
    </row>
    <row r="2507" spans="1:8" ht="16" x14ac:dyDescent="0.2">
      <c r="A2507" s="2" t="s">
        <v>388</v>
      </c>
      <c r="B2507" s="6">
        <f>((22.49/1000)/(Parameters!$B$4*Parameters!$B$12))*Parameters!$C$64</f>
        <v>4.8498961111585488E-3</v>
      </c>
      <c r="C2507" t="s">
        <v>26</v>
      </c>
      <c r="D2507" t="s">
        <v>8</v>
      </c>
      <c r="F2507" t="s">
        <v>20</v>
      </c>
      <c r="G2507" t="s">
        <v>390</v>
      </c>
      <c r="H2507" s="2" t="s">
        <v>389</v>
      </c>
    </row>
    <row r="2508" spans="1:8" x14ac:dyDescent="0.2">
      <c r="A2508" t="s">
        <v>265</v>
      </c>
      <c r="B2508" s="6">
        <f>((B2336*B2500)-Parameters!$B$15)*(1-0.975)</f>
        <v>2.3332601147409707E-2</v>
      </c>
      <c r="D2508" t="s">
        <v>8</v>
      </c>
      <c r="E2508" t="s">
        <v>37</v>
      </c>
      <c r="F2508" t="s">
        <v>36</v>
      </c>
      <c r="G2508" t="s">
        <v>428</v>
      </c>
    </row>
    <row r="2509" spans="1:8" x14ac:dyDescent="0.2">
      <c r="A2509" t="s">
        <v>306</v>
      </c>
      <c r="B2509" s="6">
        <f>1/(90000000*20)</f>
        <v>5.5555555555555553E-10</v>
      </c>
      <c r="C2509" t="s">
        <v>26</v>
      </c>
      <c r="D2509" t="s">
        <v>7</v>
      </c>
      <c r="F2509" t="s">
        <v>20</v>
      </c>
      <c r="G2509" t="s">
        <v>308</v>
      </c>
      <c r="H2509" t="s">
        <v>307</v>
      </c>
    </row>
    <row r="2510" spans="1:8" ht="16" x14ac:dyDescent="0.2">
      <c r="A2510" s="2"/>
      <c r="H2510" s="2"/>
    </row>
    <row r="2511" spans="1:8" ht="16" x14ac:dyDescent="0.2">
      <c r="A2511" s="1" t="s">
        <v>1</v>
      </c>
      <c r="B2511" s="71" t="s">
        <v>1057</v>
      </c>
    </row>
    <row r="2512" spans="1:8" x14ac:dyDescent="0.2">
      <c r="A2512" t="s">
        <v>2</v>
      </c>
      <c r="B2512" s="6" t="s">
        <v>1035</v>
      </c>
    </row>
    <row r="2513" spans="1:8" x14ac:dyDescent="0.2">
      <c r="A2513" t="s">
        <v>3</v>
      </c>
      <c r="B2513" s="6">
        <v>1</v>
      </c>
    </row>
    <row r="2514" spans="1:8" ht="16" x14ac:dyDescent="0.2">
      <c r="A2514" t="s">
        <v>4</v>
      </c>
      <c r="B2514" s="72" t="s">
        <v>430</v>
      </c>
    </row>
    <row r="2515" spans="1:8" x14ac:dyDescent="0.2">
      <c r="A2515" t="s">
        <v>5</v>
      </c>
      <c r="B2515" s="6" t="s">
        <v>6</v>
      </c>
    </row>
    <row r="2516" spans="1:8" x14ac:dyDescent="0.2">
      <c r="A2516" t="s">
        <v>7</v>
      </c>
      <c r="B2516" s="6" t="s">
        <v>8</v>
      </c>
    </row>
    <row r="2517" spans="1:8" x14ac:dyDescent="0.2">
      <c r="A2517" t="s">
        <v>9</v>
      </c>
      <c r="B2517" s="6" t="s">
        <v>10</v>
      </c>
    </row>
    <row r="2518" spans="1:8" x14ac:dyDescent="0.2">
      <c r="A2518" t="s">
        <v>11</v>
      </c>
      <c r="B2518" s="6" t="s">
        <v>1054</v>
      </c>
    </row>
    <row r="2519" spans="1:8" x14ac:dyDescent="0.2">
      <c r="A2519" t="s">
        <v>497</v>
      </c>
      <c r="B2519" s="70">
        <f>Summary!O152</f>
        <v>0.50597262420088773</v>
      </c>
    </row>
    <row r="2520" spans="1:8" ht="16" x14ac:dyDescent="0.2">
      <c r="A2520" s="1" t="s">
        <v>12</v>
      </c>
    </row>
    <row r="2521" spans="1:8" x14ac:dyDescent="0.2">
      <c r="A2521" t="s">
        <v>13</v>
      </c>
      <c r="B2521" s="6" t="s">
        <v>14</v>
      </c>
      <c r="C2521" t="s">
        <v>2</v>
      </c>
      <c r="D2521" t="s">
        <v>7</v>
      </c>
      <c r="E2521" t="s">
        <v>15</v>
      </c>
      <c r="F2521" t="s">
        <v>5</v>
      </c>
      <c r="G2521" t="s">
        <v>11</v>
      </c>
      <c r="H2521" t="s">
        <v>4</v>
      </c>
    </row>
    <row r="2522" spans="1:8" ht="16" x14ac:dyDescent="0.2">
      <c r="A2522" s="2" t="s">
        <v>1057</v>
      </c>
      <c r="B2522" s="6">
        <v>1</v>
      </c>
      <c r="C2522" t="s">
        <v>1035</v>
      </c>
      <c r="D2522" t="s">
        <v>8</v>
      </c>
      <c r="F2522" t="s">
        <v>17</v>
      </c>
      <c r="G2522" t="s">
        <v>18</v>
      </c>
      <c r="H2522" s="2" t="s">
        <v>430</v>
      </c>
    </row>
    <row r="2523" spans="1:8" ht="16" x14ac:dyDescent="0.2">
      <c r="A2523" s="2" t="s">
        <v>96</v>
      </c>
      <c r="B2523" s="6">
        <f>(1/((Parameters!$C$58*Parameters!$B$4*Parameters!$B$12)/1000))</f>
        <v>2.9948381591636335</v>
      </c>
      <c r="C2523" t="s">
        <v>1035</v>
      </c>
      <c r="D2523" t="s">
        <v>8</v>
      </c>
      <c r="F2523" t="s">
        <v>20</v>
      </c>
      <c r="G2523" t="s">
        <v>18</v>
      </c>
      <c r="H2523" s="2" t="s">
        <v>431</v>
      </c>
    </row>
    <row r="2524" spans="1:8" ht="16" x14ac:dyDescent="0.2">
      <c r="A2524" s="2" t="s">
        <v>438</v>
      </c>
      <c r="B2524" s="6">
        <f>(22812*Parameters!$B$3)/(Parameters!$B$4*Parameters!$B$12)</f>
        <v>8.0592744660481888</v>
      </c>
      <c r="C2524" t="s">
        <v>31</v>
      </c>
      <c r="D2524" t="s">
        <v>19</v>
      </c>
      <c r="F2524" t="s">
        <v>20</v>
      </c>
      <c r="G2524" t="s">
        <v>437</v>
      </c>
      <c r="H2524" s="2" t="s">
        <v>439</v>
      </c>
    </row>
    <row r="2525" spans="1:8" ht="16" x14ac:dyDescent="0.2">
      <c r="A2525" s="2" t="s">
        <v>28</v>
      </c>
      <c r="B2525" s="6">
        <f>(((2126+1932)*Parameters!$B$3/3.6)/(Parameters!$B$4*Parameters!$B$12))</f>
        <v>0.39823747471145238</v>
      </c>
      <c r="C2525" t="s">
        <v>1036</v>
      </c>
      <c r="D2525" t="s">
        <v>29</v>
      </c>
      <c r="F2525" t="s">
        <v>20</v>
      </c>
      <c r="H2525" s="2" t="s">
        <v>30</v>
      </c>
    </row>
    <row r="2526" spans="1:8" ht="16" x14ac:dyDescent="0.2">
      <c r="A2526" s="2" t="s">
        <v>384</v>
      </c>
      <c r="B2526" s="6">
        <f>((2.76/1000)/(Parameters!$B$4*Parameters!$B$12))</f>
        <v>9.2420049123265234E-4</v>
      </c>
      <c r="C2526" t="s">
        <v>26</v>
      </c>
      <c r="D2526" t="s">
        <v>8</v>
      </c>
      <c r="F2526" t="s">
        <v>20</v>
      </c>
      <c r="G2526" t="s">
        <v>386</v>
      </c>
      <c r="H2526" s="2" t="s">
        <v>385</v>
      </c>
    </row>
    <row r="2527" spans="1:8" ht="16" x14ac:dyDescent="0.2">
      <c r="A2527" s="2" t="s">
        <v>252</v>
      </c>
      <c r="B2527" s="6">
        <f>((4.68/1000)/(Parameters!$B$4*Parameters!$B$12))</f>
        <v>1.5671225720901498E-3</v>
      </c>
      <c r="C2527" t="s">
        <v>31</v>
      </c>
      <c r="D2527" t="s">
        <v>8</v>
      </c>
      <c r="F2527" t="s">
        <v>20</v>
      </c>
      <c r="H2527" s="2" t="s">
        <v>253</v>
      </c>
    </row>
    <row r="2528" spans="1:8" ht="16" x14ac:dyDescent="0.2">
      <c r="A2528" s="2" t="s">
        <v>254</v>
      </c>
      <c r="B2528" s="6">
        <f>((17.93/1000)/(Parameters!$B$4*Parameters!$B$12))</f>
        <v>6.0039546405077733E-3</v>
      </c>
      <c r="C2528" t="s">
        <v>255</v>
      </c>
      <c r="D2528" t="s">
        <v>8</v>
      </c>
      <c r="F2528" t="s">
        <v>20</v>
      </c>
      <c r="H2528" s="2" t="s">
        <v>256</v>
      </c>
    </row>
    <row r="2529" spans="1:9" ht="16" x14ac:dyDescent="0.2">
      <c r="A2529" s="2" t="s">
        <v>370</v>
      </c>
      <c r="B2529" s="6">
        <f>((10.73/1000)/(Parameters!$B$4*Parameters!$B$12))</f>
        <v>3.5929968372921594E-3</v>
      </c>
      <c r="C2529" t="s">
        <v>31</v>
      </c>
      <c r="D2529" t="s">
        <v>8</v>
      </c>
      <c r="F2529" t="s">
        <v>20</v>
      </c>
      <c r="G2529" t="s">
        <v>387</v>
      </c>
      <c r="H2529" s="2" t="s">
        <v>371</v>
      </c>
    </row>
    <row r="2530" spans="1:9" ht="16" x14ac:dyDescent="0.2">
      <c r="A2530" s="2" t="s">
        <v>388</v>
      </c>
      <c r="B2530" s="6">
        <f>((22.49/1000)/(Parameters!$B$4*Parameters!$B$12))</f>
        <v>7.5308945825443303E-3</v>
      </c>
      <c r="C2530" t="s">
        <v>26</v>
      </c>
      <c r="D2530" t="s">
        <v>8</v>
      </c>
      <c r="F2530" t="s">
        <v>20</v>
      </c>
      <c r="G2530" t="s">
        <v>390</v>
      </c>
      <c r="H2530" s="2" t="s">
        <v>389</v>
      </c>
    </row>
    <row r="2531" spans="1:9" x14ac:dyDescent="0.2">
      <c r="A2531" t="s">
        <v>265</v>
      </c>
      <c r="B2531" s="6">
        <f>((B2336*B2523)-Parameters!$B$15)*(1-0.975)</f>
        <v>6.2681989359331863E-2</v>
      </c>
      <c r="D2531" t="s">
        <v>8</v>
      </c>
      <c r="E2531" t="s">
        <v>37</v>
      </c>
      <c r="F2531" t="s">
        <v>36</v>
      </c>
      <c r="G2531" t="s">
        <v>428</v>
      </c>
    </row>
    <row r="2532" spans="1:9" x14ac:dyDescent="0.2">
      <c r="A2532" t="s">
        <v>306</v>
      </c>
      <c r="B2532" s="6">
        <f>1/(90000000*20)</f>
        <v>5.5555555555555553E-10</v>
      </c>
      <c r="C2532" t="s">
        <v>26</v>
      </c>
      <c r="D2532" t="s">
        <v>7</v>
      </c>
      <c r="F2532" t="s">
        <v>20</v>
      </c>
      <c r="G2532" t="s">
        <v>308</v>
      </c>
      <c r="H2532" t="s">
        <v>307</v>
      </c>
    </row>
    <row r="2533" spans="1:9" x14ac:dyDescent="0.2">
      <c r="A2533" s="35" t="s">
        <v>525</v>
      </c>
      <c r="B2533" s="36">
        <f>Parameters!C59/Parameters!B4*Parameters!B12*-1*0.27</f>
        <v>-0.14373294505680315</v>
      </c>
      <c r="C2533" t="s">
        <v>26</v>
      </c>
      <c r="D2533" t="s">
        <v>8</v>
      </c>
      <c r="E2533" s="35"/>
      <c r="F2533" s="35" t="s">
        <v>20</v>
      </c>
      <c r="G2533" s="35" t="s">
        <v>564</v>
      </c>
      <c r="H2533" s="35" t="s">
        <v>526</v>
      </c>
      <c r="I2533" s="35"/>
    </row>
    <row r="2534" spans="1:9" x14ac:dyDescent="0.2">
      <c r="A2534" s="35" t="s">
        <v>553</v>
      </c>
      <c r="B2534" s="36">
        <f>Parameters!C61*Parameters!B8/Parameters!B10/1000*B2452*-1</f>
        <v>-2.8880557910350428E-2</v>
      </c>
      <c r="C2534" t="s">
        <v>26</v>
      </c>
      <c r="D2534" t="s">
        <v>8</v>
      </c>
      <c r="E2534" s="35"/>
      <c r="F2534" s="35" t="s">
        <v>20</v>
      </c>
      <c r="G2534" s="35" t="s">
        <v>1033</v>
      </c>
      <c r="H2534" s="35" t="s">
        <v>554</v>
      </c>
      <c r="I2534" s="35"/>
    </row>
    <row r="2535" spans="1:9" x14ac:dyDescent="0.2">
      <c r="A2535" s="35" t="s">
        <v>559</v>
      </c>
      <c r="B2535" s="36">
        <f>((B2336*B2523)-Parameters!$B$15)*0.975*-1</f>
        <v>-2.4445975850139403</v>
      </c>
      <c r="C2535" t="s">
        <v>26</v>
      </c>
      <c r="D2535" t="s">
        <v>8</v>
      </c>
      <c r="E2535" s="35"/>
      <c r="F2535" s="35" t="s">
        <v>20</v>
      </c>
      <c r="G2535" s="35" t="s">
        <v>560</v>
      </c>
      <c r="H2535" s="35" t="s">
        <v>561</v>
      </c>
      <c r="I2535" s="35"/>
    </row>
    <row r="2536" spans="1:9" ht="16" x14ac:dyDescent="0.2">
      <c r="A2536" s="2"/>
      <c r="H2536" s="2"/>
    </row>
    <row r="2537" spans="1:9" ht="16" x14ac:dyDescent="0.2">
      <c r="A2537" s="2"/>
      <c r="H2537" s="2"/>
    </row>
    <row r="2538" spans="1:9" ht="16" x14ac:dyDescent="0.2">
      <c r="A2538" s="1" t="s">
        <v>1</v>
      </c>
      <c r="B2538" s="71" t="s">
        <v>1061</v>
      </c>
    </row>
    <row r="2539" spans="1:9" x14ac:dyDescent="0.2">
      <c r="A2539" t="s">
        <v>2</v>
      </c>
      <c r="B2539" s="6" t="s">
        <v>1035</v>
      </c>
    </row>
    <row r="2540" spans="1:9" x14ac:dyDescent="0.2">
      <c r="A2540" t="s">
        <v>3</v>
      </c>
      <c r="B2540" s="6">
        <v>1</v>
      </c>
    </row>
    <row r="2541" spans="1:9" ht="16" x14ac:dyDescent="0.2">
      <c r="A2541" t="s">
        <v>4</v>
      </c>
      <c r="B2541" s="72" t="s">
        <v>430</v>
      </c>
    </row>
    <row r="2542" spans="1:9" x14ac:dyDescent="0.2">
      <c r="A2542" t="s">
        <v>5</v>
      </c>
      <c r="B2542" s="6" t="s">
        <v>6</v>
      </c>
    </row>
    <row r="2543" spans="1:9" x14ac:dyDescent="0.2">
      <c r="A2543" t="s">
        <v>7</v>
      </c>
      <c r="B2543" s="6" t="s">
        <v>8</v>
      </c>
    </row>
    <row r="2544" spans="1:9" x14ac:dyDescent="0.2">
      <c r="A2544" t="s">
        <v>9</v>
      </c>
      <c r="B2544" s="6" t="s">
        <v>10</v>
      </c>
    </row>
    <row r="2545" spans="1:8" x14ac:dyDescent="0.2">
      <c r="A2545" t="s">
        <v>11</v>
      </c>
      <c r="B2545" s="6" t="s">
        <v>1064</v>
      </c>
    </row>
    <row r="2546" spans="1:8" x14ac:dyDescent="0.2">
      <c r="A2546" t="s">
        <v>497</v>
      </c>
      <c r="B2546" s="70">
        <f>Summary!O187</f>
        <v>0</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1061</v>
      </c>
      <c r="B2549" s="6">
        <v>1</v>
      </c>
      <c r="C2549" t="s">
        <v>1035</v>
      </c>
      <c r="D2549" t="s">
        <v>8</v>
      </c>
      <c r="F2549" t="s">
        <v>17</v>
      </c>
      <c r="G2549" t="s">
        <v>18</v>
      </c>
      <c r="H2549" s="2" t="s">
        <v>430</v>
      </c>
    </row>
    <row r="2550" spans="1:8" ht="16" x14ac:dyDescent="0.2">
      <c r="A2550" s="2" t="s">
        <v>96</v>
      </c>
      <c r="B2550" s="6">
        <f>(1/((Parameters!$C$58*Parameters!$B$4*Parameters!$B$12)/1000))*Parameters!C63</f>
        <v>2.5366279208115974</v>
      </c>
      <c r="C2550" t="s">
        <v>1035</v>
      </c>
      <c r="D2550" t="s">
        <v>8</v>
      </c>
      <c r="F2550" t="s">
        <v>20</v>
      </c>
      <c r="G2550" t="s">
        <v>18</v>
      </c>
      <c r="H2550" s="2" t="s">
        <v>431</v>
      </c>
    </row>
    <row r="2551" spans="1:8" ht="16" x14ac:dyDescent="0.2">
      <c r="A2551" s="2" t="s">
        <v>438</v>
      </c>
      <c r="B2551" s="6">
        <f>(22812*Parameters!$B$3)/(Parameters!$B$4*Parameters!$B$12)*Parameters!C63</f>
        <v>6.8262054727428154</v>
      </c>
      <c r="C2551" t="s">
        <v>31</v>
      </c>
      <c r="D2551" t="s">
        <v>19</v>
      </c>
      <c r="F2551" t="s">
        <v>20</v>
      </c>
      <c r="G2551" t="s">
        <v>1047</v>
      </c>
      <c r="H2551" s="2" t="s">
        <v>439</v>
      </c>
    </row>
    <row r="2552" spans="1:8" ht="16" x14ac:dyDescent="0.2">
      <c r="A2552" s="2" t="s">
        <v>28</v>
      </c>
      <c r="B2552" s="6">
        <f>(((2126+1932)*Parameters!$B$3/3.6)/(Parameters!$B$4*Parameters!$B$12))*Parameters!$C$63</f>
        <v>0.33730714108060017</v>
      </c>
      <c r="C2552" t="s">
        <v>1036</v>
      </c>
      <c r="D2552" t="s">
        <v>29</v>
      </c>
      <c r="F2552" t="s">
        <v>20</v>
      </c>
      <c r="G2552" t="s">
        <v>1048</v>
      </c>
      <c r="H2552" s="2" t="s">
        <v>30</v>
      </c>
    </row>
    <row r="2553" spans="1:8" ht="16" x14ac:dyDescent="0.2">
      <c r="A2553" s="2" t="s">
        <v>384</v>
      </c>
      <c r="B2553" s="6">
        <f>((2.76/1000)/(Parameters!$B$4*Parameters!$B$12))*Parameters!$C$63</f>
        <v>7.8279781607405654E-4</v>
      </c>
      <c r="C2553" t="s">
        <v>26</v>
      </c>
      <c r="D2553" t="s">
        <v>8</v>
      </c>
      <c r="F2553" t="s">
        <v>20</v>
      </c>
      <c r="G2553" t="s">
        <v>386</v>
      </c>
      <c r="H2553" s="2" t="s">
        <v>385</v>
      </c>
    </row>
    <row r="2554" spans="1:8" ht="16" x14ac:dyDescent="0.2">
      <c r="A2554" s="2" t="s">
        <v>252</v>
      </c>
      <c r="B2554" s="6">
        <f>((4.68/1000)/(Parameters!$B$4*Parameters!$B$12))*Parameters!$C$63</f>
        <v>1.3273528185603568E-3</v>
      </c>
      <c r="C2554" t="s">
        <v>31</v>
      </c>
      <c r="D2554" t="s">
        <v>8</v>
      </c>
      <c r="F2554" t="s">
        <v>20</v>
      </c>
      <c r="H2554" s="2" t="s">
        <v>253</v>
      </c>
    </row>
    <row r="2555" spans="1:8" ht="16" x14ac:dyDescent="0.2">
      <c r="A2555" s="2" t="s">
        <v>254</v>
      </c>
      <c r="B2555" s="6">
        <f>((17.93/1000)/(Parameters!$B$4*Parameters!$B$12))*Parameters!$C$63</f>
        <v>5.0853495805100839E-3</v>
      </c>
      <c r="C2555" t="s">
        <v>255</v>
      </c>
      <c r="D2555" t="s">
        <v>8</v>
      </c>
      <c r="F2555" t="s">
        <v>20</v>
      </c>
      <c r="H2555" s="2" t="s">
        <v>256</v>
      </c>
    </row>
    <row r="2556" spans="1:8" ht="16" x14ac:dyDescent="0.2">
      <c r="A2556" s="2" t="s">
        <v>370</v>
      </c>
      <c r="B2556" s="6">
        <f>((10.73/1000)/(Parameters!$B$4*Parameters!$B$12))*Parameters!$C$63</f>
        <v>3.043268321186459E-3</v>
      </c>
      <c r="C2556" t="s">
        <v>31</v>
      </c>
      <c r="D2556" t="s">
        <v>8</v>
      </c>
      <c r="F2556" t="s">
        <v>20</v>
      </c>
      <c r="G2556" t="s">
        <v>387</v>
      </c>
      <c r="H2556" s="2" t="s">
        <v>371</v>
      </c>
    </row>
    <row r="2557" spans="1:8" ht="16" x14ac:dyDescent="0.2">
      <c r="A2557" s="2" t="s">
        <v>388</v>
      </c>
      <c r="B2557" s="6">
        <f>((22.49/1000)/(Parameters!$B$4*Parameters!$B$12))*Parameters!$C$63</f>
        <v>6.3786677114150477E-3</v>
      </c>
      <c r="C2557" t="s">
        <v>26</v>
      </c>
      <c r="D2557" t="s">
        <v>8</v>
      </c>
      <c r="F2557" t="s">
        <v>20</v>
      </c>
      <c r="G2557" t="s">
        <v>390</v>
      </c>
      <c r="H2557" s="2" t="s">
        <v>389</v>
      </c>
    </row>
    <row r="2558" spans="1:8" x14ac:dyDescent="0.2">
      <c r="A2558" t="s">
        <v>265</v>
      </c>
      <c r="B2558" s="6">
        <f>((B2336*B2550)-Parameters!$B$15)*(1-0.975)</f>
        <v>4.5770594987354064E-2</v>
      </c>
      <c r="D2558" t="s">
        <v>8</v>
      </c>
      <c r="E2558" t="s">
        <v>37</v>
      </c>
      <c r="F2558" t="s">
        <v>36</v>
      </c>
      <c r="G2558" t="s">
        <v>428</v>
      </c>
    </row>
    <row r="2559" spans="1:8" x14ac:dyDescent="0.2">
      <c r="A2559" t="s">
        <v>306</v>
      </c>
      <c r="B2559" s="6">
        <f>1/(90000000*20)</f>
        <v>5.5555555555555553E-10</v>
      </c>
      <c r="C2559" t="s">
        <v>26</v>
      </c>
      <c r="D2559" t="s">
        <v>7</v>
      </c>
      <c r="F2559" t="s">
        <v>20</v>
      </c>
      <c r="G2559" t="s">
        <v>308</v>
      </c>
      <c r="H2559" t="s">
        <v>307</v>
      </c>
    </row>
    <row r="2560" spans="1:8" x14ac:dyDescent="0.2">
      <c r="A2560" t="s">
        <v>1067</v>
      </c>
      <c r="B2560" s="6">
        <f>((B2336*B2550)-Parameters!$B$15)*0.975</f>
        <v>1.7850532045068068</v>
      </c>
      <c r="C2560" t="s">
        <v>572</v>
      </c>
      <c r="D2560" t="s">
        <v>8</v>
      </c>
      <c r="F2560" t="s">
        <v>20</v>
      </c>
      <c r="G2560" t="s">
        <v>1068</v>
      </c>
      <c r="H2560" t="s">
        <v>1067</v>
      </c>
    </row>
    <row r="2561" spans="1:8" ht="16" x14ac:dyDescent="0.2">
      <c r="A2561" s="2"/>
      <c r="H2561" s="2"/>
    </row>
    <row r="2562" spans="1:8" ht="16" x14ac:dyDescent="0.2">
      <c r="A2562" s="1" t="s">
        <v>1</v>
      </c>
      <c r="B2562" s="71" t="s">
        <v>1062</v>
      </c>
    </row>
    <row r="2563" spans="1:8" x14ac:dyDescent="0.2">
      <c r="A2563" t="s">
        <v>2</v>
      </c>
      <c r="B2563" s="6" t="s">
        <v>1035</v>
      </c>
    </row>
    <row r="2564" spans="1:8" x14ac:dyDescent="0.2">
      <c r="A2564" t="s">
        <v>3</v>
      </c>
      <c r="B2564" s="6">
        <v>1</v>
      </c>
    </row>
    <row r="2565" spans="1:8" ht="16" x14ac:dyDescent="0.2">
      <c r="A2565" t="s">
        <v>4</v>
      </c>
      <c r="B2565" s="72" t="s">
        <v>430</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1065</v>
      </c>
    </row>
    <row r="2570" spans="1:8" x14ac:dyDescent="0.2">
      <c r="A2570" t="s">
        <v>497</v>
      </c>
      <c r="B2570" s="70">
        <f>Summary!O130</f>
        <v>1.4730031931682706</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1062</v>
      </c>
      <c r="B2573" s="6">
        <v>1</v>
      </c>
      <c r="C2573" t="s">
        <v>1035</v>
      </c>
      <c r="D2573" t="s">
        <v>8</v>
      </c>
      <c r="F2573" t="s">
        <v>17</v>
      </c>
      <c r="G2573" t="s">
        <v>18</v>
      </c>
      <c r="H2573" s="2" t="s">
        <v>430</v>
      </c>
    </row>
    <row r="2574" spans="1:8" ht="16" x14ac:dyDescent="0.2">
      <c r="A2574" s="2" t="s">
        <v>96</v>
      </c>
      <c r="B2574" s="6">
        <f>(1/((Parameters!$C$58*Parameters!$B$4*Parameters!$B$12)/1000))*Parameters!C64</f>
        <v>1.9286757745013801</v>
      </c>
      <c r="C2574" t="s">
        <v>1035</v>
      </c>
      <c r="D2574" t="s">
        <v>8</v>
      </c>
      <c r="F2574" t="s">
        <v>20</v>
      </c>
      <c r="G2574" t="s">
        <v>18</v>
      </c>
      <c r="H2574" s="2" t="s">
        <v>431</v>
      </c>
    </row>
    <row r="2575" spans="1:8" ht="16" x14ac:dyDescent="0.2">
      <c r="A2575" s="2" t="s">
        <v>438</v>
      </c>
      <c r="B2575" s="6">
        <f>(22812*Parameters!$B$3)/(Parameters!$B$4*Parameters!$B$12)*Parameters!C64</f>
        <v>5.1901727561350333</v>
      </c>
      <c r="C2575" t="s">
        <v>31</v>
      </c>
      <c r="D2575" t="s">
        <v>19</v>
      </c>
      <c r="F2575" t="s">
        <v>20</v>
      </c>
      <c r="G2575" t="s">
        <v>437</v>
      </c>
      <c r="H2575" s="2" t="s">
        <v>439</v>
      </c>
    </row>
    <row r="2576" spans="1:8" ht="16" x14ac:dyDescent="0.2">
      <c r="A2576" s="2" t="s">
        <v>28</v>
      </c>
      <c r="B2576" s="6">
        <f>(((2126+1932)*Parameters!$B$3/3.6)/(Parameters!$B$4*Parameters!$B$12))*Parameters!C64</f>
        <v>0.25646493371417534</v>
      </c>
      <c r="C2576" t="s">
        <v>1036</v>
      </c>
      <c r="D2576" t="s">
        <v>29</v>
      </c>
      <c r="F2576" t="s">
        <v>20</v>
      </c>
      <c r="H2576" s="2" t="s">
        <v>30</v>
      </c>
    </row>
    <row r="2577" spans="1:8" ht="16" x14ac:dyDescent="0.2">
      <c r="A2577" s="2" t="s">
        <v>384</v>
      </c>
      <c r="B2577" s="6">
        <f>((2.76/1000)/(Parameters!$B$4*Parameters!$B$12))*Parameters!$C$64</f>
        <v>5.9518511635382808E-4</v>
      </c>
      <c r="C2577" t="s">
        <v>26</v>
      </c>
      <c r="D2577" t="s">
        <v>8</v>
      </c>
      <c r="F2577" t="s">
        <v>20</v>
      </c>
      <c r="G2577" t="s">
        <v>386</v>
      </c>
      <c r="H2577" s="2" t="s">
        <v>385</v>
      </c>
    </row>
    <row r="2578" spans="1:8" ht="16" x14ac:dyDescent="0.2">
      <c r="A2578" s="2" t="s">
        <v>252</v>
      </c>
      <c r="B2578" s="6">
        <f>((4.68/1000)/(Parameters!$B$4*Parameters!$B$12))*Parameters!$C$64</f>
        <v>1.0092269364260565E-3</v>
      </c>
      <c r="C2578" t="s">
        <v>31</v>
      </c>
      <c r="D2578" t="s">
        <v>8</v>
      </c>
      <c r="F2578" t="s">
        <v>20</v>
      </c>
      <c r="H2578" s="2" t="s">
        <v>253</v>
      </c>
    </row>
    <row r="2579" spans="1:8" ht="16" x14ac:dyDescent="0.2">
      <c r="A2579" s="2" t="s">
        <v>254</v>
      </c>
      <c r="B2579" s="6">
        <f>((17.93/1000)/(Parameters!$B$4*Parameters!$B$12))*Parameters!$C$64</f>
        <v>3.8665467884870059E-3</v>
      </c>
      <c r="C2579" t="s">
        <v>255</v>
      </c>
      <c r="D2579" t="s">
        <v>8</v>
      </c>
      <c r="F2579" t="s">
        <v>20</v>
      </c>
      <c r="H2579" s="2" t="s">
        <v>256</v>
      </c>
    </row>
    <row r="2580" spans="1:8" ht="16" x14ac:dyDescent="0.2">
      <c r="A2580" s="2" t="s">
        <v>370</v>
      </c>
      <c r="B2580" s="6">
        <f>((10.73/1000)/(Parameters!$B$4*Parameters!$B$12))*Parameters!$C$64</f>
        <v>2.3138899632161509E-3</v>
      </c>
      <c r="C2580" t="s">
        <v>31</v>
      </c>
      <c r="D2580" t="s">
        <v>8</v>
      </c>
      <c r="F2580" t="s">
        <v>20</v>
      </c>
      <c r="G2580" t="s">
        <v>387</v>
      </c>
      <c r="H2580" s="2" t="s">
        <v>371</v>
      </c>
    </row>
    <row r="2581" spans="1:8" ht="16" x14ac:dyDescent="0.2">
      <c r="A2581" s="2" t="s">
        <v>388</v>
      </c>
      <c r="B2581" s="6">
        <f>((22.49/1000)/(Parameters!$B$4*Parameters!$B$12))*Parameters!$C$64</f>
        <v>4.8498961111585488E-3</v>
      </c>
      <c r="C2581" t="s">
        <v>26</v>
      </c>
      <c r="D2581" t="s">
        <v>8</v>
      </c>
      <c r="F2581" t="s">
        <v>20</v>
      </c>
      <c r="G2581" t="s">
        <v>390</v>
      </c>
      <c r="H2581" s="2" t="s">
        <v>389</v>
      </c>
    </row>
    <row r="2582" spans="1:8" x14ac:dyDescent="0.2">
      <c r="A2582" t="s">
        <v>265</v>
      </c>
      <c r="B2582" s="6">
        <f>((B2336*B2574)-Parameters!$B$15)*(1-0.975)</f>
        <v>2.3332601147409707E-2</v>
      </c>
      <c r="D2582" t="s">
        <v>8</v>
      </c>
      <c r="E2582" t="s">
        <v>37</v>
      </c>
      <c r="F2582" t="s">
        <v>36</v>
      </c>
      <c r="G2582" t="s">
        <v>428</v>
      </c>
    </row>
    <row r="2583" spans="1:8" x14ac:dyDescent="0.2">
      <c r="A2583" t="s">
        <v>306</v>
      </c>
      <c r="B2583" s="6">
        <f>1/(90000000*20)</f>
        <v>5.5555555555555553E-10</v>
      </c>
      <c r="C2583" t="s">
        <v>26</v>
      </c>
      <c r="D2583" t="s">
        <v>7</v>
      </c>
      <c r="F2583" t="s">
        <v>20</v>
      </c>
      <c r="G2583" t="s">
        <v>308</v>
      </c>
      <c r="H2583" t="s">
        <v>307</v>
      </c>
    </row>
    <row r="2584" spans="1:8" x14ac:dyDescent="0.2">
      <c r="A2584" t="s">
        <v>1067</v>
      </c>
      <c r="B2584" s="6">
        <f>((B2336*B2574)-Parameters!$B$15)*0.975</f>
        <v>0.90997144474897773</v>
      </c>
      <c r="C2584" t="s">
        <v>572</v>
      </c>
      <c r="D2584" t="s">
        <v>8</v>
      </c>
      <c r="F2584" t="s">
        <v>20</v>
      </c>
      <c r="G2584" t="s">
        <v>1068</v>
      </c>
      <c r="H2584" t="s">
        <v>1067</v>
      </c>
    </row>
    <row r="2585" spans="1:8" ht="16" x14ac:dyDescent="0.2">
      <c r="A2585" s="2"/>
      <c r="H2585" s="2"/>
    </row>
    <row r="2586" spans="1:8" ht="16" x14ac:dyDescent="0.2">
      <c r="A2586" s="1" t="s">
        <v>1</v>
      </c>
      <c r="B2586" s="71" t="s">
        <v>1063</v>
      </c>
    </row>
    <row r="2587" spans="1:8" x14ac:dyDescent="0.2">
      <c r="A2587" t="s">
        <v>2</v>
      </c>
      <c r="B2587" s="6" t="s">
        <v>1035</v>
      </c>
    </row>
    <row r="2588" spans="1:8" x14ac:dyDescent="0.2">
      <c r="A2588" t="s">
        <v>3</v>
      </c>
      <c r="B2588" s="6">
        <v>1</v>
      </c>
    </row>
    <row r="2589" spans="1:8" ht="16" x14ac:dyDescent="0.2">
      <c r="A2589" t="s">
        <v>4</v>
      </c>
      <c r="B2589" s="72" t="s">
        <v>430</v>
      </c>
    </row>
    <row r="2590" spans="1:8" x14ac:dyDescent="0.2">
      <c r="A2590" t="s">
        <v>5</v>
      </c>
      <c r="B2590" s="6" t="s">
        <v>6</v>
      </c>
    </row>
    <row r="2591" spans="1:8" x14ac:dyDescent="0.2">
      <c r="A2591" t="s">
        <v>7</v>
      </c>
      <c r="B2591" s="6" t="s">
        <v>8</v>
      </c>
    </row>
    <row r="2592" spans="1:8" x14ac:dyDescent="0.2">
      <c r="A2592" t="s">
        <v>9</v>
      </c>
      <c r="B2592" s="6" t="s">
        <v>10</v>
      </c>
    </row>
    <row r="2593" spans="1:9" x14ac:dyDescent="0.2">
      <c r="A2593" t="s">
        <v>11</v>
      </c>
      <c r="B2593" s="6" t="s">
        <v>1066</v>
      </c>
    </row>
    <row r="2594" spans="1:9" x14ac:dyDescent="0.2">
      <c r="A2594" t="s">
        <v>497</v>
      </c>
      <c r="B2594" s="70">
        <f>Summary!O225</f>
        <v>0</v>
      </c>
    </row>
    <row r="2595" spans="1:9" ht="16" x14ac:dyDescent="0.2">
      <c r="A2595" s="1" t="s">
        <v>12</v>
      </c>
    </row>
    <row r="2596" spans="1:9" x14ac:dyDescent="0.2">
      <c r="A2596" t="s">
        <v>13</v>
      </c>
      <c r="B2596" s="6" t="s">
        <v>14</v>
      </c>
      <c r="C2596" t="s">
        <v>2</v>
      </c>
      <c r="D2596" t="s">
        <v>7</v>
      </c>
      <c r="E2596" t="s">
        <v>15</v>
      </c>
      <c r="F2596" t="s">
        <v>5</v>
      </c>
      <c r="G2596" t="s">
        <v>11</v>
      </c>
      <c r="H2596" t="s">
        <v>4</v>
      </c>
    </row>
    <row r="2597" spans="1:9" ht="16" x14ac:dyDescent="0.2">
      <c r="A2597" s="2" t="s">
        <v>1063</v>
      </c>
      <c r="B2597" s="6">
        <v>1</v>
      </c>
      <c r="C2597" t="s">
        <v>1035</v>
      </c>
      <c r="D2597" t="s">
        <v>8</v>
      </c>
      <c r="F2597" t="s">
        <v>17</v>
      </c>
      <c r="G2597" t="s">
        <v>18</v>
      </c>
      <c r="H2597" s="2" t="s">
        <v>430</v>
      </c>
    </row>
    <row r="2598" spans="1:9" ht="16" x14ac:dyDescent="0.2">
      <c r="A2598" s="2" t="s">
        <v>96</v>
      </c>
      <c r="B2598" s="6">
        <f>(1/((Parameters!$C$58*Parameters!$B$4*Parameters!$B$12)/1000))</f>
        <v>2.9948381591636335</v>
      </c>
      <c r="C2598" t="s">
        <v>1035</v>
      </c>
      <c r="D2598" t="s">
        <v>8</v>
      </c>
      <c r="F2598" t="s">
        <v>20</v>
      </c>
      <c r="G2598" t="s">
        <v>18</v>
      </c>
      <c r="H2598" s="2" t="s">
        <v>431</v>
      </c>
    </row>
    <row r="2599" spans="1:9" ht="16" x14ac:dyDescent="0.2">
      <c r="A2599" s="2" t="s">
        <v>438</v>
      </c>
      <c r="B2599" s="6">
        <f>(22812*Parameters!$B$3)/(Parameters!$B$4*Parameters!$B$12)</f>
        <v>8.0592744660481888</v>
      </c>
      <c r="C2599" t="s">
        <v>31</v>
      </c>
      <c r="D2599" t="s">
        <v>19</v>
      </c>
      <c r="F2599" t="s">
        <v>20</v>
      </c>
      <c r="G2599" t="s">
        <v>437</v>
      </c>
      <c r="H2599" s="2" t="s">
        <v>439</v>
      </c>
    </row>
    <row r="2600" spans="1:9" ht="16" x14ac:dyDescent="0.2">
      <c r="A2600" s="2" t="s">
        <v>28</v>
      </c>
      <c r="B2600" s="6">
        <f>(((2126+1932)*Parameters!$B$3/3.6)/(Parameters!$B$4*Parameters!$B$12))</f>
        <v>0.39823747471145238</v>
      </c>
      <c r="C2600" t="s">
        <v>1036</v>
      </c>
      <c r="D2600" t="s">
        <v>29</v>
      </c>
      <c r="F2600" t="s">
        <v>20</v>
      </c>
      <c r="H2600" s="2" t="s">
        <v>30</v>
      </c>
    </row>
    <row r="2601" spans="1:9" ht="16" x14ac:dyDescent="0.2">
      <c r="A2601" s="2" t="s">
        <v>384</v>
      </c>
      <c r="B2601" s="6">
        <f>((2.76/1000)/(Parameters!$B$4*Parameters!$B$12))</f>
        <v>9.2420049123265234E-4</v>
      </c>
      <c r="C2601" t="s">
        <v>26</v>
      </c>
      <c r="D2601" t="s">
        <v>8</v>
      </c>
      <c r="F2601" t="s">
        <v>20</v>
      </c>
      <c r="G2601" t="s">
        <v>386</v>
      </c>
      <c r="H2601" s="2" t="s">
        <v>385</v>
      </c>
    </row>
    <row r="2602" spans="1:9" ht="16" x14ac:dyDescent="0.2">
      <c r="A2602" s="2" t="s">
        <v>252</v>
      </c>
      <c r="B2602" s="6">
        <f>((4.68/1000)/(Parameters!$B$4*Parameters!$B$12))</f>
        <v>1.5671225720901498E-3</v>
      </c>
      <c r="C2602" t="s">
        <v>31</v>
      </c>
      <c r="D2602" t="s">
        <v>8</v>
      </c>
      <c r="F2602" t="s">
        <v>20</v>
      </c>
      <c r="H2602" s="2" t="s">
        <v>253</v>
      </c>
    </row>
    <row r="2603" spans="1:9" ht="16" x14ac:dyDescent="0.2">
      <c r="A2603" s="2" t="s">
        <v>254</v>
      </c>
      <c r="B2603" s="6">
        <f>((17.93/1000)/(Parameters!$B$4*Parameters!$B$12))</f>
        <v>6.0039546405077733E-3</v>
      </c>
      <c r="C2603" t="s">
        <v>255</v>
      </c>
      <c r="D2603" t="s">
        <v>8</v>
      </c>
      <c r="F2603" t="s">
        <v>20</v>
      </c>
      <c r="H2603" s="2" t="s">
        <v>256</v>
      </c>
    </row>
    <row r="2604" spans="1:9" ht="16" x14ac:dyDescent="0.2">
      <c r="A2604" s="2" t="s">
        <v>370</v>
      </c>
      <c r="B2604" s="6">
        <f>((10.73/1000)/(Parameters!$B$4*Parameters!$B$12))</f>
        <v>3.5929968372921594E-3</v>
      </c>
      <c r="C2604" t="s">
        <v>31</v>
      </c>
      <c r="D2604" t="s">
        <v>8</v>
      </c>
      <c r="F2604" t="s">
        <v>20</v>
      </c>
      <c r="G2604" t="s">
        <v>387</v>
      </c>
      <c r="H2604" s="2" t="s">
        <v>371</v>
      </c>
    </row>
    <row r="2605" spans="1:9" ht="16" x14ac:dyDescent="0.2">
      <c r="A2605" s="2" t="s">
        <v>388</v>
      </c>
      <c r="B2605" s="6">
        <f>((22.49/1000)/(Parameters!$B$4*Parameters!$B$12))</f>
        <v>7.5308945825443303E-3</v>
      </c>
      <c r="C2605" t="s">
        <v>26</v>
      </c>
      <c r="D2605" t="s">
        <v>8</v>
      </c>
      <c r="F2605" t="s">
        <v>20</v>
      </c>
      <c r="G2605" t="s">
        <v>390</v>
      </c>
      <c r="H2605" s="2" t="s">
        <v>389</v>
      </c>
    </row>
    <row r="2606" spans="1:9" x14ac:dyDescent="0.2">
      <c r="A2606" t="s">
        <v>265</v>
      </c>
      <c r="B2606" s="6">
        <f>((B2336*B2598)-Parameters!$B$15)*(1-0.975)</f>
        <v>6.2681989359331863E-2</v>
      </c>
      <c r="D2606" t="s">
        <v>8</v>
      </c>
      <c r="E2606" t="s">
        <v>37</v>
      </c>
      <c r="F2606" t="s">
        <v>36</v>
      </c>
      <c r="G2606" t="s">
        <v>428</v>
      </c>
    </row>
    <row r="2607" spans="1:9" x14ac:dyDescent="0.2">
      <c r="A2607" t="s">
        <v>306</v>
      </c>
      <c r="B2607" s="6">
        <f>1/(90000000*20)</f>
        <v>5.5555555555555553E-10</v>
      </c>
      <c r="C2607" t="s">
        <v>26</v>
      </c>
      <c r="D2607" t="s">
        <v>7</v>
      </c>
      <c r="F2607" t="s">
        <v>20</v>
      </c>
      <c r="G2607" t="s">
        <v>308</v>
      </c>
      <c r="H2607" t="s">
        <v>307</v>
      </c>
    </row>
    <row r="2608" spans="1:9" x14ac:dyDescent="0.2">
      <c r="A2608" s="35" t="s">
        <v>525</v>
      </c>
      <c r="B2608" s="36">
        <f>Parameters!C59/Parameters!B4*Parameters!B12*-1*0.27</f>
        <v>-0.14373294505680315</v>
      </c>
      <c r="C2608" t="s">
        <v>26</v>
      </c>
      <c r="D2608" t="s">
        <v>8</v>
      </c>
      <c r="E2608" s="35"/>
      <c r="F2608" s="35" t="s">
        <v>20</v>
      </c>
      <c r="G2608" s="35" t="s">
        <v>564</v>
      </c>
      <c r="H2608" s="35" t="s">
        <v>526</v>
      </c>
      <c r="I2608" s="35"/>
    </row>
    <row r="2609" spans="1:10" x14ac:dyDescent="0.2">
      <c r="A2609" s="35" t="s">
        <v>553</v>
      </c>
      <c r="B2609" s="36">
        <f>Parameters!C61*Parameters!B8/Parameters!B10/1000*B2452*-1</f>
        <v>-2.8880557910350428E-2</v>
      </c>
      <c r="C2609" t="s">
        <v>26</v>
      </c>
      <c r="D2609" t="s">
        <v>8</v>
      </c>
      <c r="E2609" s="35"/>
      <c r="F2609" s="35" t="s">
        <v>20</v>
      </c>
      <c r="G2609" s="35" t="s">
        <v>1033</v>
      </c>
      <c r="H2609" s="35" t="s">
        <v>554</v>
      </c>
      <c r="I2609" s="35"/>
    </row>
    <row r="2610" spans="1:10" x14ac:dyDescent="0.2">
      <c r="A2610" s="35" t="s">
        <v>559</v>
      </c>
      <c r="B2610" s="36">
        <f>((B2409*B2598)-Parameters!$B$15)*0.975*-1</f>
        <v>1.8638642560487737</v>
      </c>
      <c r="C2610" t="s">
        <v>26</v>
      </c>
      <c r="D2610" t="s">
        <v>8</v>
      </c>
      <c r="E2610" s="35"/>
      <c r="F2610" s="35" t="s">
        <v>20</v>
      </c>
      <c r="G2610" s="35" t="s">
        <v>560</v>
      </c>
      <c r="H2610" s="35" t="s">
        <v>561</v>
      </c>
      <c r="I2610" s="35"/>
    </row>
    <row r="2611" spans="1:10" x14ac:dyDescent="0.2">
      <c r="A2611" t="s">
        <v>1067</v>
      </c>
      <c r="B2611" s="6">
        <f>((B2336*B2598)-Parameters!$B$15)*0.975</f>
        <v>2.4445975850139403</v>
      </c>
      <c r="C2611" t="s">
        <v>572</v>
      </c>
      <c r="D2611" t="s">
        <v>8</v>
      </c>
      <c r="F2611" t="s">
        <v>20</v>
      </c>
      <c r="G2611" t="s">
        <v>1068</v>
      </c>
      <c r="H2611" t="s">
        <v>1067</v>
      </c>
    </row>
    <row r="2612" spans="1:10" ht="16" x14ac:dyDescent="0.2">
      <c r="A2612" s="2"/>
      <c r="H2612" s="2"/>
    </row>
    <row r="2613" spans="1:10" ht="16" x14ac:dyDescent="0.2">
      <c r="A2613" s="1" t="s">
        <v>1</v>
      </c>
      <c r="B2613" s="71" t="s">
        <v>433</v>
      </c>
    </row>
    <row r="2614" spans="1:10" x14ac:dyDescent="0.2">
      <c r="A2614" t="s">
        <v>2</v>
      </c>
      <c r="B2614" s="6" t="s">
        <v>1035</v>
      </c>
    </row>
    <row r="2615" spans="1:10" x14ac:dyDescent="0.2">
      <c r="A2615" t="s">
        <v>3</v>
      </c>
      <c r="B2615" s="6">
        <v>1</v>
      </c>
    </row>
    <row r="2616" spans="1:10" ht="16" x14ac:dyDescent="0.2">
      <c r="A2616" t="s">
        <v>4</v>
      </c>
      <c r="B2616" s="72" t="s">
        <v>337</v>
      </c>
    </row>
    <row r="2617" spans="1:10" x14ac:dyDescent="0.2">
      <c r="A2617" t="s">
        <v>5</v>
      </c>
      <c r="B2617" s="6" t="s">
        <v>6</v>
      </c>
    </row>
    <row r="2618" spans="1:10" x14ac:dyDescent="0.2">
      <c r="A2618" t="s">
        <v>7</v>
      </c>
      <c r="B2618" s="6" t="s">
        <v>8</v>
      </c>
    </row>
    <row r="2619" spans="1:10" x14ac:dyDescent="0.2">
      <c r="A2619" t="s">
        <v>9</v>
      </c>
      <c r="B2619" s="6" t="s">
        <v>393</v>
      </c>
    </row>
    <row r="2620" spans="1:10" x14ac:dyDescent="0.2">
      <c r="A2620" t="s">
        <v>11</v>
      </c>
      <c r="B2620" s="6" t="s">
        <v>362</v>
      </c>
    </row>
    <row r="2621" spans="1:10" ht="16" x14ac:dyDescent="0.2">
      <c r="A2621" s="1" t="s">
        <v>12</v>
      </c>
    </row>
    <row r="2622" spans="1:10" x14ac:dyDescent="0.2">
      <c r="A2622" t="s">
        <v>13</v>
      </c>
      <c r="B2622" s="6" t="s">
        <v>14</v>
      </c>
      <c r="C2622" t="s">
        <v>2</v>
      </c>
      <c r="D2622" t="s">
        <v>7</v>
      </c>
      <c r="E2622" t="s">
        <v>15</v>
      </c>
      <c r="F2622" t="s">
        <v>5</v>
      </c>
      <c r="G2622" t="s">
        <v>338</v>
      </c>
      <c r="H2622" t="s">
        <v>339</v>
      </c>
      <c r="I2622" t="s">
        <v>11</v>
      </c>
      <c r="J2622" t="s">
        <v>4</v>
      </c>
    </row>
    <row r="2623" spans="1:10" x14ac:dyDescent="0.2">
      <c r="A2623" s="35" t="s">
        <v>433</v>
      </c>
      <c r="B2623" s="36">
        <v>1</v>
      </c>
      <c r="C2623" t="s">
        <v>1035</v>
      </c>
      <c r="D2623" s="35" t="s">
        <v>8</v>
      </c>
      <c r="E2623" s="35"/>
      <c r="F2623" s="35" t="s">
        <v>17</v>
      </c>
      <c r="G2623" s="35"/>
      <c r="H2623" s="35"/>
      <c r="I2623" s="35" t="s">
        <v>18</v>
      </c>
      <c r="J2623" s="35" t="s">
        <v>337</v>
      </c>
    </row>
    <row r="2624" spans="1:10" ht="16" x14ac:dyDescent="0.2">
      <c r="A2624" s="2" t="s">
        <v>429</v>
      </c>
      <c r="B2624" s="6">
        <v>1.00057</v>
      </c>
      <c r="C2624" t="s">
        <v>1035</v>
      </c>
      <c r="D2624" t="s">
        <v>8</v>
      </c>
      <c r="F2624" s="35" t="s">
        <v>20</v>
      </c>
      <c r="G2624" t="s">
        <v>18</v>
      </c>
      <c r="I2624" s="35"/>
      <c r="J2624" s="2" t="s">
        <v>430</v>
      </c>
    </row>
    <row r="2625" spans="1:10" x14ac:dyDescent="0.2">
      <c r="A2625" s="35" t="s">
        <v>28</v>
      </c>
      <c r="B2625" s="36">
        <v>6.7000000000000002E-3</v>
      </c>
      <c r="C2625" t="s">
        <v>1036</v>
      </c>
      <c r="D2625" s="35" t="s">
        <v>29</v>
      </c>
      <c r="E2625" s="35"/>
      <c r="F2625" s="35" t="s">
        <v>20</v>
      </c>
      <c r="G2625" s="35"/>
      <c r="H2625" s="35"/>
      <c r="I2625" s="35"/>
      <c r="J2625" s="35" t="s">
        <v>30</v>
      </c>
    </row>
    <row r="2626" spans="1:10" x14ac:dyDescent="0.2">
      <c r="A2626" s="35" t="s">
        <v>340</v>
      </c>
      <c r="B2626" s="36">
        <v>-1.6799999999999999E-4</v>
      </c>
      <c r="C2626" s="35" t="s">
        <v>31</v>
      </c>
      <c r="D2626" s="35" t="s">
        <v>8</v>
      </c>
      <c r="E2626" s="35"/>
      <c r="F2626" s="35" t="s">
        <v>20</v>
      </c>
      <c r="G2626" s="35"/>
      <c r="H2626" s="35"/>
      <c r="I2626" s="35"/>
      <c r="J2626" s="35" t="s">
        <v>341</v>
      </c>
    </row>
    <row r="2627" spans="1:10" x14ac:dyDescent="0.2">
      <c r="A2627" s="35" t="s">
        <v>342</v>
      </c>
      <c r="B2627" s="36">
        <v>5.8399999999999999E-4</v>
      </c>
      <c r="C2627" s="35" t="s">
        <v>31</v>
      </c>
      <c r="D2627" s="35" t="s">
        <v>19</v>
      </c>
      <c r="E2627" s="35"/>
      <c r="F2627" s="35" t="s">
        <v>20</v>
      </c>
      <c r="G2627" s="35"/>
      <c r="H2627" s="35"/>
      <c r="I2627" s="35"/>
      <c r="J2627" s="35" t="s">
        <v>343</v>
      </c>
    </row>
    <row r="2628" spans="1:10" x14ac:dyDescent="0.2">
      <c r="A2628" s="35" t="s">
        <v>344</v>
      </c>
      <c r="B2628" s="36">
        <v>2.5999999999999998E-10</v>
      </c>
      <c r="C2628" s="35" t="s">
        <v>31</v>
      </c>
      <c r="D2628" s="35" t="s">
        <v>7</v>
      </c>
      <c r="E2628" s="35"/>
      <c r="F2628" s="35" t="s">
        <v>20</v>
      </c>
      <c r="G2628" s="35"/>
      <c r="H2628" s="35"/>
      <c r="I2628" s="35"/>
      <c r="J2628" s="35" t="s">
        <v>345</v>
      </c>
    </row>
    <row r="2629" spans="1:10" x14ac:dyDescent="0.2">
      <c r="A2629" s="35" t="s">
        <v>346</v>
      </c>
      <c r="B2629" s="36">
        <v>-6.2700000000000001E-6</v>
      </c>
      <c r="C2629" s="35" t="s">
        <v>31</v>
      </c>
      <c r="D2629" s="35" t="s">
        <v>8</v>
      </c>
      <c r="E2629" s="35"/>
      <c r="F2629" s="35" t="s">
        <v>20</v>
      </c>
      <c r="G2629" s="35"/>
      <c r="H2629" s="35"/>
      <c r="I2629" s="35"/>
      <c r="J2629" s="35" t="s">
        <v>347</v>
      </c>
    </row>
    <row r="2630" spans="1:10" x14ac:dyDescent="0.2">
      <c r="A2630" s="35" t="s">
        <v>348</v>
      </c>
      <c r="B2630" s="36">
        <v>-7.4999999999999993E-5</v>
      </c>
      <c r="C2630" s="35" t="s">
        <v>31</v>
      </c>
      <c r="D2630" s="35" t="s">
        <v>121</v>
      </c>
      <c r="E2630" s="35"/>
      <c r="F2630" s="35" t="s">
        <v>20</v>
      </c>
      <c r="G2630" s="35"/>
      <c r="H2630" s="35"/>
      <c r="I2630" s="35"/>
      <c r="J2630" s="35" t="s">
        <v>349</v>
      </c>
    </row>
    <row r="2631" spans="1:10" x14ac:dyDescent="0.2">
      <c r="A2631" s="35" t="s">
        <v>350</v>
      </c>
      <c r="B2631" s="36">
        <v>6.8900000000000005E-4</v>
      </c>
      <c r="C2631" s="35" t="s">
        <v>31</v>
      </c>
      <c r="D2631" s="35" t="s">
        <v>8</v>
      </c>
      <c r="E2631" s="35"/>
      <c r="F2631" s="35" t="s">
        <v>20</v>
      </c>
      <c r="G2631" s="35"/>
      <c r="H2631" s="35"/>
      <c r="I2631" s="35"/>
      <c r="J2631" s="35" t="s">
        <v>351</v>
      </c>
    </row>
    <row r="2632" spans="1:10" x14ac:dyDescent="0.2">
      <c r="A2632" s="35" t="s">
        <v>100</v>
      </c>
      <c r="B2632" s="36">
        <v>3.3599999999999998E-2</v>
      </c>
      <c r="C2632" s="35" t="s">
        <v>31</v>
      </c>
      <c r="D2632" s="35" t="s">
        <v>41</v>
      </c>
      <c r="E2632" s="35"/>
      <c r="F2632" s="35" t="s">
        <v>20</v>
      </c>
      <c r="G2632" s="35"/>
      <c r="H2632" s="35"/>
      <c r="I2632" s="35"/>
      <c r="J2632" s="35" t="s">
        <v>103</v>
      </c>
    </row>
    <row r="2633" spans="1:10" x14ac:dyDescent="0.2">
      <c r="A2633" s="35" t="s">
        <v>352</v>
      </c>
      <c r="B2633" s="36">
        <v>3.2599999999999997E-2</v>
      </c>
      <c r="C2633" s="35" t="s">
        <v>572</v>
      </c>
      <c r="D2633" s="35" t="s">
        <v>41</v>
      </c>
      <c r="E2633" s="35"/>
      <c r="F2633" s="35" t="s">
        <v>20</v>
      </c>
      <c r="G2633" s="35"/>
      <c r="H2633" s="35"/>
      <c r="I2633" s="35"/>
      <c r="J2633" s="35" t="s">
        <v>353</v>
      </c>
    </row>
    <row r="2634" spans="1:10" x14ac:dyDescent="0.2">
      <c r="A2634" s="35" t="s">
        <v>354</v>
      </c>
      <c r="B2634" s="36">
        <v>-6.8899999999999999E-7</v>
      </c>
      <c r="C2634" s="35" t="s">
        <v>31</v>
      </c>
      <c r="D2634" s="35" t="s">
        <v>121</v>
      </c>
      <c r="E2634" s="35"/>
      <c r="F2634" s="35" t="s">
        <v>20</v>
      </c>
      <c r="G2634" s="35"/>
      <c r="H2634" s="35"/>
      <c r="I2634" s="35"/>
      <c r="J2634" s="35" t="s">
        <v>355</v>
      </c>
    </row>
    <row r="2636" spans="1:10" ht="16" x14ac:dyDescent="0.2">
      <c r="A2636" s="1" t="s">
        <v>1</v>
      </c>
      <c r="B2636" s="71" t="s">
        <v>434</v>
      </c>
    </row>
    <row r="2637" spans="1:10" x14ac:dyDescent="0.2">
      <c r="A2637" t="s">
        <v>2</v>
      </c>
      <c r="B2637" s="6" t="s">
        <v>1035</v>
      </c>
    </row>
    <row r="2638" spans="1:10" x14ac:dyDescent="0.2">
      <c r="A2638" t="s">
        <v>3</v>
      </c>
      <c r="B2638" s="6">
        <v>1</v>
      </c>
    </row>
    <row r="2639" spans="1:10" ht="16" x14ac:dyDescent="0.2">
      <c r="A2639" t="s">
        <v>4</v>
      </c>
      <c r="B2639" s="72" t="s">
        <v>337</v>
      </c>
    </row>
    <row r="2640" spans="1:10" x14ac:dyDescent="0.2">
      <c r="A2640" t="s">
        <v>5</v>
      </c>
      <c r="B2640" s="6" t="s">
        <v>6</v>
      </c>
    </row>
    <row r="2641" spans="1:10" x14ac:dyDescent="0.2">
      <c r="A2641" t="s">
        <v>7</v>
      </c>
      <c r="B2641" s="6" t="s">
        <v>8</v>
      </c>
    </row>
    <row r="2642" spans="1:10" x14ac:dyDescent="0.2">
      <c r="A2642" t="s">
        <v>9</v>
      </c>
      <c r="B2642" s="6" t="s">
        <v>393</v>
      </c>
    </row>
    <row r="2643" spans="1:10" x14ac:dyDescent="0.2">
      <c r="A2643" t="s">
        <v>11</v>
      </c>
      <c r="B2643" s="6" t="s">
        <v>361</v>
      </c>
    </row>
    <row r="2644" spans="1:10" ht="16" x14ac:dyDescent="0.2">
      <c r="A2644" s="1" t="s">
        <v>12</v>
      </c>
    </row>
    <row r="2645" spans="1:10" x14ac:dyDescent="0.2">
      <c r="A2645" t="s">
        <v>13</v>
      </c>
      <c r="B2645" s="6" t="s">
        <v>14</v>
      </c>
      <c r="C2645" t="s">
        <v>2</v>
      </c>
      <c r="D2645" t="s">
        <v>7</v>
      </c>
      <c r="E2645" t="s">
        <v>15</v>
      </c>
      <c r="F2645" t="s">
        <v>5</v>
      </c>
      <c r="G2645" t="s">
        <v>338</v>
      </c>
      <c r="H2645" t="s">
        <v>339</v>
      </c>
      <c r="I2645" t="s">
        <v>11</v>
      </c>
      <c r="J2645" t="s">
        <v>4</v>
      </c>
    </row>
    <row r="2646" spans="1:10" x14ac:dyDescent="0.2">
      <c r="A2646" s="35" t="s">
        <v>434</v>
      </c>
      <c r="B2646" s="36">
        <v>1</v>
      </c>
      <c r="C2646" t="s">
        <v>1035</v>
      </c>
      <c r="D2646" s="35" t="s">
        <v>8</v>
      </c>
      <c r="E2646" s="35"/>
      <c r="F2646" s="35" t="s">
        <v>17</v>
      </c>
      <c r="G2646" s="35"/>
      <c r="H2646" s="35"/>
      <c r="I2646" s="35" t="s">
        <v>18</v>
      </c>
      <c r="J2646" s="35" t="s">
        <v>337</v>
      </c>
    </row>
    <row r="2647" spans="1:10" ht="16" x14ac:dyDescent="0.2">
      <c r="A2647" s="2" t="s">
        <v>432</v>
      </c>
      <c r="B2647" s="6">
        <v>1.00057</v>
      </c>
      <c r="C2647" t="s">
        <v>1035</v>
      </c>
      <c r="D2647" t="s">
        <v>8</v>
      </c>
      <c r="F2647" s="35" t="s">
        <v>20</v>
      </c>
      <c r="G2647" t="s">
        <v>18</v>
      </c>
      <c r="I2647" s="35"/>
      <c r="J2647" s="2" t="s">
        <v>430</v>
      </c>
    </row>
    <row r="2648" spans="1:10" x14ac:dyDescent="0.2">
      <c r="A2648" s="35" t="s">
        <v>28</v>
      </c>
      <c r="B2648" s="36">
        <v>6.7000000000000002E-3</v>
      </c>
      <c r="C2648" t="s">
        <v>1036</v>
      </c>
      <c r="D2648" s="35" t="s">
        <v>29</v>
      </c>
      <c r="E2648" s="35"/>
      <c r="F2648" s="35" t="s">
        <v>20</v>
      </c>
      <c r="G2648" s="35"/>
      <c r="H2648" s="35"/>
      <c r="I2648" s="35"/>
      <c r="J2648" s="35" t="s">
        <v>30</v>
      </c>
    </row>
    <row r="2649" spans="1:10" x14ac:dyDescent="0.2">
      <c r="A2649" s="35" t="s">
        <v>340</v>
      </c>
      <c r="B2649" s="36">
        <v>-1.6799999999999999E-4</v>
      </c>
      <c r="C2649" s="35" t="s">
        <v>31</v>
      </c>
      <c r="D2649" s="35" t="s">
        <v>8</v>
      </c>
      <c r="E2649" s="35"/>
      <c r="F2649" s="35" t="s">
        <v>20</v>
      </c>
      <c r="G2649" s="35"/>
      <c r="H2649" s="35"/>
      <c r="I2649" s="35"/>
      <c r="J2649" s="35" t="s">
        <v>341</v>
      </c>
    </row>
    <row r="2650" spans="1:10" x14ac:dyDescent="0.2">
      <c r="A2650" s="35" t="s">
        <v>342</v>
      </c>
      <c r="B2650" s="36">
        <v>5.8399999999999999E-4</v>
      </c>
      <c r="C2650" s="35" t="s">
        <v>31</v>
      </c>
      <c r="D2650" s="35" t="s">
        <v>19</v>
      </c>
      <c r="E2650" s="35"/>
      <c r="F2650" s="35" t="s">
        <v>20</v>
      </c>
      <c r="G2650" s="35"/>
      <c r="H2650" s="35"/>
      <c r="I2650" s="35"/>
      <c r="J2650" s="35" t="s">
        <v>343</v>
      </c>
    </row>
    <row r="2651" spans="1:10" x14ac:dyDescent="0.2">
      <c r="A2651" s="35" t="s">
        <v>344</v>
      </c>
      <c r="B2651" s="36">
        <v>2.5999999999999998E-10</v>
      </c>
      <c r="C2651" s="35" t="s">
        <v>31</v>
      </c>
      <c r="D2651" s="35" t="s">
        <v>7</v>
      </c>
      <c r="E2651" s="35"/>
      <c r="F2651" s="35" t="s">
        <v>20</v>
      </c>
      <c r="G2651" s="35"/>
      <c r="H2651" s="35"/>
      <c r="I2651" s="35"/>
      <c r="J2651" s="35" t="s">
        <v>345</v>
      </c>
    </row>
    <row r="2652" spans="1:10" x14ac:dyDescent="0.2">
      <c r="A2652" s="35" t="s">
        <v>346</v>
      </c>
      <c r="B2652" s="36">
        <v>-6.2700000000000001E-6</v>
      </c>
      <c r="C2652" s="35" t="s">
        <v>31</v>
      </c>
      <c r="D2652" s="35" t="s">
        <v>8</v>
      </c>
      <c r="E2652" s="35"/>
      <c r="F2652" s="35" t="s">
        <v>20</v>
      </c>
      <c r="G2652" s="35"/>
      <c r="H2652" s="35"/>
      <c r="I2652" s="35"/>
      <c r="J2652" s="35" t="s">
        <v>347</v>
      </c>
    </row>
    <row r="2653" spans="1:10" x14ac:dyDescent="0.2">
      <c r="A2653" s="35" t="s">
        <v>348</v>
      </c>
      <c r="B2653" s="36">
        <v>-7.4999999999999993E-5</v>
      </c>
      <c r="C2653" s="35" t="s">
        <v>31</v>
      </c>
      <c r="D2653" s="35" t="s">
        <v>121</v>
      </c>
      <c r="E2653" s="35"/>
      <c r="F2653" s="35" t="s">
        <v>20</v>
      </c>
      <c r="G2653" s="35"/>
      <c r="H2653" s="35"/>
      <c r="I2653" s="35"/>
      <c r="J2653" s="35" t="s">
        <v>349</v>
      </c>
    </row>
    <row r="2654" spans="1:10" x14ac:dyDescent="0.2">
      <c r="A2654" s="35" t="s">
        <v>350</v>
      </c>
      <c r="B2654" s="36">
        <v>6.8900000000000005E-4</v>
      </c>
      <c r="C2654" s="35" t="s">
        <v>31</v>
      </c>
      <c r="D2654" s="35" t="s">
        <v>8</v>
      </c>
      <c r="E2654" s="35"/>
      <c r="F2654" s="35" t="s">
        <v>20</v>
      </c>
      <c r="G2654" s="35"/>
      <c r="H2654" s="35"/>
      <c r="I2654" s="35"/>
      <c r="J2654" s="35" t="s">
        <v>351</v>
      </c>
    </row>
    <row r="2655" spans="1:10" x14ac:dyDescent="0.2">
      <c r="A2655" s="35" t="s">
        <v>100</v>
      </c>
      <c r="B2655" s="36">
        <v>3.3599999999999998E-2</v>
      </c>
      <c r="C2655" s="35" t="s">
        <v>31</v>
      </c>
      <c r="D2655" s="35" t="s">
        <v>41</v>
      </c>
      <c r="E2655" s="35"/>
      <c r="F2655" s="35" t="s">
        <v>20</v>
      </c>
      <c r="G2655" s="35"/>
      <c r="H2655" s="35"/>
      <c r="I2655" s="35"/>
      <c r="J2655" s="35" t="s">
        <v>103</v>
      </c>
    </row>
    <row r="2656" spans="1:10" x14ac:dyDescent="0.2">
      <c r="A2656" s="35" t="s">
        <v>352</v>
      </c>
      <c r="B2656" s="36">
        <v>3.2599999999999997E-2</v>
      </c>
      <c r="C2656" s="35" t="s">
        <v>572</v>
      </c>
      <c r="D2656" s="35" t="s">
        <v>41</v>
      </c>
      <c r="E2656" s="35"/>
      <c r="F2656" s="35" t="s">
        <v>20</v>
      </c>
      <c r="G2656" s="35"/>
      <c r="H2656" s="35"/>
      <c r="I2656" s="35"/>
      <c r="J2656" s="35" t="s">
        <v>353</v>
      </c>
    </row>
    <row r="2657" spans="1:10" x14ac:dyDescent="0.2">
      <c r="A2657" s="35" t="s">
        <v>354</v>
      </c>
      <c r="B2657" s="36">
        <v>-6.8899999999999999E-7</v>
      </c>
      <c r="C2657" s="35" t="s">
        <v>31</v>
      </c>
      <c r="D2657" s="35" t="s">
        <v>121</v>
      </c>
      <c r="E2657" s="35"/>
      <c r="F2657" s="35" t="s">
        <v>20</v>
      </c>
      <c r="G2657" s="35"/>
      <c r="H2657" s="35"/>
      <c r="I2657" s="35"/>
      <c r="J2657" s="35" t="s">
        <v>355</v>
      </c>
    </row>
    <row r="2659" spans="1:10" ht="16" x14ac:dyDescent="0.2">
      <c r="A2659" s="1" t="s">
        <v>1</v>
      </c>
      <c r="B2659" s="71" t="s">
        <v>535</v>
      </c>
    </row>
    <row r="2660" spans="1:10" x14ac:dyDescent="0.2">
      <c r="A2660" t="s">
        <v>2</v>
      </c>
      <c r="B2660" s="6" t="s">
        <v>1035</v>
      </c>
    </row>
    <row r="2661" spans="1:10" x14ac:dyDescent="0.2">
      <c r="A2661" t="s">
        <v>3</v>
      </c>
      <c r="B2661" s="6">
        <v>1</v>
      </c>
    </row>
    <row r="2662" spans="1:10" ht="16" x14ac:dyDescent="0.2">
      <c r="A2662" t="s">
        <v>4</v>
      </c>
      <c r="B2662" s="72" t="s">
        <v>337</v>
      </c>
    </row>
    <row r="2663" spans="1:10" x14ac:dyDescent="0.2">
      <c r="A2663" t="s">
        <v>5</v>
      </c>
      <c r="B2663" s="6" t="s">
        <v>6</v>
      </c>
    </row>
    <row r="2664" spans="1:10" x14ac:dyDescent="0.2">
      <c r="A2664" t="s">
        <v>7</v>
      </c>
      <c r="B2664" s="6" t="s">
        <v>8</v>
      </c>
    </row>
    <row r="2665" spans="1:10" x14ac:dyDescent="0.2">
      <c r="A2665" t="s">
        <v>9</v>
      </c>
      <c r="B2665" s="6" t="s">
        <v>393</v>
      </c>
    </row>
    <row r="2666" spans="1:10" x14ac:dyDescent="0.2">
      <c r="A2666" t="s">
        <v>11</v>
      </c>
      <c r="B2666" s="6" t="s">
        <v>507</v>
      </c>
    </row>
    <row r="2667" spans="1:10" ht="16" x14ac:dyDescent="0.2">
      <c r="A2667" s="1" t="s">
        <v>12</v>
      </c>
    </row>
    <row r="2668" spans="1:10" x14ac:dyDescent="0.2">
      <c r="A2668" t="s">
        <v>13</v>
      </c>
      <c r="B2668" s="6" t="s">
        <v>14</v>
      </c>
      <c r="C2668" t="s">
        <v>2</v>
      </c>
      <c r="D2668" t="s">
        <v>7</v>
      </c>
      <c r="E2668" t="s">
        <v>15</v>
      </c>
      <c r="F2668" t="s">
        <v>5</v>
      </c>
      <c r="G2668" t="s">
        <v>338</v>
      </c>
      <c r="H2668" t="s">
        <v>339</v>
      </c>
      <c r="I2668" t="s">
        <v>11</v>
      </c>
      <c r="J2668" t="s">
        <v>4</v>
      </c>
    </row>
    <row r="2669" spans="1:10" x14ac:dyDescent="0.2">
      <c r="A2669" s="35" t="s">
        <v>535</v>
      </c>
      <c r="B2669" s="36">
        <v>1</v>
      </c>
      <c r="C2669" t="s">
        <v>1035</v>
      </c>
      <c r="D2669" s="35" t="s">
        <v>8</v>
      </c>
      <c r="E2669" s="35"/>
      <c r="F2669" s="35" t="s">
        <v>17</v>
      </c>
      <c r="G2669" s="35"/>
      <c r="H2669" s="35"/>
      <c r="I2669" s="35" t="s">
        <v>18</v>
      </c>
      <c r="J2669" s="35" t="s">
        <v>337</v>
      </c>
    </row>
    <row r="2670" spans="1:10" ht="16" x14ac:dyDescent="0.2">
      <c r="A2670" s="2" t="s">
        <v>534</v>
      </c>
      <c r="B2670" s="6">
        <v>1.00057</v>
      </c>
      <c r="C2670" t="s">
        <v>1035</v>
      </c>
      <c r="D2670" t="s">
        <v>8</v>
      </c>
      <c r="F2670" s="35" t="s">
        <v>20</v>
      </c>
      <c r="G2670" t="s">
        <v>18</v>
      </c>
      <c r="I2670" s="35"/>
      <c r="J2670" s="2" t="s">
        <v>430</v>
      </c>
    </row>
    <row r="2671" spans="1:10" x14ac:dyDescent="0.2">
      <c r="A2671" s="35" t="s">
        <v>28</v>
      </c>
      <c r="B2671" s="36">
        <v>6.7000000000000002E-3</v>
      </c>
      <c r="C2671" t="s">
        <v>1036</v>
      </c>
      <c r="D2671" s="35" t="s">
        <v>29</v>
      </c>
      <c r="E2671" s="35"/>
      <c r="F2671" s="35" t="s">
        <v>20</v>
      </c>
      <c r="G2671" s="35"/>
      <c r="H2671" s="35"/>
      <c r="I2671" s="35"/>
      <c r="J2671" s="35" t="s">
        <v>30</v>
      </c>
    </row>
    <row r="2672" spans="1:10" x14ac:dyDescent="0.2">
      <c r="A2672" s="35" t="s">
        <v>340</v>
      </c>
      <c r="B2672" s="36">
        <v>-1.6799999999999999E-4</v>
      </c>
      <c r="C2672" s="35" t="s">
        <v>31</v>
      </c>
      <c r="D2672" s="35" t="s">
        <v>8</v>
      </c>
      <c r="E2672" s="35"/>
      <c r="F2672" s="35" t="s">
        <v>20</v>
      </c>
      <c r="G2672" s="35"/>
      <c r="H2672" s="35"/>
      <c r="I2672" s="35"/>
      <c r="J2672" s="35" t="s">
        <v>341</v>
      </c>
    </row>
    <row r="2673" spans="1:10" x14ac:dyDescent="0.2">
      <c r="A2673" s="35" t="s">
        <v>342</v>
      </c>
      <c r="B2673" s="36">
        <v>5.8399999999999999E-4</v>
      </c>
      <c r="C2673" s="35" t="s">
        <v>31</v>
      </c>
      <c r="D2673" s="35" t="s">
        <v>19</v>
      </c>
      <c r="E2673" s="35"/>
      <c r="F2673" s="35" t="s">
        <v>20</v>
      </c>
      <c r="G2673" s="35"/>
      <c r="H2673" s="35"/>
      <c r="I2673" s="35"/>
      <c r="J2673" s="35" t="s">
        <v>343</v>
      </c>
    </row>
    <row r="2674" spans="1:10" x14ac:dyDescent="0.2">
      <c r="A2674" s="35" t="s">
        <v>344</v>
      </c>
      <c r="B2674" s="36">
        <v>2.5999999999999998E-10</v>
      </c>
      <c r="C2674" s="35" t="s">
        <v>31</v>
      </c>
      <c r="D2674" s="35" t="s">
        <v>7</v>
      </c>
      <c r="E2674" s="35"/>
      <c r="F2674" s="35" t="s">
        <v>20</v>
      </c>
      <c r="G2674" s="35"/>
      <c r="H2674" s="35"/>
      <c r="I2674" s="35"/>
      <c r="J2674" s="35" t="s">
        <v>345</v>
      </c>
    </row>
    <row r="2675" spans="1:10" x14ac:dyDescent="0.2">
      <c r="A2675" s="35" t="s">
        <v>346</v>
      </c>
      <c r="B2675" s="36">
        <v>-6.2700000000000001E-6</v>
      </c>
      <c r="C2675" s="35" t="s">
        <v>31</v>
      </c>
      <c r="D2675" s="35" t="s">
        <v>8</v>
      </c>
      <c r="E2675" s="35"/>
      <c r="F2675" s="35" t="s">
        <v>20</v>
      </c>
      <c r="G2675" s="35"/>
      <c r="H2675" s="35"/>
      <c r="I2675" s="35"/>
      <c r="J2675" s="35" t="s">
        <v>347</v>
      </c>
    </row>
    <row r="2676" spans="1:10" x14ac:dyDescent="0.2">
      <c r="A2676" s="35" t="s">
        <v>348</v>
      </c>
      <c r="B2676" s="36">
        <v>-7.4999999999999993E-5</v>
      </c>
      <c r="C2676" s="35" t="s">
        <v>31</v>
      </c>
      <c r="D2676" s="35" t="s">
        <v>121</v>
      </c>
      <c r="E2676" s="35"/>
      <c r="F2676" s="35" t="s">
        <v>20</v>
      </c>
      <c r="G2676" s="35"/>
      <c r="H2676" s="35"/>
      <c r="I2676" s="35"/>
      <c r="J2676" s="35" t="s">
        <v>349</v>
      </c>
    </row>
    <row r="2677" spans="1:10" x14ac:dyDescent="0.2">
      <c r="A2677" s="35" t="s">
        <v>350</v>
      </c>
      <c r="B2677" s="36">
        <v>6.8900000000000005E-4</v>
      </c>
      <c r="C2677" s="35" t="s">
        <v>31</v>
      </c>
      <c r="D2677" s="35" t="s">
        <v>8</v>
      </c>
      <c r="E2677" s="35"/>
      <c r="F2677" s="35" t="s">
        <v>20</v>
      </c>
      <c r="G2677" s="35"/>
      <c r="H2677" s="35"/>
      <c r="I2677" s="35"/>
      <c r="J2677" s="35" t="s">
        <v>351</v>
      </c>
    </row>
    <row r="2678" spans="1:10" x14ac:dyDescent="0.2">
      <c r="A2678" s="35" t="s">
        <v>100</v>
      </c>
      <c r="B2678" s="36">
        <v>3.3599999999999998E-2</v>
      </c>
      <c r="C2678" s="35" t="s">
        <v>31</v>
      </c>
      <c r="D2678" s="35" t="s">
        <v>41</v>
      </c>
      <c r="E2678" s="35"/>
      <c r="F2678" s="35" t="s">
        <v>20</v>
      </c>
      <c r="G2678" s="35"/>
      <c r="H2678" s="35"/>
      <c r="I2678" s="35"/>
      <c r="J2678" s="35" t="s">
        <v>103</v>
      </c>
    </row>
    <row r="2679" spans="1:10" x14ac:dyDescent="0.2">
      <c r="A2679" s="35" t="s">
        <v>352</v>
      </c>
      <c r="B2679" s="36">
        <v>3.2599999999999997E-2</v>
      </c>
      <c r="C2679" s="35" t="s">
        <v>572</v>
      </c>
      <c r="D2679" s="35" t="s">
        <v>41</v>
      </c>
      <c r="E2679" s="35"/>
      <c r="F2679" s="35" t="s">
        <v>20</v>
      </c>
      <c r="G2679" s="35"/>
      <c r="H2679" s="35"/>
      <c r="I2679" s="35"/>
      <c r="J2679" s="35" t="s">
        <v>353</v>
      </c>
    </row>
    <row r="2680" spans="1:10" x14ac:dyDescent="0.2">
      <c r="A2680" s="35" t="s">
        <v>354</v>
      </c>
      <c r="B2680" s="36">
        <v>-6.8899999999999999E-7</v>
      </c>
      <c r="C2680" s="35" t="s">
        <v>31</v>
      </c>
      <c r="D2680" s="35" t="s">
        <v>121</v>
      </c>
      <c r="E2680" s="35"/>
      <c r="F2680" s="35" t="s">
        <v>20</v>
      </c>
      <c r="G2680" s="35"/>
      <c r="H2680" s="35"/>
      <c r="I2680" s="35"/>
      <c r="J2680" s="35" t="s">
        <v>355</v>
      </c>
    </row>
    <row r="2682" spans="1:10" ht="16" x14ac:dyDescent="0.2">
      <c r="A2682" s="1" t="s">
        <v>1</v>
      </c>
      <c r="B2682" s="71" t="s">
        <v>1058</v>
      </c>
    </row>
    <row r="2683" spans="1:10" x14ac:dyDescent="0.2">
      <c r="A2683" t="s">
        <v>2</v>
      </c>
      <c r="B2683" s="6" t="s">
        <v>1035</v>
      </c>
    </row>
    <row r="2684" spans="1:10" x14ac:dyDescent="0.2">
      <c r="A2684" t="s">
        <v>3</v>
      </c>
      <c r="B2684" s="6">
        <v>1</v>
      </c>
    </row>
    <row r="2685" spans="1:10" ht="16" x14ac:dyDescent="0.2">
      <c r="A2685" t="s">
        <v>4</v>
      </c>
      <c r="B2685" s="72" t="s">
        <v>337</v>
      </c>
    </row>
    <row r="2686" spans="1:10" x14ac:dyDescent="0.2">
      <c r="A2686" t="s">
        <v>5</v>
      </c>
      <c r="B2686" s="6" t="s">
        <v>6</v>
      </c>
    </row>
    <row r="2687" spans="1:10" x14ac:dyDescent="0.2">
      <c r="A2687" t="s">
        <v>7</v>
      </c>
      <c r="B2687" s="6" t="s">
        <v>8</v>
      </c>
    </row>
    <row r="2688" spans="1:10" x14ac:dyDescent="0.2">
      <c r="A2688" t="s">
        <v>9</v>
      </c>
      <c r="B2688" s="6" t="s">
        <v>393</v>
      </c>
    </row>
    <row r="2689" spans="1:10" x14ac:dyDescent="0.2">
      <c r="A2689" t="s">
        <v>11</v>
      </c>
      <c r="B2689" s="6" t="s">
        <v>362</v>
      </c>
    </row>
    <row r="2690" spans="1:10" ht="16" x14ac:dyDescent="0.2">
      <c r="A2690" s="1" t="s">
        <v>12</v>
      </c>
    </row>
    <row r="2691" spans="1:10" x14ac:dyDescent="0.2">
      <c r="A2691" t="s">
        <v>13</v>
      </c>
      <c r="B2691" s="6" t="s">
        <v>14</v>
      </c>
      <c r="C2691" t="s">
        <v>2</v>
      </c>
      <c r="D2691" t="s">
        <v>7</v>
      </c>
      <c r="E2691" t="s">
        <v>15</v>
      </c>
      <c r="F2691" t="s">
        <v>5</v>
      </c>
      <c r="G2691" t="s">
        <v>338</v>
      </c>
      <c r="H2691" t="s">
        <v>339</v>
      </c>
      <c r="I2691" t="s">
        <v>11</v>
      </c>
      <c r="J2691" t="s">
        <v>4</v>
      </c>
    </row>
    <row r="2692" spans="1:10" x14ac:dyDescent="0.2">
      <c r="A2692" s="35" t="s">
        <v>1058</v>
      </c>
      <c r="B2692" s="36">
        <v>1</v>
      </c>
      <c r="C2692" t="s">
        <v>1035</v>
      </c>
      <c r="D2692" s="35" t="s">
        <v>8</v>
      </c>
      <c r="E2692" s="35"/>
      <c r="F2692" s="35" t="s">
        <v>17</v>
      </c>
      <c r="G2692" s="35"/>
      <c r="H2692" s="35"/>
      <c r="I2692" s="35" t="s">
        <v>18</v>
      </c>
      <c r="J2692" s="35" t="s">
        <v>337</v>
      </c>
    </row>
    <row r="2693" spans="1:10" ht="16" x14ac:dyDescent="0.2">
      <c r="A2693" s="2" t="s">
        <v>1055</v>
      </c>
      <c r="B2693" s="6">
        <v>1.00057</v>
      </c>
      <c r="C2693" t="s">
        <v>1035</v>
      </c>
      <c r="D2693" t="s">
        <v>8</v>
      </c>
      <c r="F2693" s="35" t="s">
        <v>20</v>
      </c>
      <c r="G2693" t="s">
        <v>18</v>
      </c>
      <c r="I2693" s="35"/>
      <c r="J2693" s="2" t="s">
        <v>430</v>
      </c>
    </row>
    <row r="2694" spans="1:10" x14ac:dyDescent="0.2">
      <c r="A2694" s="35" t="s">
        <v>28</v>
      </c>
      <c r="B2694" s="36">
        <v>6.7000000000000002E-3</v>
      </c>
      <c r="C2694" t="s">
        <v>1036</v>
      </c>
      <c r="D2694" s="35" t="s">
        <v>29</v>
      </c>
      <c r="E2694" s="35"/>
      <c r="F2694" s="35" t="s">
        <v>20</v>
      </c>
      <c r="G2694" s="35"/>
      <c r="H2694" s="35"/>
      <c r="I2694" s="35"/>
      <c r="J2694" s="35" t="s">
        <v>30</v>
      </c>
    </row>
    <row r="2695" spans="1:10" x14ac:dyDescent="0.2">
      <c r="A2695" s="35" t="s">
        <v>340</v>
      </c>
      <c r="B2695" s="36">
        <v>-1.6799999999999999E-4</v>
      </c>
      <c r="C2695" s="35" t="s">
        <v>31</v>
      </c>
      <c r="D2695" s="35" t="s">
        <v>8</v>
      </c>
      <c r="E2695" s="35"/>
      <c r="F2695" s="35" t="s">
        <v>20</v>
      </c>
      <c r="G2695" s="35"/>
      <c r="H2695" s="35"/>
      <c r="I2695" s="35"/>
      <c r="J2695" s="35" t="s">
        <v>341</v>
      </c>
    </row>
    <row r="2696" spans="1:10" x14ac:dyDescent="0.2">
      <c r="A2696" s="35" t="s">
        <v>342</v>
      </c>
      <c r="B2696" s="36">
        <v>5.8399999999999999E-4</v>
      </c>
      <c r="C2696" s="35" t="s">
        <v>31</v>
      </c>
      <c r="D2696" s="35" t="s">
        <v>19</v>
      </c>
      <c r="E2696" s="35"/>
      <c r="F2696" s="35" t="s">
        <v>20</v>
      </c>
      <c r="G2696" s="35"/>
      <c r="H2696" s="35"/>
      <c r="I2696" s="35"/>
      <c r="J2696" s="35" t="s">
        <v>343</v>
      </c>
    </row>
    <row r="2697" spans="1:10" x14ac:dyDescent="0.2">
      <c r="A2697" s="35" t="s">
        <v>344</v>
      </c>
      <c r="B2697" s="36">
        <v>2.5999999999999998E-10</v>
      </c>
      <c r="C2697" s="35" t="s">
        <v>31</v>
      </c>
      <c r="D2697" s="35" t="s">
        <v>7</v>
      </c>
      <c r="E2697" s="35"/>
      <c r="F2697" s="35" t="s">
        <v>20</v>
      </c>
      <c r="G2697" s="35"/>
      <c r="H2697" s="35"/>
      <c r="I2697" s="35"/>
      <c r="J2697" s="35" t="s">
        <v>345</v>
      </c>
    </row>
    <row r="2698" spans="1:10" x14ac:dyDescent="0.2">
      <c r="A2698" s="35" t="s">
        <v>346</v>
      </c>
      <c r="B2698" s="36">
        <v>-6.2700000000000001E-6</v>
      </c>
      <c r="C2698" s="35" t="s">
        <v>31</v>
      </c>
      <c r="D2698" s="35" t="s">
        <v>8</v>
      </c>
      <c r="E2698" s="35"/>
      <c r="F2698" s="35" t="s">
        <v>20</v>
      </c>
      <c r="G2698" s="35"/>
      <c r="H2698" s="35"/>
      <c r="I2698" s="35"/>
      <c r="J2698" s="35" t="s">
        <v>347</v>
      </c>
    </row>
    <row r="2699" spans="1:10" x14ac:dyDescent="0.2">
      <c r="A2699" s="35" t="s">
        <v>348</v>
      </c>
      <c r="B2699" s="36">
        <v>-7.4999999999999993E-5</v>
      </c>
      <c r="C2699" s="35" t="s">
        <v>31</v>
      </c>
      <c r="D2699" s="35" t="s">
        <v>121</v>
      </c>
      <c r="E2699" s="35"/>
      <c r="F2699" s="35" t="s">
        <v>20</v>
      </c>
      <c r="G2699" s="35"/>
      <c r="H2699" s="35"/>
      <c r="I2699" s="35"/>
      <c r="J2699" s="35" t="s">
        <v>349</v>
      </c>
    </row>
    <row r="2700" spans="1:10" x14ac:dyDescent="0.2">
      <c r="A2700" s="35" t="s">
        <v>350</v>
      </c>
      <c r="B2700" s="36">
        <v>6.8900000000000005E-4</v>
      </c>
      <c r="C2700" s="35" t="s">
        <v>31</v>
      </c>
      <c r="D2700" s="35" t="s">
        <v>8</v>
      </c>
      <c r="E2700" s="35"/>
      <c r="F2700" s="35" t="s">
        <v>20</v>
      </c>
      <c r="G2700" s="35"/>
      <c r="H2700" s="35"/>
      <c r="I2700" s="35"/>
      <c r="J2700" s="35" t="s">
        <v>351</v>
      </c>
    </row>
    <row r="2701" spans="1:10" x14ac:dyDescent="0.2">
      <c r="A2701" s="35" t="s">
        <v>100</v>
      </c>
      <c r="B2701" s="36">
        <v>3.3599999999999998E-2</v>
      </c>
      <c r="C2701" s="35" t="s">
        <v>31</v>
      </c>
      <c r="D2701" s="35" t="s">
        <v>41</v>
      </c>
      <c r="E2701" s="35"/>
      <c r="F2701" s="35" t="s">
        <v>20</v>
      </c>
      <c r="G2701" s="35"/>
      <c r="H2701" s="35"/>
      <c r="I2701" s="35"/>
      <c r="J2701" s="35" t="s">
        <v>103</v>
      </c>
    </row>
    <row r="2702" spans="1:10" x14ac:dyDescent="0.2">
      <c r="A2702" s="35" t="s">
        <v>352</v>
      </c>
      <c r="B2702" s="36">
        <v>3.2599999999999997E-2</v>
      </c>
      <c r="C2702" s="35" t="s">
        <v>572</v>
      </c>
      <c r="D2702" s="35" t="s">
        <v>41</v>
      </c>
      <c r="E2702" s="35"/>
      <c r="F2702" s="35" t="s">
        <v>20</v>
      </c>
      <c r="G2702" s="35"/>
      <c r="H2702" s="35"/>
      <c r="I2702" s="35"/>
      <c r="J2702" s="35" t="s">
        <v>353</v>
      </c>
    </row>
    <row r="2703" spans="1:10" x14ac:dyDescent="0.2">
      <c r="A2703" s="35" t="s">
        <v>354</v>
      </c>
      <c r="B2703" s="36">
        <v>-6.8899999999999999E-7</v>
      </c>
      <c r="C2703" s="35" t="s">
        <v>31</v>
      </c>
      <c r="D2703" s="35" t="s">
        <v>121</v>
      </c>
      <c r="E2703" s="35"/>
      <c r="F2703" s="35" t="s">
        <v>20</v>
      </c>
      <c r="G2703" s="35"/>
      <c r="H2703" s="35"/>
      <c r="I2703" s="35"/>
      <c r="J2703" s="35" t="s">
        <v>355</v>
      </c>
    </row>
    <row r="2705" spans="1:10" ht="16" x14ac:dyDescent="0.2">
      <c r="A2705" s="1" t="s">
        <v>1</v>
      </c>
      <c r="B2705" s="71" t="s">
        <v>1059</v>
      </c>
    </row>
    <row r="2706" spans="1:10" x14ac:dyDescent="0.2">
      <c r="A2706" t="s">
        <v>2</v>
      </c>
      <c r="B2706" s="6" t="s">
        <v>1035</v>
      </c>
    </row>
    <row r="2707" spans="1:10" x14ac:dyDescent="0.2">
      <c r="A2707" t="s">
        <v>3</v>
      </c>
      <c r="B2707" s="6">
        <v>1</v>
      </c>
    </row>
    <row r="2708" spans="1:10" ht="16" x14ac:dyDescent="0.2">
      <c r="A2708" t="s">
        <v>4</v>
      </c>
      <c r="B2708" s="72" t="s">
        <v>337</v>
      </c>
    </row>
    <row r="2709" spans="1:10" x14ac:dyDescent="0.2">
      <c r="A2709" t="s">
        <v>5</v>
      </c>
      <c r="B2709" s="6" t="s">
        <v>6</v>
      </c>
    </row>
    <row r="2710" spans="1:10" x14ac:dyDescent="0.2">
      <c r="A2710" t="s">
        <v>7</v>
      </c>
      <c r="B2710" s="6" t="s">
        <v>8</v>
      </c>
    </row>
    <row r="2711" spans="1:10" x14ac:dyDescent="0.2">
      <c r="A2711" t="s">
        <v>9</v>
      </c>
      <c r="B2711" s="6" t="s">
        <v>393</v>
      </c>
    </row>
    <row r="2712" spans="1:10" x14ac:dyDescent="0.2">
      <c r="A2712" t="s">
        <v>11</v>
      </c>
      <c r="B2712" s="6" t="s">
        <v>361</v>
      </c>
    </row>
    <row r="2713" spans="1:10" ht="16" x14ac:dyDescent="0.2">
      <c r="A2713" s="1" t="s">
        <v>12</v>
      </c>
    </row>
    <row r="2714" spans="1:10" x14ac:dyDescent="0.2">
      <c r="A2714" t="s">
        <v>13</v>
      </c>
      <c r="B2714" s="6" t="s">
        <v>14</v>
      </c>
      <c r="C2714" t="s">
        <v>2</v>
      </c>
      <c r="D2714" t="s">
        <v>7</v>
      </c>
      <c r="E2714" t="s">
        <v>15</v>
      </c>
      <c r="F2714" t="s">
        <v>5</v>
      </c>
      <c r="G2714" t="s">
        <v>338</v>
      </c>
      <c r="H2714" t="s">
        <v>339</v>
      </c>
      <c r="I2714" t="s">
        <v>11</v>
      </c>
      <c r="J2714" t="s">
        <v>4</v>
      </c>
    </row>
    <row r="2715" spans="1:10" x14ac:dyDescent="0.2">
      <c r="A2715" s="35" t="s">
        <v>1059</v>
      </c>
      <c r="B2715" s="36">
        <v>1</v>
      </c>
      <c r="C2715" t="s">
        <v>1035</v>
      </c>
      <c r="D2715" s="35" t="s">
        <v>8</v>
      </c>
      <c r="E2715" s="35"/>
      <c r="F2715" s="35" t="s">
        <v>17</v>
      </c>
      <c r="G2715" s="35"/>
      <c r="H2715" s="35"/>
      <c r="I2715" s="35" t="s">
        <v>18</v>
      </c>
      <c r="J2715" s="35" t="s">
        <v>337</v>
      </c>
    </row>
    <row r="2716" spans="1:10" ht="16" x14ac:dyDescent="0.2">
      <c r="A2716" s="2" t="s">
        <v>1056</v>
      </c>
      <c r="B2716" s="6">
        <v>1.00057</v>
      </c>
      <c r="C2716" t="s">
        <v>1035</v>
      </c>
      <c r="D2716" t="s">
        <v>8</v>
      </c>
      <c r="F2716" s="35" t="s">
        <v>20</v>
      </c>
      <c r="G2716" t="s">
        <v>18</v>
      </c>
      <c r="I2716" s="35"/>
      <c r="J2716" s="2" t="s">
        <v>430</v>
      </c>
    </row>
    <row r="2717" spans="1:10" x14ac:dyDescent="0.2">
      <c r="A2717" s="35" t="s">
        <v>28</v>
      </c>
      <c r="B2717" s="36">
        <v>6.7000000000000002E-3</v>
      </c>
      <c r="C2717" t="s">
        <v>1036</v>
      </c>
      <c r="D2717" s="35" t="s">
        <v>29</v>
      </c>
      <c r="E2717" s="35"/>
      <c r="F2717" s="35" t="s">
        <v>20</v>
      </c>
      <c r="G2717" s="35"/>
      <c r="H2717" s="35"/>
      <c r="I2717" s="35"/>
      <c r="J2717" s="35" t="s">
        <v>30</v>
      </c>
    </row>
    <row r="2718" spans="1:10" x14ac:dyDescent="0.2">
      <c r="A2718" s="35" t="s">
        <v>340</v>
      </c>
      <c r="B2718" s="36">
        <v>-1.6799999999999999E-4</v>
      </c>
      <c r="C2718" s="35" t="s">
        <v>31</v>
      </c>
      <c r="D2718" s="35" t="s">
        <v>8</v>
      </c>
      <c r="E2718" s="35"/>
      <c r="F2718" s="35" t="s">
        <v>20</v>
      </c>
      <c r="G2718" s="35"/>
      <c r="H2718" s="35"/>
      <c r="I2718" s="35"/>
      <c r="J2718" s="35" t="s">
        <v>341</v>
      </c>
    </row>
    <row r="2719" spans="1:10" x14ac:dyDescent="0.2">
      <c r="A2719" s="35" t="s">
        <v>342</v>
      </c>
      <c r="B2719" s="36">
        <v>5.8399999999999999E-4</v>
      </c>
      <c r="C2719" s="35" t="s">
        <v>31</v>
      </c>
      <c r="D2719" s="35" t="s">
        <v>19</v>
      </c>
      <c r="E2719" s="35"/>
      <c r="F2719" s="35" t="s">
        <v>20</v>
      </c>
      <c r="G2719" s="35"/>
      <c r="H2719" s="35"/>
      <c r="I2719" s="35"/>
      <c r="J2719" s="35" t="s">
        <v>343</v>
      </c>
    </row>
    <row r="2720" spans="1:10" x14ac:dyDescent="0.2">
      <c r="A2720" s="35" t="s">
        <v>344</v>
      </c>
      <c r="B2720" s="36">
        <v>2.5999999999999998E-10</v>
      </c>
      <c r="C2720" s="35" t="s">
        <v>31</v>
      </c>
      <c r="D2720" s="35" t="s">
        <v>7</v>
      </c>
      <c r="E2720" s="35"/>
      <c r="F2720" s="35" t="s">
        <v>20</v>
      </c>
      <c r="G2720" s="35"/>
      <c r="H2720" s="35"/>
      <c r="I2720" s="35"/>
      <c r="J2720" s="35" t="s">
        <v>345</v>
      </c>
    </row>
    <row r="2721" spans="1:10" x14ac:dyDescent="0.2">
      <c r="A2721" s="35" t="s">
        <v>346</v>
      </c>
      <c r="B2721" s="36">
        <v>-6.2700000000000001E-6</v>
      </c>
      <c r="C2721" s="35" t="s">
        <v>31</v>
      </c>
      <c r="D2721" s="35" t="s">
        <v>8</v>
      </c>
      <c r="E2721" s="35"/>
      <c r="F2721" s="35" t="s">
        <v>20</v>
      </c>
      <c r="G2721" s="35"/>
      <c r="H2721" s="35"/>
      <c r="I2721" s="35"/>
      <c r="J2721" s="35" t="s">
        <v>347</v>
      </c>
    </row>
    <row r="2722" spans="1:10" x14ac:dyDescent="0.2">
      <c r="A2722" s="35" t="s">
        <v>348</v>
      </c>
      <c r="B2722" s="36">
        <v>-7.4999999999999993E-5</v>
      </c>
      <c r="C2722" s="35" t="s">
        <v>31</v>
      </c>
      <c r="D2722" s="35" t="s">
        <v>121</v>
      </c>
      <c r="E2722" s="35"/>
      <c r="F2722" s="35" t="s">
        <v>20</v>
      </c>
      <c r="G2722" s="35"/>
      <c r="H2722" s="35"/>
      <c r="I2722" s="35"/>
      <c r="J2722" s="35" t="s">
        <v>349</v>
      </c>
    </row>
    <row r="2723" spans="1:10" x14ac:dyDescent="0.2">
      <c r="A2723" s="35" t="s">
        <v>350</v>
      </c>
      <c r="B2723" s="36">
        <v>6.8900000000000005E-4</v>
      </c>
      <c r="C2723" s="35" t="s">
        <v>31</v>
      </c>
      <c r="D2723" s="35" t="s">
        <v>8</v>
      </c>
      <c r="E2723" s="35"/>
      <c r="F2723" s="35" t="s">
        <v>20</v>
      </c>
      <c r="G2723" s="35"/>
      <c r="H2723" s="35"/>
      <c r="I2723" s="35"/>
      <c r="J2723" s="35" t="s">
        <v>351</v>
      </c>
    </row>
    <row r="2724" spans="1:10" x14ac:dyDescent="0.2">
      <c r="A2724" s="35" t="s">
        <v>100</v>
      </c>
      <c r="B2724" s="36">
        <v>3.3599999999999998E-2</v>
      </c>
      <c r="C2724" s="35" t="s">
        <v>31</v>
      </c>
      <c r="D2724" s="35" t="s">
        <v>41</v>
      </c>
      <c r="E2724" s="35"/>
      <c r="F2724" s="35" t="s">
        <v>20</v>
      </c>
      <c r="G2724" s="35"/>
      <c r="H2724" s="35"/>
      <c r="I2724" s="35"/>
      <c r="J2724" s="35" t="s">
        <v>103</v>
      </c>
    </row>
    <row r="2725" spans="1:10" x14ac:dyDescent="0.2">
      <c r="A2725" s="35" t="s">
        <v>352</v>
      </c>
      <c r="B2725" s="36">
        <v>3.2599999999999997E-2</v>
      </c>
      <c r="C2725" s="35" t="s">
        <v>572</v>
      </c>
      <c r="D2725" s="35" t="s">
        <v>41</v>
      </c>
      <c r="E2725" s="35"/>
      <c r="F2725" s="35" t="s">
        <v>20</v>
      </c>
      <c r="G2725" s="35"/>
      <c r="H2725" s="35"/>
      <c r="I2725" s="35"/>
      <c r="J2725" s="35" t="s">
        <v>353</v>
      </c>
    </row>
    <row r="2726" spans="1:10" x14ac:dyDescent="0.2">
      <c r="A2726" s="35" t="s">
        <v>354</v>
      </c>
      <c r="B2726" s="36">
        <v>-6.8899999999999999E-7</v>
      </c>
      <c r="C2726" s="35" t="s">
        <v>31</v>
      </c>
      <c r="D2726" s="35" t="s">
        <v>121</v>
      </c>
      <c r="E2726" s="35"/>
      <c r="F2726" s="35" t="s">
        <v>20</v>
      </c>
      <c r="G2726" s="35"/>
      <c r="H2726" s="35"/>
      <c r="I2726" s="35"/>
      <c r="J2726" s="35" t="s">
        <v>355</v>
      </c>
    </row>
    <row r="2728" spans="1:10" ht="16" x14ac:dyDescent="0.2">
      <c r="A2728" s="1" t="s">
        <v>1</v>
      </c>
      <c r="B2728" s="71" t="s">
        <v>1060</v>
      </c>
    </row>
    <row r="2729" spans="1:10" x14ac:dyDescent="0.2">
      <c r="A2729" t="s">
        <v>2</v>
      </c>
      <c r="B2729" s="6" t="s">
        <v>1035</v>
      </c>
    </row>
    <row r="2730" spans="1:10" x14ac:dyDescent="0.2">
      <c r="A2730" t="s">
        <v>3</v>
      </c>
      <c r="B2730" s="6">
        <v>1</v>
      </c>
    </row>
    <row r="2731" spans="1:10" ht="16" x14ac:dyDescent="0.2">
      <c r="A2731" t="s">
        <v>4</v>
      </c>
      <c r="B2731" s="72" t="s">
        <v>337</v>
      </c>
    </row>
    <row r="2732" spans="1:10" x14ac:dyDescent="0.2">
      <c r="A2732" t="s">
        <v>5</v>
      </c>
      <c r="B2732" s="6" t="s">
        <v>6</v>
      </c>
    </row>
    <row r="2733" spans="1:10" x14ac:dyDescent="0.2">
      <c r="A2733" t="s">
        <v>7</v>
      </c>
      <c r="B2733" s="6" t="s">
        <v>8</v>
      </c>
    </row>
    <row r="2734" spans="1:10" x14ac:dyDescent="0.2">
      <c r="A2734" t="s">
        <v>9</v>
      </c>
      <c r="B2734" s="6" t="s">
        <v>393</v>
      </c>
    </row>
    <row r="2735" spans="1:10" x14ac:dyDescent="0.2">
      <c r="A2735" t="s">
        <v>11</v>
      </c>
      <c r="B2735" s="6" t="s">
        <v>507</v>
      </c>
    </row>
    <row r="2736" spans="1:10" ht="16" x14ac:dyDescent="0.2">
      <c r="A2736" s="1" t="s">
        <v>12</v>
      </c>
    </row>
    <row r="2737" spans="1:10" x14ac:dyDescent="0.2">
      <c r="A2737" t="s">
        <v>13</v>
      </c>
      <c r="B2737" s="6" t="s">
        <v>14</v>
      </c>
      <c r="C2737" t="s">
        <v>2</v>
      </c>
      <c r="D2737" t="s">
        <v>7</v>
      </c>
      <c r="E2737" t="s">
        <v>15</v>
      </c>
      <c r="F2737" t="s">
        <v>5</v>
      </c>
      <c r="G2737" t="s">
        <v>338</v>
      </c>
      <c r="H2737" t="s">
        <v>339</v>
      </c>
      <c r="I2737" t="s">
        <v>11</v>
      </c>
      <c r="J2737" t="s">
        <v>4</v>
      </c>
    </row>
    <row r="2738" spans="1:10" x14ac:dyDescent="0.2">
      <c r="A2738" s="35" t="s">
        <v>1060</v>
      </c>
      <c r="B2738" s="36">
        <v>1</v>
      </c>
      <c r="C2738" t="s">
        <v>1035</v>
      </c>
      <c r="D2738" s="35" t="s">
        <v>8</v>
      </c>
      <c r="E2738" s="35"/>
      <c r="F2738" s="35" t="s">
        <v>17</v>
      </c>
      <c r="G2738" s="35"/>
      <c r="H2738" s="35"/>
      <c r="I2738" s="35" t="s">
        <v>18</v>
      </c>
      <c r="J2738" s="35" t="s">
        <v>337</v>
      </c>
    </row>
    <row r="2739" spans="1:10" ht="16" x14ac:dyDescent="0.2">
      <c r="A2739" s="2" t="s">
        <v>1057</v>
      </c>
      <c r="B2739" s="6">
        <v>1.00057</v>
      </c>
      <c r="C2739" t="s">
        <v>1035</v>
      </c>
      <c r="D2739" t="s">
        <v>8</v>
      </c>
      <c r="F2739" s="35" t="s">
        <v>20</v>
      </c>
      <c r="G2739" t="s">
        <v>18</v>
      </c>
      <c r="I2739" s="35"/>
      <c r="J2739" s="2" t="s">
        <v>430</v>
      </c>
    </row>
    <row r="2740" spans="1:10" x14ac:dyDescent="0.2">
      <c r="A2740" s="35" t="s">
        <v>28</v>
      </c>
      <c r="B2740" s="36">
        <v>6.7000000000000002E-3</v>
      </c>
      <c r="C2740" t="s">
        <v>1036</v>
      </c>
      <c r="D2740" s="35" t="s">
        <v>29</v>
      </c>
      <c r="E2740" s="35"/>
      <c r="F2740" s="35" t="s">
        <v>20</v>
      </c>
      <c r="G2740" s="35"/>
      <c r="H2740" s="35"/>
      <c r="I2740" s="35"/>
      <c r="J2740" s="35" t="s">
        <v>30</v>
      </c>
    </row>
    <row r="2741" spans="1:10" x14ac:dyDescent="0.2">
      <c r="A2741" s="35" t="s">
        <v>340</v>
      </c>
      <c r="B2741" s="36">
        <v>-1.6799999999999999E-4</v>
      </c>
      <c r="C2741" s="35" t="s">
        <v>31</v>
      </c>
      <c r="D2741" s="35" t="s">
        <v>8</v>
      </c>
      <c r="E2741" s="35"/>
      <c r="F2741" s="35" t="s">
        <v>20</v>
      </c>
      <c r="G2741" s="35"/>
      <c r="H2741" s="35"/>
      <c r="I2741" s="35"/>
      <c r="J2741" s="35" t="s">
        <v>341</v>
      </c>
    </row>
    <row r="2742" spans="1:10" x14ac:dyDescent="0.2">
      <c r="A2742" s="35" t="s">
        <v>342</v>
      </c>
      <c r="B2742" s="36">
        <v>5.8399999999999999E-4</v>
      </c>
      <c r="C2742" s="35" t="s">
        <v>31</v>
      </c>
      <c r="D2742" s="35" t="s">
        <v>19</v>
      </c>
      <c r="E2742" s="35"/>
      <c r="F2742" s="35" t="s">
        <v>20</v>
      </c>
      <c r="G2742" s="35"/>
      <c r="H2742" s="35"/>
      <c r="I2742" s="35"/>
      <c r="J2742" s="35" t="s">
        <v>343</v>
      </c>
    </row>
    <row r="2743" spans="1:10" x14ac:dyDescent="0.2">
      <c r="A2743" s="35" t="s">
        <v>344</v>
      </c>
      <c r="B2743" s="36">
        <v>2.5999999999999998E-10</v>
      </c>
      <c r="C2743" s="35" t="s">
        <v>31</v>
      </c>
      <c r="D2743" s="35" t="s">
        <v>7</v>
      </c>
      <c r="E2743" s="35"/>
      <c r="F2743" s="35" t="s">
        <v>20</v>
      </c>
      <c r="G2743" s="35"/>
      <c r="H2743" s="35"/>
      <c r="I2743" s="35"/>
      <c r="J2743" s="35" t="s">
        <v>345</v>
      </c>
    </row>
    <row r="2744" spans="1:10" x14ac:dyDescent="0.2">
      <c r="A2744" s="35" t="s">
        <v>346</v>
      </c>
      <c r="B2744" s="36">
        <v>-6.2700000000000001E-6</v>
      </c>
      <c r="C2744" s="35" t="s">
        <v>31</v>
      </c>
      <c r="D2744" s="35" t="s">
        <v>8</v>
      </c>
      <c r="E2744" s="35"/>
      <c r="F2744" s="35" t="s">
        <v>20</v>
      </c>
      <c r="G2744" s="35"/>
      <c r="H2744" s="35"/>
      <c r="I2744" s="35"/>
      <c r="J2744" s="35" t="s">
        <v>347</v>
      </c>
    </row>
    <row r="2745" spans="1:10" x14ac:dyDescent="0.2">
      <c r="A2745" s="35" t="s">
        <v>348</v>
      </c>
      <c r="B2745" s="36">
        <v>-7.4999999999999993E-5</v>
      </c>
      <c r="C2745" s="35" t="s">
        <v>31</v>
      </c>
      <c r="D2745" s="35" t="s">
        <v>121</v>
      </c>
      <c r="E2745" s="35"/>
      <c r="F2745" s="35" t="s">
        <v>20</v>
      </c>
      <c r="G2745" s="35"/>
      <c r="H2745" s="35"/>
      <c r="I2745" s="35"/>
      <c r="J2745" s="35" t="s">
        <v>349</v>
      </c>
    </row>
    <row r="2746" spans="1:10" x14ac:dyDescent="0.2">
      <c r="A2746" s="35" t="s">
        <v>350</v>
      </c>
      <c r="B2746" s="36">
        <v>6.8900000000000005E-4</v>
      </c>
      <c r="C2746" s="35" t="s">
        <v>31</v>
      </c>
      <c r="D2746" s="35" t="s">
        <v>8</v>
      </c>
      <c r="E2746" s="35"/>
      <c r="F2746" s="35" t="s">
        <v>20</v>
      </c>
      <c r="G2746" s="35"/>
      <c r="H2746" s="35"/>
      <c r="I2746" s="35"/>
      <c r="J2746" s="35" t="s">
        <v>351</v>
      </c>
    </row>
    <row r="2747" spans="1:10" x14ac:dyDescent="0.2">
      <c r="A2747" s="35" t="s">
        <v>100</v>
      </c>
      <c r="B2747" s="36">
        <v>3.3599999999999998E-2</v>
      </c>
      <c r="C2747" s="35" t="s">
        <v>31</v>
      </c>
      <c r="D2747" s="35" t="s">
        <v>41</v>
      </c>
      <c r="E2747" s="35"/>
      <c r="F2747" s="35" t="s">
        <v>20</v>
      </c>
      <c r="G2747" s="35"/>
      <c r="H2747" s="35"/>
      <c r="I2747" s="35"/>
      <c r="J2747" s="35" t="s">
        <v>103</v>
      </c>
    </row>
    <row r="2748" spans="1:10" x14ac:dyDescent="0.2">
      <c r="A2748" s="35" t="s">
        <v>352</v>
      </c>
      <c r="B2748" s="36">
        <v>3.2599999999999997E-2</v>
      </c>
      <c r="C2748" s="35" t="s">
        <v>572</v>
      </c>
      <c r="D2748" s="35" t="s">
        <v>41</v>
      </c>
      <c r="E2748" s="35"/>
      <c r="F2748" s="35" t="s">
        <v>20</v>
      </c>
      <c r="G2748" s="35"/>
      <c r="H2748" s="35"/>
      <c r="I2748" s="35"/>
      <c r="J2748" s="35" t="s">
        <v>353</v>
      </c>
    </row>
    <row r="2749" spans="1:10" x14ac:dyDescent="0.2">
      <c r="A2749" s="35" t="s">
        <v>354</v>
      </c>
      <c r="B2749" s="36">
        <v>-6.8899999999999999E-7</v>
      </c>
      <c r="C2749" s="35" t="s">
        <v>31</v>
      </c>
      <c r="D2749" s="35" t="s">
        <v>121</v>
      </c>
      <c r="E2749" s="35"/>
      <c r="F2749" s="35" t="s">
        <v>20</v>
      </c>
      <c r="G2749" s="35"/>
      <c r="H2749" s="35"/>
      <c r="I2749" s="35"/>
      <c r="J2749" s="35" t="s">
        <v>355</v>
      </c>
    </row>
    <row r="2751" spans="1:10" ht="16" x14ac:dyDescent="0.2">
      <c r="A2751" s="1" t="s">
        <v>1</v>
      </c>
      <c r="B2751" s="71" t="s">
        <v>1069</v>
      </c>
    </row>
    <row r="2752" spans="1:10" x14ac:dyDescent="0.2">
      <c r="A2752" t="s">
        <v>2</v>
      </c>
      <c r="B2752" s="6" t="s">
        <v>1035</v>
      </c>
    </row>
    <row r="2753" spans="1:10" x14ac:dyDescent="0.2">
      <c r="A2753" t="s">
        <v>3</v>
      </c>
      <c r="B2753" s="6">
        <v>1</v>
      </c>
    </row>
    <row r="2754" spans="1:10" ht="16" x14ac:dyDescent="0.2">
      <c r="A2754" t="s">
        <v>4</v>
      </c>
      <c r="B2754" s="72" t="s">
        <v>337</v>
      </c>
    </row>
    <row r="2755" spans="1:10" x14ac:dyDescent="0.2">
      <c r="A2755" t="s">
        <v>5</v>
      </c>
      <c r="B2755" s="6" t="s">
        <v>6</v>
      </c>
    </row>
    <row r="2756" spans="1:10" x14ac:dyDescent="0.2">
      <c r="A2756" t="s">
        <v>7</v>
      </c>
      <c r="B2756" s="6" t="s">
        <v>8</v>
      </c>
    </row>
    <row r="2757" spans="1:10" x14ac:dyDescent="0.2">
      <c r="A2757" t="s">
        <v>9</v>
      </c>
      <c r="B2757" s="6" t="s">
        <v>393</v>
      </c>
    </row>
    <row r="2758" spans="1:10" x14ac:dyDescent="0.2">
      <c r="A2758" t="s">
        <v>11</v>
      </c>
      <c r="B2758" s="6" t="s">
        <v>362</v>
      </c>
    </row>
    <row r="2759" spans="1:10" ht="16" x14ac:dyDescent="0.2">
      <c r="A2759" s="1" t="s">
        <v>12</v>
      </c>
    </row>
    <row r="2760" spans="1:10" x14ac:dyDescent="0.2">
      <c r="A2760" t="s">
        <v>13</v>
      </c>
      <c r="B2760" s="6" t="s">
        <v>14</v>
      </c>
      <c r="C2760" t="s">
        <v>2</v>
      </c>
      <c r="D2760" t="s">
        <v>7</v>
      </c>
      <c r="E2760" t="s">
        <v>15</v>
      </c>
      <c r="F2760" t="s">
        <v>5</v>
      </c>
      <c r="G2760" t="s">
        <v>338</v>
      </c>
      <c r="H2760" t="s">
        <v>339</v>
      </c>
      <c r="I2760" t="s">
        <v>11</v>
      </c>
      <c r="J2760" t="s">
        <v>4</v>
      </c>
    </row>
    <row r="2761" spans="1:10" x14ac:dyDescent="0.2">
      <c r="A2761" s="35" t="s">
        <v>1069</v>
      </c>
      <c r="B2761" s="36">
        <v>1</v>
      </c>
      <c r="C2761" t="s">
        <v>1035</v>
      </c>
      <c r="D2761" s="35" t="s">
        <v>8</v>
      </c>
      <c r="E2761" s="35"/>
      <c r="F2761" s="35" t="s">
        <v>17</v>
      </c>
      <c r="G2761" s="35"/>
      <c r="H2761" s="35"/>
      <c r="I2761" s="35" t="s">
        <v>18</v>
      </c>
      <c r="J2761" s="35" t="s">
        <v>337</v>
      </c>
    </row>
    <row r="2762" spans="1:10" ht="16" x14ac:dyDescent="0.2">
      <c r="A2762" s="2" t="s">
        <v>1061</v>
      </c>
      <c r="B2762" s="6">
        <v>1.00057</v>
      </c>
      <c r="C2762" t="s">
        <v>1035</v>
      </c>
      <c r="D2762" t="s">
        <v>8</v>
      </c>
      <c r="F2762" s="35" t="s">
        <v>20</v>
      </c>
      <c r="G2762" t="s">
        <v>18</v>
      </c>
      <c r="I2762" s="35"/>
      <c r="J2762" s="2" t="s">
        <v>430</v>
      </c>
    </row>
    <row r="2763" spans="1:10" x14ac:dyDescent="0.2">
      <c r="A2763" s="35" t="s">
        <v>28</v>
      </c>
      <c r="B2763" s="36">
        <v>6.7000000000000002E-3</v>
      </c>
      <c r="C2763" t="s">
        <v>1036</v>
      </c>
      <c r="D2763" s="35" t="s">
        <v>29</v>
      </c>
      <c r="E2763" s="35"/>
      <c r="F2763" s="35" t="s">
        <v>20</v>
      </c>
      <c r="G2763" s="35"/>
      <c r="H2763" s="35"/>
      <c r="I2763" s="35"/>
      <c r="J2763" s="35" t="s">
        <v>30</v>
      </c>
    </row>
    <row r="2764" spans="1:10" x14ac:dyDescent="0.2">
      <c r="A2764" s="35" t="s">
        <v>340</v>
      </c>
      <c r="B2764" s="36">
        <v>-1.6799999999999999E-4</v>
      </c>
      <c r="C2764" s="35" t="s">
        <v>31</v>
      </c>
      <c r="D2764" s="35" t="s">
        <v>8</v>
      </c>
      <c r="E2764" s="35"/>
      <c r="F2764" s="35" t="s">
        <v>20</v>
      </c>
      <c r="G2764" s="35"/>
      <c r="H2764" s="35"/>
      <c r="I2764" s="35"/>
      <c r="J2764" s="35" t="s">
        <v>341</v>
      </c>
    </row>
    <row r="2765" spans="1:10" x14ac:dyDescent="0.2">
      <c r="A2765" s="35" t="s">
        <v>342</v>
      </c>
      <c r="B2765" s="36">
        <v>5.8399999999999999E-4</v>
      </c>
      <c r="C2765" s="35" t="s">
        <v>31</v>
      </c>
      <c r="D2765" s="35" t="s">
        <v>19</v>
      </c>
      <c r="E2765" s="35"/>
      <c r="F2765" s="35" t="s">
        <v>20</v>
      </c>
      <c r="G2765" s="35"/>
      <c r="H2765" s="35"/>
      <c r="I2765" s="35"/>
      <c r="J2765" s="35" t="s">
        <v>343</v>
      </c>
    </row>
    <row r="2766" spans="1:10" x14ac:dyDescent="0.2">
      <c r="A2766" s="35" t="s">
        <v>344</v>
      </c>
      <c r="B2766" s="36">
        <v>2.5999999999999998E-10</v>
      </c>
      <c r="C2766" s="35" t="s">
        <v>31</v>
      </c>
      <c r="D2766" s="35" t="s">
        <v>7</v>
      </c>
      <c r="E2766" s="35"/>
      <c r="F2766" s="35" t="s">
        <v>20</v>
      </c>
      <c r="G2766" s="35"/>
      <c r="H2766" s="35"/>
      <c r="I2766" s="35"/>
      <c r="J2766" s="35" t="s">
        <v>345</v>
      </c>
    </row>
    <row r="2767" spans="1:10" x14ac:dyDescent="0.2">
      <c r="A2767" s="35" t="s">
        <v>346</v>
      </c>
      <c r="B2767" s="36">
        <v>-6.2700000000000001E-6</v>
      </c>
      <c r="C2767" s="35" t="s">
        <v>31</v>
      </c>
      <c r="D2767" s="35" t="s">
        <v>8</v>
      </c>
      <c r="E2767" s="35"/>
      <c r="F2767" s="35" t="s">
        <v>20</v>
      </c>
      <c r="G2767" s="35"/>
      <c r="H2767" s="35"/>
      <c r="I2767" s="35"/>
      <c r="J2767" s="35" t="s">
        <v>347</v>
      </c>
    </row>
    <row r="2768" spans="1:10" x14ac:dyDescent="0.2">
      <c r="A2768" s="35" t="s">
        <v>348</v>
      </c>
      <c r="B2768" s="36">
        <v>-7.4999999999999993E-5</v>
      </c>
      <c r="C2768" s="35" t="s">
        <v>31</v>
      </c>
      <c r="D2768" s="35" t="s">
        <v>121</v>
      </c>
      <c r="E2768" s="35"/>
      <c r="F2768" s="35" t="s">
        <v>20</v>
      </c>
      <c r="G2768" s="35"/>
      <c r="H2768" s="35"/>
      <c r="I2768" s="35"/>
      <c r="J2768" s="35" t="s">
        <v>349</v>
      </c>
    </row>
    <row r="2769" spans="1:10" x14ac:dyDescent="0.2">
      <c r="A2769" s="35" t="s">
        <v>350</v>
      </c>
      <c r="B2769" s="36">
        <v>6.8900000000000005E-4</v>
      </c>
      <c r="C2769" s="35" t="s">
        <v>31</v>
      </c>
      <c r="D2769" s="35" t="s">
        <v>8</v>
      </c>
      <c r="E2769" s="35"/>
      <c r="F2769" s="35" t="s">
        <v>20</v>
      </c>
      <c r="G2769" s="35"/>
      <c r="H2769" s="35"/>
      <c r="I2769" s="35"/>
      <c r="J2769" s="35" t="s">
        <v>351</v>
      </c>
    </row>
    <row r="2770" spans="1:10" x14ac:dyDescent="0.2">
      <c r="A2770" s="35" t="s">
        <v>100</v>
      </c>
      <c r="B2770" s="36">
        <v>3.3599999999999998E-2</v>
      </c>
      <c r="C2770" s="35" t="s">
        <v>31</v>
      </c>
      <c r="D2770" s="35" t="s">
        <v>41</v>
      </c>
      <c r="E2770" s="35"/>
      <c r="F2770" s="35" t="s">
        <v>20</v>
      </c>
      <c r="G2770" s="35"/>
      <c r="H2770" s="35"/>
      <c r="I2770" s="35"/>
      <c r="J2770" s="35" t="s">
        <v>103</v>
      </c>
    </row>
    <row r="2771" spans="1:10" x14ac:dyDescent="0.2">
      <c r="A2771" s="35" t="s">
        <v>352</v>
      </c>
      <c r="B2771" s="36">
        <v>3.2599999999999997E-2</v>
      </c>
      <c r="C2771" s="35" t="s">
        <v>572</v>
      </c>
      <c r="D2771" s="35" t="s">
        <v>41</v>
      </c>
      <c r="E2771" s="35"/>
      <c r="F2771" s="35" t="s">
        <v>20</v>
      </c>
      <c r="G2771" s="35"/>
      <c r="H2771" s="35"/>
      <c r="I2771" s="35"/>
      <c r="J2771" s="35" t="s">
        <v>353</v>
      </c>
    </row>
    <row r="2772" spans="1:10" x14ac:dyDescent="0.2">
      <c r="A2772" s="35" t="s">
        <v>354</v>
      </c>
      <c r="B2772" s="36">
        <v>-6.8899999999999999E-7</v>
      </c>
      <c r="C2772" s="35" t="s">
        <v>31</v>
      </c>
      <c r="D2772" s="35" t="s">
        <v>121</v>
      </c>
      <c r="E2772" s="35"/>
      <c r="F2772" s="35" t="s">
        <v>20</v>
      </c>
      <c r="G2772" s="35"/>
      <c r="H2772" s="35"/>
      <c r="I2772" s="35"/>
      <c r="J2772" s="35" t="s">
        <v>355</v>
      </c>
    </row>
    <row r="2774" spans="1:10" ht="16" x14ac:dyDescent="0.2">
      <c r="A2774" s="1" t="s">
        <v>1</v>
      </c>
      <c r="B2774" s="71" t="s">
        <v>1070</v>
      </c>
    </row>
    <row r="2775" spans="1:10" x14ac:dyDescent="0.2">
      <c r="A2775" t="s">
        <v>2</v>
      </c>
      <c r="B2775" s="6" t="s">
        <v>1035</v>
      </c>
    </row>
    <row r="2776" spans="1:10" x14ac:dyDescent="0.2">
      <c r="A2776" t="s">
        <v>3</v>
      </c>
      <c r="B2776" s="6">
        <v>1</v>
      </c>
    </row>
    <row r="2777" spans="1:10" ht="16" x14ac:dyDescent="0.2">
      <c r="A2777" t="s">
        <v>4</v>
      </c>
      <c r="B2777" s="72" t="s">
        <v>337</v>
      </c>
    </row>
    <row r="2778" spans="1:10" x14ac:dyDescent="0.2">
      <c r="A2778" t="s">
        <v>5</v>
      </c>
      <c r="B2778" s="6" t="s">
        <v>6</v>
      </c>
    </row>
    <row r="2779" spans="1:10" x14ac:dyDescent="0.2">
      <c r="A2779" t="s">
        <v>7</v>
      </c>
      <c r="B2779" s="6" t="s">
        <v>8</v>
      </c>
    </row>
    <row r="2780" spans="1:10" x14ac:dyDescent="0.2">
      <c r="A2780" t="s">
        <v>9</v>
      </c>
      <c r="B2780" s="6" t="s">
        <v>393</v>
      </c>
    </row>
    <row r="2781" spans="1:10" x14ac:dyDescent="0.2">
      <c r="A2781" t="s">
        <v>11</v>
      </c>
      <c r="B2781" s="6" t="s">
        <v>361</v>
      </c>
    </row>
    <row r="2782" spans="1:10" ht="16" x14ac:dyDescent="0.2">
      <c r="A2782" s="1" t="s">
        <v>12</v>
      </c>
    </row>
    <row r="2783" spans="1:10" x14ac:dyDescent="0.2">
      <c r="A2783" t="s">
        <v>13</v>
      </c>
      <c r="B2783" s="6" t="s">
        <v>14</v>
      </c>
      <c r="C2783" t="s">
        <v>2</v>
      </c>
      <c r="D2783" t="s">
        <v>7</v>
      </c>
      <c r="E2783" t="s">
        <v>15</v>
      </c>
      <c r="F2783" t="s">
        <v>5</v>
      </c>
      <c r="G2783" t="s">
        <v>338</v>
      </c>
      <c r="H2783" t="s">
        <v>339</v>
      </c>
      <c r="I2783" t="s">
        <v>11</v>
      </c>
      <c r="J2783" t="s">
        <v>4</v>
      </c>
    </row>
    <row r="2784" spans="1:10" x14ac:dyDescent="0.2">
      <c r="A2784" s="35" t="s">
        <v>1070</v>
      </c>
      <c r="B2784" s="36">
        <v>1</v>
      </c>
      <c r="C2784" t="s">
        <v>1035</v>
      </c>
      <c r="D2784" s="35" t="s">
        <v>8</v>
      </c>
      <c r="E2784" s="35"/>
      <c r="F2784" s="35" t="s">
        <v>17</v>
      </c>
      <c r="G2784" s="35"/>
      <c r="H2784" s="35"/>
      <c r="I2784" s="35" t="s">
        <v>18</v>
      </c>
      <c r="J2784" s="35" t="s">
        <v>337</v>
      </c>
    </row>
    <row r="2785" spans="1:10" ht="16" x14ac:dyDescent="0.2">
      <c r="A2785" s="2" t="s">
        <v>1062</v>
      </c>
      <c r="B2785" s="6">
        <v>1.00057</v>
      </c>
      <c r="C2785" t="s">
        <v>1035</v>
      </c>
      <c r="D2785" t="s">
        <v>8</v>
      </c>
      <c r="F2785" s="35" t="s">
        <v>20</v>
      </c>
      <c r="G2785" t="s">
        <v>18</v>
      </c>
      <c r="I2785" s="35"/>
      <c r="J2785" s="2" t="s">
        <v>430</v>
      </c>
    </row>
    <row r="2786" spans="1:10" x14ac:dyDescent="0.2">
      <c r="A2786" s="35" t="s">
        <v>28</v>
      </c>
      <c r="B2786" s="36">
        <v>6.7000000000000002E-3</v>
      </c>
      <c r="C2786" t="s">
        <v>1036</v>
      </c>
      <c r="D2786" s="35" t="s">
        <v>29</v>
      </c>
      <c r="E2786" s="35"/>
      <c r="F2786" s="35" t="s">
        <v>20</v>
      </c>
      <c r="G2786" s="35"/>
      <c r="H2786" s="35"/>
      <c r="I2786" s="35"/>
      <c r="J2786" s="35" t="s">
        <v>30</v>
      </c>
    </row>
    <row r="2787" spans="1:10" x14ac:dyDescent="0.2">
      <c r="A2787" s="35" t="s">
        <v>340</v>
      </c>
      <c r="B2787" s="36">
        <v>-1.6799999999999999E-4</v>
      </c>
      <c r="C2787" s="35" t="s">
        <v>31</v>
      </c>
      <c r="D2787" s="35" t="s">
        <v>8</v>
      </c>
      <c r="E2787" s="35"/>
      <c r="F2787" s="35" t="s">
        <v>20</v>
      </c>
      <c r="G2787" s="35"/>
      <c r="H2787" s="35"/>
      <c r="I2787" s="35"/>
      <c r="J2787" s="35" t="s">
        <v>341</v>
      </c>
    </row>
    <row r="2788" spans="1:10" x14ac:dyDescent="0.2">
      <c r="A2788" s="35" t="s">
        <v>342</v>
      </c>
      <c r="B2788" s="36">
        <v>5.8399999999999999E-4</v>
      </c>
      <c r="C2788" s="35" t="s">
        <v>31</v>
      </c>
      <c r="D2788" s="35" t="s">
        <v>19</v>
      </c>
      <c r="E2788" s="35"/>
      <c r="F2788" s="35" t="s">
        <v>20</v>
      </c>
      <c r="G2788" s="35"/>
      <c r="H2788" s="35"/>
      <c r="I2788" s="35"/>
      <c r="J2788" s="35" t="s">
        <v>343</v>
      </c>
    </row>
    <row r="2789" spans="1:10" x14ac:dyDescent="0.2">
      <c r="A2789" s="35" t="s">
        <v>344</v>
      </c>
      <c r="B2789" s="36">
        <v>2.5999999999999998E-10</v>
      </c>
      <c r="C2789" s="35" t="s">
        <v>31</v>
      </c>
      <c r="D2789" s="35" t="s">
        <v>7</v>
      </c>
      <c r="E2789" s="35"/>
      <c r="F2789" s="35" t="s">
        <v>20</v>
      </c>
      <c r="G2789" s="35"/>
      <c r="H2789" s="35"/>
      <c r="I2789" s="35"/>
      <c r="J2789" s="35" t="s">
        <v>345</v>
      </c>
    </row>
    <row r="2790" spans="1:10" x14ac:dyDescent="0.2">
      <c r="A2790" s="35" t="s">
        <v>346</v>
      </c>
      <c r="B2790" s="36">
        <v>-6.2700000000000001E-6</v>
      </c>
      <c r="C2790" s="35" t="s">
        <v>31</v>
      </c>
      <c r="D2790" s="35" t="s">
        <v>8</v>
      </c>
      <c r="E2790" s="35"/>
      <c r="F2790" s="35" t="s">
        <v>20</v>
      </c>
      <c r="G2790" s="35"/>
      <c r="H2790" s="35"/>
      <c r="I2790" s="35"/>
      <c r="J2790" s="35" t="s">
        <v>347</v>
      </c>
    </row>
    <row r="2791" spans="1:10" x14ac:dyDescent="0.2">
      <c r="A2791" s="35" t="s">
        <v>348</v>
      </c>
      <c r="B2791" s="36">
        <v>-7.4999999999999993E-5</v>
      </c>
      <c r="C2791" s="35" t="s">
        <v>31</v>
      </c>
      <c r="D2791" s="35" t="s">
        <v>121</v>
      </c>
      <c r="E2791" s="35"/>
      <c r="F2791" s="35" t="s">
        <v>20</v>
      </c>
      <c r="G2791" s="35"/>
      <c r="H2791" s="35"/>
      <c r="I2791" s="35"/>
      <c r="J2791" s="35" t="s">
        <v>349</v>
      </c>
    </row>
    <row r="2792" spans="1:10" x14ac:dyDescent="0.2">
      <c r="A2792" s="35" t="s">
        <v>350</v>
      </c>
      <c r="B2792" s="36">
        <v>6.8900000000000005E-4</v>
      </c>
      <c r="C2792" s="35" t="s">
        <v>31</v>
      </c>
      <c r="D2792" s="35" t="s">
        <v>8</v>
      </c>
      <c r="E2792" s="35"/>
      <c r="F2792" s="35" t="s">
        <v>20</v>
      </c>
      <c r="G2792" s="35"/>
      <c r="H2792" s="35"/>
      <c r="I2792" s="35"/>
      <c r="J2792" s="35" t="s">
        <v>351</v>
      </c>
    </row>
    <row r="2793" spans="1:10" x14ac:dyDescent="0.2">
      <c r="A2793" s="35" t="s">
        <v>100</v>
      </c>
      <c r="B2793" s="36">
        <v>3.3599999999999998E-2</v>
      </c>
      <c r="C2793" s="35" t="s">
        <v>31</v>
      </c>
      <c r="D2793" s="35" t="s">
        <v>41</v>
      </c>
      <c r="E2793" s="35"/>
      <c r="F2793" s="35" t="s">
        <v>20</v>
      </c>
      <c r="G2793" s="35"/>
      <c r="H2793" s="35"/>
      <c r="I2793" s="35"/>
      <c r="J2793" s="35" t="s">
        <v>103</v>
      </c>
    </row>
    <row r="2794" spans="1:10" x14ac:dyDescent="0.2">
      <c r="A2794" s="35" t="s">
        <v>352</v>
      </c>
      <c r="B2794" s="36">
        <v>3.2599999999999997E-2</v>
      </c>
      <c r="C2794" s="35" t="s">
        <v>572</v>
      </c>
      <c r="D2794" s="35" t="s">
        <v>41</v>
      </c>
      <c r="E2794" s="35"/>
      <c r="F2794" s="35" t="s">
        <v>20</v>
      </c>
      <c r="G2794" s="35"/>
      <c r="H2794" s="35"/>
      <c r="I2794" s="35"/>
      <c r="J2794" s="35" t="s">
        <v>353</v>
      </c>
    </row>
    <row r="2795" spans="1:10" x14ac:dyDescent="0.2">
      <c r="A2795" s="35" t="s">
        <v>354</v>
      </c>
      <c r="B2795" s="36">
        <v>-6.8899999999999999E-7</v>
      </c>
      <c r="C2795" s="35" t="s">
        <v>31</v>
      </c>
      <c r="D2795" s="35" t="s">
        <v>121</v>
      </c>
      <c r="E2795" s="35"/>
      <c r="F2795" s="35" t="s">
        <v>20</v>
      </c>
      <c r="G2795" s="35"/>
      <c r="H2795" s="35"/>
      <c r="I2795" s="35"/>
      <c r="J2795" s="35" t="s">
        <v>355</v>
      </c>
    </row>
    <row r="2797" spans="1:10" ht="16" x14ac:dyDescent="0.2">
      <c r="A2797" s="1" t="s">
        <v>1</v>
      </c>
      <c r="B2797" s="71" t="s">
        <v>1071</v>
      </c>
    </row>
    <row r="2798" spans="1:10" x14ac:dyDescent="0.2">
      <c r="A2798" t="s">
        <v>2</v>
      </c>
      <c r="B2798" s="6" t="s">
        <v>1035</v>
      </c>
    </row>
    <row r="2799" spans="1:10" x14ac:dyDescent="0.2">
      <c r="A2799" t="s">
        <v>3</v>
      </c>
      <c r="B2799" s="6">
        <v>1</v>
      </c>
    </row>
    <row r="2800" spans="1:10" ht="16" x14ac:dyDescent="0.2">
      <c r="A2800" t="s">
        <v>4</v>
      </c>
      <c r="B2800" s="72" t="s">
        <v>337</v>
      </c>
    </row>
    <row r="2801" spans="1:10" x14ac:dyDescent="0.2">
      <c r="A2801" t="s">
        <v>5</v>
      </c>
      <c r="B2801" s="6" t="s">
        <v>6</v>
      </c>
    </row>
    <row r="2802" spans="1:10" x14ac:dyDescent="0.2">
      <c r="A2802" t="s">
        <v>7</v>
      </c>
      <c r="B2802" s="6" t="s">
        <v>8</v>
      </c>
    </row>
    <row r="2803" spans="1:10" x14ac:dyDescent="0.2">
      <c r="A2803" t="s">
        <v>9</v>
      </c>
      <c r="B2803" s="6" t="s">
        <v>393</v>
      </c>
    </row>
    <row r="2804" spans="1:10" x14ac:dyDescent="0.2">
      <c r="A2804" t="s">
        <v>11</v>
      </c>
      <c r="B2804" s="6" t="s">
        <v>507</v>
      </c>
    </row>
    <row r="2805" spans="1:10" ht="16" x14ac:dyDescent="0.2">
      <c r="A2805" s="1" t="s">
        <v>12</v>
      </c>
    </row>
    <row r="2806" spans="1:10" x14ac:dyDescent="0.2">
      <c r="A2806" t="s">
        <v>13</v>
      </c>
      <c r="B2806" s="6" t="s">
        <v>14</v>
      </c>
      <c r="C2806" t="s">
        <v>2</v>
      </c>
      <c r="D2806" t="s">
        <v>7</v>
      </c>
      <c r="E2806" t="s">
        <v>15</v>
      </c>
      <c r="F2806" t="s">
        <v>5</v>
      </c>
      <c r="G2806" t="s">
        <v>338</v>
      </c>
      <c r="H2806" t="s">
        <v>339</v>
      </c>
      <c r="I2806" t="s">
        <v>11</v>
      </c>
      <c r="J2806" t="s">
        <v>4</v>
      </c>
    </row>
    <row r="2807" spans="1:10" x14ac:dyDescent="0.2">
      <c r="A2807" s="35" t="s">
        <v>1071</v>
      </c>
      <c r="B2807" s="36">
        <v>1</v>
      </c>
      <c r="C2807" t="s">
        <v>1035</v>
      </c>
      <c r="D2807" s="35" t="s">
        <v>8</v>
      </c>
      <c r="E2807" s="35"/>
      <c r="F2807" s="35" t="s">
        <v>17</v>
      </c>
      <c r="G2807" s="35"/>
      <c r="H2807" s="35"/>
      <c r="I2807" s="35" t="s">
        <v>18</v>
      </c>
      <c r="J2807" s="35" t="s">
        <v>337</v>
      </c>
    </row>
    <row r="2808" spans="1:10" ht="16" x14ac:dyDescent="0.2">
      <c r="A2808" s="2" t="s">
        <v>1063</v>
      </c>
      <c r="B2808" s="6">
        <v>1.00057</v>
      </c>
      <c r="C2808" t="s">
        <v>1035</v>
      </c>
      <c r="D2808" t="s">
        <v>8</v>
      </c>
      <c r="F2808" s="35" t="s">
        <v>20</v>
      </c>
      <c r="G2808" t="s">
        <v>18</v>
      </c>
      <c r="I2808" s="35"/>
      <c r="J2808" s="2" t="s">
        <v>430</v>
      </c>
    </row>
    <row r="2809" spans="1:10" x14ac:dyDescent="0.2">
      <c r="A2809" s="35" t="s">
        <v>28</v>
      </c>
      <c r="B2809" s="36">
        <v>6.7000000000000002E-3</v>
      </c>
      <c r="C2809" t="s">
        <v>1036</v>
      </c>
      <c r="D2809" s="35" t="s">
        <v>29</v>
      </c>
      <c r="E2809" s="35"/>
      <c r="F2809" s="35" t="s">
        <v>20</v>
      </c>
      <c r="G2809" s="35"/>
      <c r="H2809" s="35"/>
      <c r="I2809" s="35"/>
      <c r="J2809" s="35" t="s">
        <v>30</v>
      </c>
    </row>
    <row r="2810" spans="1:10" x14ac:dyDescent="0.2">
      <c r="A2810" s="35" t="s">
        <v>340</v>
      </c>
      <c r="B2810" s="36">
        <v>-1.6799999999999999E-4</v>
      </c>
      <c r="C2810" s="35" t="s">
        <v>31</v>
      </c>
      <c r="D2810" s="35" t="s">
        <v>8</v>
      </c>
      <c r="E2810" s="35"/>
      <c r="F2810" s="35" t="s">
        <v>20</v>
      </c>
      <c r="G2810" s="35"/>
      <c r="H2810" s="35"/>
      <c r="I2810" s="35"/>
      <c r="J2810" s="35" t="s">
        <v>341</v>
      </c>
    </row>
    <row r="2811" spans="1:10" x14ac:dyDescent="0.2">
      <c r="A2811" s="35" t="s">
        <v>342</v>
      </c>
      <c r="B2811" s="36">
        <v>5.8399999999999999E-4</v>
      </c>
      <c r="C2811" s="35" t="s">
        <v>31</v>
      </c>
      <c r="D2811" s="35" t="s">
        <v>19</v>
      </c>
      <c r="E2811" s="35"/>
      <c r="F2811" s="35" t="s">
        <v>20</v>
      </c>
      <c r="G2811" s="35"/>
      <c r="H2811" s="35"/>
      <c r="I2811" s="35"/>
      <c r="J2811" s="35" t="s">
        <v>343</v>
      </c>
    </row>
    <row r="2812" spans="1:10" x14ac:dyDescent="0.2">
      <c r="A2812" s="35" t="s">
        <v>344</v>
      </c>
      <c r="B2812" s="36">
        <v>2.5999999999999998E-10</v>
      </c>
      <c r="C2812" s="35" t="s">
        <v>31</v>
      </c>
      <c r="D2812" s="35" t="s">
        <v>7</v>
      </c>
      <c r="E2812" s="35"/>
      <c r="F2812" s="35" t="s">
        <v>20</v>
      </c>
      <c r="G2812" s="35"/>
      <c r="H2812" s="35"/>
      <c r="I2812" s="35"/>
      <c r="J2812" s="35" t="s">
        <v>345</v>
      </c>
    </row>
    <row r="2813" spans="1:10" x14ac:dyDescent="0.2">
      <c r="A2813" s="35" t="s">
        <v>346</v>
      </c>
      <c r="B2813" s="36">
        <v>-6.2700000000000001E-6</v>
      </c>
      <c r="C2813" s="35" t="s">
        <v>31</v>
      </c>
      <c r="D2813" s="35" t="s">
        <v>8</v>
      </c>
      <c r="E2813" s="35"/>
      <c r="F2813" s="35" t="s">
        <v>20</v>
      </c>
      <c r="G2813" s="35"/>
      <c r="H2813" s="35"/>
      <c r="I2813" s="35"/>
      <c r="J2813" s="35" t="s">
        <v>347</v>
      </c>
    </row>
    <row r="2814" spans="1:10" x14ac:dyDescent="0.2">
      <c r="A2814" s="35" t="s">
        <v>348</v>
      </c>
      <c r="B2814" s="36">
        <v>-7.4999999999999993E-5</v>
      </c>
      <c r="C2814" s="35" t="s">
        <v>31</v>
      </c>
      <c r="D2814" s="35" t="s">
        <v>121</v>
      </c>
      <c r="E2814" s="35"/>
      <c r="F2814" s="35" t="s">
        <v>20</v>
      </c>
      <c r="G2814" s="35"/>
      <c r="H2814" s="35"/>
      <c r="I2814" s="35"/>
      <c r="J2814" s="35" t="s">
        <v>349</v>
      </c>
    </row>
    <row r="2815" spans="1:10" x14ac:dyDescent="0.2">
      <c r="A2815" s="35" t="s">
        <v>350</v>
      </c>
      <c r="B2815" s="36">
        <v>6.8900000000000005E-4</v>
      </c>
      <c r="C2815" s="35" t="s">
        <v>31</v>
      </c>
      <c r="D2815" s="35" t="s">
        <v>8</v>
      </c>
      <c r="E2815" s="35"/>
      <c r="F2815" s="35" t="s">
        <v>20</v>
      </c>
      <c r="G2815" s="35"/>
      <c r="H2815" s="35"/>
      <c r="I2815" s="35"/>
      <c r="J2815" s="35" t="s">
        <v>351</v>
      </c>
    </row>
    <row r="2816" spans="1:10" x14ac:dyDescent="0.2">
      <c r="A2816" s="35" t="s">
        <v>100</v>
      </c>
      <c r="B2816" s="36">
        <v>3.3599999999999998E-2</v>
      </c>
      <c r="C2816" s="35" t="s">
        <v>31</v>
      </c>
      <c r="D2816" s="35" t="s">
        <v>41</v>
      </c>
      <c r="E2816" s="35"/>
      <c r="F2816" s="35" t="s">
        <v>20</v>
      </c>
      <c r="G2816" s="35"/>
      <c r="H2816" s="35"/>
      <c r="I2816" s="35"/>
      <c r="J2816" s="35" t="s">
        <v>103</v>
      </c>
    </row>
    <row r="2817" spans="1:10" x14ac:dyDescent="0.2">
      <c r="A2817" s="35" t="s">
        <v>352</v>
      </c>
      <c r="B2817" s="36">
        <v>3.2599999999999997E-2</v>
      </c>
      <c r="C2817" s="35" t="s">
        <v>572</v>
      </c>
      <c r="D2817" s="35" t="s">
        <v>41</v>
      </c>
      <c r="E2817" s="35"/>
      <c r="F2817" s="35" t="s">
        <v>20</v>
      </c>
      <c r="G2817" s="35"/>
      <c r="H2817" s="35"/>
      <c r="I2817" s="35"/>
      <c r="J2817" s="35" t="s">
        <v>353</v>
      </c>
    </row>
    <row r="2818" spans="1:10" x14ac:dyDescent="0.2">
      <c r="A2818" s="35" t="s">
        <v>354</v>
      </c>
      <c r="B2818" s="36">
        <v>-6.8899999999999999E-7</v>
      </c>
      <c r="C2818" s="35" t="s">
        <v>31</v>
      </c>
      <c r="D2818" s="35" t="s">
        <v>121</v>
      </c>
      <c r="E2818" s="35"/>
      <c r="F2818" s="35" t="s">
        <v>20</v>
      </c>
      <c r="G2818" s="35"/>
      <c r="H2818" s="35"/>
      <c r="I2818" s="35"/>
      <c r="J2818" s="35" t="s">
        <v>355</v>
      </c>
    </row>
  </sheetData>
  <autoFilter ref="A1:J2749" xr:uid="{00000000-0009-0000-0000-000001000000}"/>
  <hyperlinks>
    <hyperlink ref="G1301" r:id="rId1" xr:uid="{00000000-0004-0000-0100-000000000000}"/>
    <hyperlink ref="G1300"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3" workbookViewId="0">
      <selection activeCell="A44" sqref="A44"/>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1022</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1031</v>
      </c>
      <c r="B54" s="6">
        <v>0.49888461538461598</v>
      </c>
      <c r="D54" t="s">
        <v>8</v>
      </c>
      <c r="E54" t="s">
        <v>1032</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1023</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1031</v>
      </c>
      <c r="B77" s="6">
        <f>0.4155*(44/12)*(1-0.06)</f>
        <v>1.4320899999999999</v>
      </c>
      <c r="D77" t="s">
        <v>8</v>
      </c>
      <c r="E77" t="s">
        <v>1032</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1020</v>
      </c>
    </row>
    <row r="154" spans="1:8" x14ac:dyDescent="0.2">
      <c r="A154" t="s">
        <v>11</v>
      </c>
      <c r="B154" s="6" t="s">
        <v>305</v>
      </c>
    </row>
    <row r="155" spans="1:8" x14ac:dyDescent="0.2">
      <c r="A155" t="s">
        <v>497</v>
      </c>
      <c r="B155" s="70">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1019</v>
      </c>
      <c r="H164" s="2" t="s">
        <v>316</v>
      </c>
    </row>
    <row r="165" spans="1:8" ht="16" x14ac:dyDescent="0.2">
      <c r="A165" s="2" t="s">
        <v>254</v>
      </c>
      <c r="B165" s="6">
        <f>0.75/1000*Parameters!B5*Parameters!F96</f>
        <v>1.6372039427511136E-2</v>
      </c>
      <c r="C165" t="s">
        <v>31</v>
      </c>
      <c r="D165" t="s">
        <v>8</v>
      </c>
      <c r="F165" t="s">
        <v>20</v>
      </c>
      <c r="G165" t="s">
        <v>1021</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1021</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1021</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4" workbookViewId="0">
      <selection activeCell="B100" sqref="B10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1006</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1031</v>
      </c>
      <c r="B25" s="6">
        <f>1.83*(1-0.4)</f>
        <v>1.0980000000000001</v>
      </c>
      <c r="D25" t="s">
        <v>8</v>
      </c>
      <c r="E25" t="s">
        <v>1032</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1099</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1099</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1067</v>
      </c>
      <c r="B119" s="6">
        <f>4.2*0.975</f>
        <v>4.0949999999999998</v>
      </c>
      <c r="C119" t="s">
        <v>572</v>
      </c>
      <c r="D119" t="s">
        <v>8</v>
      </c>
      <c r="F119" s="35" t="s">
        <v>20</v>
      </c>
      <c r="H119" t="s">
        <v>1067</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5"/>
  <sheetViews>
    <sheetView tabSelected="1" topLeftCell="A1036" workbookViewId="0">
      <selection activeCell="B1064" sqref="B1064"/>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1031</v>
      </c>
      <c r="B27" s="6">
        <f>0.458*(44/12)*(1-B10)</f>
        <v>1.4526233333333334</v>
      </c>
      <c r="D27" t="s">
        <v>8</v>
      </c>
      <c r="E27" t="s">
        <v>1032</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71" t="s">
        <v>838</v>
      </c>
    </row>
    <row r="122" spans="1:7" x14ac:dyDescent="0.2">
      <c r="A122" t="s">
        <v>2</v>
      </c>
      <c r="B122" s="6" t="s">
        <v>572</v>
      </c>
    </row>
    <row r="123" spans="1:7" x14ac:dyDescent="0.2">
      <c r="A123" t="s">
        <v>3</v>
      </c>
      <c r="B123" s="6">
        <v>1</v>
      </c>
    </row>
    <row r="124" spans="1:7" ht="16" x14ac:dyDescent="0.2">
      <c r="A124" t="s">
        <v>4</v>
      </c>
      <c r="B124" s="72" t="s">
        <v>1009</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70">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72" t="s">
        <v>1009</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71" t="s">
        <v>837</v>
      </c>
    </row>
    <row r="149" spans="1:11" x14ac:dyDescent="0.2">
      <c r="A149" t="s">
        <v>2</v>
      </c>
      <c r="B149" s="6" t="s">
        <v>572</v>
      </c>
    </row>
    <row r="150" spans="1:11" x14ac:dyDescent="0.2">
      <c r="A150" t="s">
        <v>3</v>
      </c>
      <c r="B150" s="6">
        <v>1</v>
      </c>
    </row>
    <row r="151" spans="1:11" ht="16" x14ac:dyDescent="0.2">
      <c r="A151" t="s">
        <v>4</v>
      </c>
      <c r="B151" s="72"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72" t="s">
        <v>1009</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71"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73">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1031</v>
      </c>
      <c r="B188" s="6">
        <f>0.46*(44/12)*(1-B178)</f>
        <v>1.518</v>
      </c>
      <c r="D188" t="s">
        <v>8</v>
      </c>
      <c r="E188" t="s">
        <v>1032</v>
      </c>
      <c r="F188" t="s">
        <v>36</v>
      </c>
      <c r="J188" t="s">
        <v>871</v>
      </c>
    </row>
    <row r="190" spans="1:10" ht="16" x14ac:dyDescent="0.2">
      <c r="A190" s="1" t="s">
        <v>1</v>
      </c>
      <c r="B190" s="71" t="s">
        <v>859</v>
      </c>
    </row>
    <row r="191" spans="1:10" x14ac:dyDescent="0.2">
      <c r="A191" t="s">
        <v>2</v>
      </c>
      <c r="B191" s="6" t="s">
        <v>572</v>
      </c>
    </row>
    <row r="192" spans="1:10" x14ac:dyDescent="0.2">
      <c r="A192" t="s">
        <v>3</v>
      </c>
      <c r="B192" s="6">
        <v>1</v>
      </c>
    </row>
    <row r="193" spans="1:11" x14ac:dyDescent="0.2">
      <c r="A193" t="s">
        <v>4</v>
      </c>
      <c r="B193" s="6" t="s">
        <v>1010</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70">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1010</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1008</v>
      </c>
      <c r="K212" t="s">
        <v>664</v>
      </c>
    </row>
    <row r="213" spans="1:11" x14ac:dyDescent="0.2">
      <c r="A213" t="s">
        <v>352</v>
      </c>
      <c r="B213" s="6">
        <v>0.1608</v>
      </c>
      <c r="C213" t="s">
        <v>572</v>
      </c>
      <c r="D213" t="s">
        <v>41</v>
      </c>
      <c r="E213" t="s">
        <v>634</v>
      </c>
      <c r="F213" t="s">
        <v>20</v>
      </c>
      <c r="G213" t="s">
        <v>18</v>
      </c>
      <c r="H213" t="s">
        <v>353</v>
      </c>
      <c r="I213" t="s">
        <v>353</v>
      </c>
      <c r="J213" t="s">
        <v>1008</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71" t="s">
        <v>860</v>
      </c>
    </row>
    <row r="222" spans="1:11" x14ac:dyDescent="0.2">
      <c r="A222" t="s">
        <v>2</v>
      </c>
      <c r="B222" s="6" t="s">
        <v>572</v>
      </c>
    </row>
    <row r="223" spans="1:11" x14ac:dyDescent="0.2">
      <c r="A223" t="s">
        <v>3</v>
      </c>
      <c r="B223" s="6">
        <v>1</v>
      </c>
    </row>
    <row r="224" spans="1:11" ht="16" x14ac:dyDescent="0.2">
      <c r="A224" t="s">
        <v>4</v>
      </c>
      <c r="B224" s="72"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1010</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71"/>
    </row>
    <row r="243" spans="1:11" ht="16" x14ac:dyDescent="0.2">
      <c r="A243" s="1" t="s">
        <v>1</v>
      </c>
      <c r="B243" s="71"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1030</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73">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1028</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1031</v>
      </c>
      <c r="B271" s="6">
        <f>0.444*(44/12)*(1-B251)</f>
        <v>1.40008</v>
      </c>
      <c r="D271" t="s">
        <v>8</v>
      </c>
      <c r="E271" t="s">
        <v>1032</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71" t="s">
        <v>851</v>
      </c>
    </row>
    <row r="329" spans="1:7" x14ac:dyDescent="0.2">
      <c r="A329" t="s">
        <v>2</v>
      </c>
      <c r="B329" s="6" t="s">
        <v>572</v>
      </c>
    </row>
    <row r="330" spans="1:7" x14ac:dyDescent="0.2">
      <c r="A330" t="s">
        <v>3</v>
      </c>
      <c r="B330" s="6">
        <v>1</v>
      </c>
    </row>
    <row r="331" spans="1:7" ht="16" x14ac:dyDescent="0.2">
      <c r="A331" t="s">
        <v>4</v>
      </c>
      <c r="B331" s="72" t="s">
        <v>1011</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70">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72" t="s">
        <v>1011</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71" t="s">
        <v>831</v>
      </c>
    </row>
    <row r="360" spans="1:11" x14ac:dyDescent="0.2">
      <c r="A360" t="s">
        <v>2</v>
      </c>
      <c r="B360" s="6" t="s">
        <v>572</v>
      </c>
    </row>
    <row r="361" spans="1:11" x14ac:dyDescent="0.2">
      <c r="A361" t="s">
        <v>3</v>
      </c>
      <c r="B361" s="6">
        <v>1</v>
      </c>
    </row>
    <row r="362" spans="1:11" ht="16" x14ac:dyDescent="0.2">
      <c r="A362" t="s">
        <v>4</v>
      </c>
      <c r="B362" s="72"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72" t="s">
        <v>1011</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71"/>
    </row>
    <row r="382" spans="1:11" ht="16" x14ac:dyDescent="0.2">
      <c r="A382" s="1" t="s">
        <v>1</v>
      </c>
      <c r="B382" s="71"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73">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1031</v>
      </c>
      <c r="B406" s="6">
        <f>0.445*(44/12)</f>
        <v>1.6316666666666666</v>
      </c>
      <c r="D406" t="s">
        <v>8</v>
      </c>
      <c r="E406" t="s">
        <v>1032</v>
      </c>
      <c r="F406" t="s">
        <v>36</v>
      </c>
      <c r="G406" t="s">
        <v>869</v>
      </c>
    </row>
    <row r="407" spans="1:8" x14ac:dyDescent="0.2">
      <c r="A407" t="s">
        <v>194</v>
      </c>
      <c r="B407" s="6">
        <f>(1/(($B$388*1000)/10000))*0.6</f>
        <v>7.4294205052005929E-2</v>
      </c>
      <c r="D407" t="s">
        <v>113</v>
      </c>
      <c r="E407" t="s">
        <v>114</v>
      </c>
      <c r="F407" t="s">
        <v>36</v>
      </c>
      <c r="G407" t="s">
        <v>1104</v>
      </c>
    </row>
    <row r="408" spans="1:8" x14ac:dyDescent="0.2">
      <c r="A408" t="s">
        <v>195</v>
      </c>
      <c r="B408" s="6">
        <f>1/(($B$388*1000)/10000)</f>
        <v>0.12382367508667656</v>
      </c>
      <c r="D408" t="s">
        <v>115</v>
      </c>
      <c r="E408" t="s">
        <v>114</v>
      </c>
      <c r="F408" t="s">
        <v>36</v>
      </c>
      <c r="G408" t="s">
        <v>1105</v>
      </c>
    </row>
    <row r="409" spans="1:8" x14ac:dyDescent="0.2">
      <c r="A409" t="s">
        <v>196</v>
      </c>
      <c r="B409" s="6">
        <f>1/(($B$388*1000)/10000)</f>
        <v>0.12382367508667656</v>
      </c>
      <c r="D409" t="s">
        <v>115</v>
      </c>
      <c r="E409" t="s">
        <v>114</v>
      </c>
      <c r="F409" t="s">
        <v>36</v>
      </c>
      <c r="G409" t="s">
        <v>1105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71" t="s">
        <v>864</v>
      </c>
    </row>
    <row r="454" spans="1:8" x14ac:dyDescent="0.2">
      <c r="A454" t="s">
        <v>2</v>
      </c>
      <c r="B454" s="6" t="s">
        <v>572</v>
      </c>
    </row>
    <row r="455" spans="1:8" x14ac:dyDescent="0.2">
      <c r="A455" t="s">
        <v>3</v>
      </c>
      <c r="B455" s="6">
        <v>1</v>
      </c>
    </row>
    <row r="456" spans="1:8" x14ac:dyDescent="0.2">
      <c r="A456" t="s">
        <v>4</v>
      </c>
      <c r="B456" s="6" t="s">
        <v>1012</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70">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1012</v>
      </c>
    </row>
    <row r="464" spans="1:8" x14ac:dyDescent="0.2">
      <c r="A464" t="s">
        <v>862</v>
      </c>
      <c r="B464" s="3">
        <f>(29.7*1.31)/B389</f>
        <v>2.3869325153374232</v>
      </c>
      <c r="C464" t="s">
        <v>572</v>
      </c>
      <c r="D464" t="s">
        <v>8</v>
      </c>
      <c r="E464" t="s">
        <v>634</v>
      </c>
      <c r="F464" t="s">
        <v>20</v>
      </c>
      <c r="G464" t="s">
        <v>1106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71" t="s">
        <v>1094</v>
      </c>
    </row>
    <row r="478" spans="1:8" x14ac:dyDescent="0.2">
      <c r="A478" t="s">
        <v>2</v>
      </c>
      <c r="B478" s="6" t="s">
        <v>572</v>
      </c>
    </row>
    <row r="479" spans="1:8" x14ac:dyDescent="0.2">
      <c r="A479" t="s">
        <v>3</v>
      </c>
      <c r="B479" s="6">
        <v>1</v>
      </c>
    </row>
    <row r="480" spans="1:8" x14ac:dyDescent="0.2">
      <c r="A480" t="s">
        <v>4</v>
      </c>
      <c r="B480" s="6" t="s">
        <v>1012</v>
      </c>
    </row>
    <row r="481" spans="1:8" x14ac:dyDescent="0.2">
      <c r="A481" t="s">
        <v>5</v>
      </c>
      <c r="B481" s="6" t="s">
        <v>6</v>
      </c>
    </row>
    <row r="482" spans="1:8" x14ac:dyDescent="0.2">
      <c r="A482" t="s">
        <v>9</v>
      </c>
      <c r="B482" s="6" t="s">
        <v>632</v>
      </c>
    </row>
    <row r="483" spans="1:8" x14ac:dyDescent="0.2">
      <c r="A483" t="s">
        <v>11</v>
      </c>
      <c r="B483" s="6" t="s">
        <v>1095</v>
      </c>
    </row>
    <row r="484" spans="1:8" x14ac:dyDescent="0.2">
      <c r="A484" t="s">
        <v>7</v>
      </c>
      <c r="B484" s="6" t="s">
        <v>8</v>
      </c>
    </row>
    <row r="485" spans="1:8" x14ac:dyDescent="0.2">
      <c r="A485" t="s">
        <v>497</v>
      </c>
      <c r="B485" s="70">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1094</v>
      </c>
      <c r="B488" s="6">
        <v>1</v>
      </c>
      <c r="C488" t="s">
        <v>572</v>
      </c>
      <c r="D488" t="s">
        <v>8</v>
      </c>
      <c r="E488" t="s">
        <v>660</v>
      </c>
      <c r="F488" t="s">
        <v>17</v>
      </c>
      <c r="G488" t="s">
        <v>18</v>
      </c>
      <c r="H488" s="6" t="s">
        <v>1012</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1067</v>
      </c>
      <c r="B501" s="6">
        <f>(('Cozzolini 2018'!$B$464*'Cozzolini 2018'!$B$406)-Parameters!$B$15)*(0.975)</f>
        <v>1.931161265337423</v>
      </c>
      <c r="C501" t="s">
        <v>572</v>
      </c>
      <c r="D501" t="s">
        <v>8</v>
      </c>
      <c r="F501" s="35" t="s">
        <v>20</v>
      </c>
      <c r="H501" t="s">
        <v>1067</v>
      </c>
    </row>
    <row r="503" spans="1:11" ht="16" x14ac:dyDescent="0.2">
      <c r="A503" s="1" t="s">
        <v>1</v>
      </c>
      <c r="B503" s="71" t="s">
        <v>657</v>
      </c>
    </row>
    <row r="504" spans="1:11" x14ac:dyDescent="0.2">
      <c r="A504" t="s">
        <v>2</v>
      </c>
      <c r="B504" s="6" t="s">
        <v>572</v>
      </c>
    </row>
    <row r="505" spans="1:11" x14ac:dyDescent="0.2">
      <c r="A505" t="s">
        <v>3</v>
      </c>
      <c r="B505" s="6">
        <v>1</v>
      </c>
    </row>
    <row r="506" spans="1:11" ht="16" x14ac:dyDescent="0.2">
      <c r="A506" t="s">
        <v>4</v>
      </c>
      <c r="B506" s="72"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1012</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71" t="s">
        <v>1096</v>
      </c>
    </row>
    <row r="526" spans="1:11" x14ac:dyDescent="0.2">
      <c r="A526" t="s">
        <v>2</v>
      </c>
      <c r="B526" s="6" t="s">
        <v>572</v>
      </c>
    </row>
    <row r="527" spans="1:11" x14ac:dyDescent="0.2">
      <c r="A527" t="s">
        <v>3</v>
      </c>
      <c r="B527" s="6">
        <v>1</v>
      </c>
    </row>
    <row r="528" spans="1:11" ht="16" x14ac:dyDescent="0.2">
      <c r="A528" t="s">
        <v>4</v>
      </c>
      <c r="B528" s="72"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1096</v>
      </c>
      <c r="B534" s="6">
        <v>1</v>
      </c>
      <c r="C534" t="s">
        <v>572</v>
      </c>
      <c r="D534" t="s">
        <v>8</v>
      </c>
      <c r="F534" t="s">
        <v>17</v>
      </c>
      <c r="I534">
        <v>100</v>
      </c>
      <c r="J534" t="s">
        <v>18</v>
      </c>
      <c r="K534" t="s">
        <v>337</v>
      </c>
    </row>
    <row r="535" spans="1:11" x14ac:dyDescent="0.2">
      <c r="A535" t="s">
        <v>1094</v>
      </c>
      <c r="B535" s="6">
        <v>1.00057</v>
      </c>
      <c r="C535" t="s">
        <v>572</v>
      </c>
      <c r="D535" t="s">
        <v>8</v>
      </c>
      <c r="F535" t="s">
        <v>20</v>
      </c>
      <c r="K535" s="6" t="s">
        <v>1012</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71"/>
    </row>
    <row r="547" spans="1:11" ht="16" x14ac:dyDescent="0.2">
      <c r="A547" s="1" t="s">
        <v>1</v>
      </c>
      <c r="B547" s="71"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1038</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265</v>
      </c>
      <c r="B565" s="6">
        <v>0.25461333333333336</v>
      </c>
      <c r="D565" t="s">
        <v>8</v>
      </c>
      <c r="E565" t="s">
        <v>37</v>
      </c>
      <c r="F565" t="s">
        <v>36</v>
      </c>
      <c r="G565" t="s">
        <v>1143</v>
      </c>
    </row>
    <row r="566" spans="1:8" x14ac:dyDescent="0.2">
      <c r="A566" t="s">
        <v>1031</v>
      </c>
      <c r="B566" s="6">
        <f>0.496*(44/12)*(1-B555)</f>
        <v>1.8186666666666667</v>
      </c>
      <c r="D566" t="s">
        <v>8</v>
      </c>
      <c r="E566" t="s">
        <v>1032</v>
      </c>
      <c r="F566" t="s">
        <v>36</v>
      </c>
      <c r="G566" t="s">
        <v>868</v>
      </c>
    </row>
    <row r="567" spans="1:8" x14ac:dyDescent="0.2">
      <c r="A567" t="s">
        <v>211</v>
      </c>
      <c r="B567" s="6">
        <v>2.3256000000000001E-3</v>
      </c>
      <c r="D567" t="s">
        <v>121</v>
      </c>
      <c r="E567" t="s">
        <v>112</v>
      </c>
      <c r="F567" t="s">
        <v>36</v>
      </c>
      <c r="G567" t="s">
        <v>210</v>
      </c>
    </row>
    <row r="568" spans="1:8" x14ac:dyDescent="0.2">
      <c r="G568" s="6"/>
    </row>
    <row r="569" spans="1:8" ht="16" x14ac:dyDescent="0.2">
      <c r="A569" s="1" t="s">
        <v>1</v>
      </c>
      <c r="B569" s="71" t="s">
        <v>400</v>
      </c>
      <c r="G569" s="6"/>
    </row>
    <row r="570" spans="1:8" x14ac:dyDescent="0.2">
      <c r="A570" t="s">
        <v>2</v>
      </c>
      <c r="B570" s="6" t="s">
        <v>572</v>
      </c>
    </row>
    <row r="571" spans="1:8" x14ac:dyDescent="0.2">
      <c r="A571" t="s">
        <v>3</v>
      </c>
      <c r="B571" s="6">
        <v>1</v>
      </c>
    </row>
    <row r="572" spans="1:8" ht="16" x14ac:dyDescent="0.2">
      <c r="A572" t="s">
        <v>4</v>
      </c>
      <c r="B572" s="72" t="s">
        <v>1013</v>
      </c>
    </row>
    <row r="573" spans="1:8" x14ac:dyDescent="0.2">
      <c r="A573" t="s">
        <v>5</v>
      </c>
      <c r="B573" s="6" t="s">
        <v>6</v>
      </c>
    </row>
    <row r="574" spans="1:8" x14ac:dyDescent="0.2">
      <c r="A574" t="s">
        <v>7</v>
      </c>
      <c r="B574" s="6" t="s">
        <v>8</v>
      </c>
    </row>
    <row r="575" spans="1:8" x14ac:dyDescent="0.2">
      <c r="A575" t="s">
        <v>9</v>
      </c>
      <c r="B575" s="6" t="s">
        <v>632</v>
      </c>
    </row>
    <row r="576" spans="1:8" x14ac:dyDescent="0.2">
      <c r="A576" t="s">
        <v>497</v>
      </c>
      <c r="B576" s="70">
        <f>Summary!O53</f>
        <v>0.45733788395904429</v>
      </c>
    </row>
    <row r="577" spans="1:8" ht="16" x14ac:dyDescent="0.2">
      <c r="A577" s="1" t="s">
        <v>12</v>
      </c>
    </row>
    <row r="578" spans="1:8" x14ac:dyDescent="0.2">
      <c r="A578" t="s">
        <v>13</v>
      </c>
      <c r="B578" s="6" t="s">
        <v>14</v>
      </c>
      <c r="C578" t="s">
        <v>2</v>
      </c>
      <c r="D578" t="s">
        <v>7</v>
      </c>
      <c r="E578" t="s">
        <v>15</v>
      </c>
      <c r="F578" t="s">
        <v>5</v>
      </c>
      <c r="G578" t="s">
        <v>11</v>
      </c>
      <c r="H578" t="s">
        <v>4</v>
      </c>
    </row>
    <row r="579" spans="1:8" ht="16" x14ac:dyDescent="0.2">
      <c r="A579" s="2" t="s">
        <v>400</v>
      </c>
      <c r="B579" s="6">
        <v>1</v>
      </c>
      <c r="C579" t="s">
        <v>572</v>
      </c>
      <c r="D579" t="s">
        <v>8</v>
      </c>
      <c r="E579" t="s">
        <v>682</v>
      </c>
      <c r="F579" t="s">
        <v>17</v>
      </c>
      <c r="G579" t="s">
        <v>18</v>
      </c>
      <c r="H579" s="72" t="s">
        <v>1013</v>
      </c>
    </row>
    <row r="580" spans="1:8" ht="16" x14ac:dyDescent="0.2">
      <c r="A580" s="2" t="s">
        <v>69</v>
      </c>
      <c r="B580" s="6">
        <f>58.6/B564</f>
        <v>3.0842105263157897</v>
      </c>
      <c r="C580" t="s">
        <v>572</v>
      </c>
      <c r="D580" t="s">
        <v>8</v>
      </c>
      <c r="F580" t="s">
        <v>20</v>
      </c>
      <c r="H580" t="s">
        <v>866</v>
      </c>
    </row>
    <row r="581" spans="1:8" x14ac:dyDescent="0.2">
      <c r="A581" t="s">
        <v>683</v>
      </c>
      <c r="B581" s="6">
        <v>0.13935999999999998</v>
      </c>
      <c r="C581" t="s">
        <v>572</v>
      </c>
      <c r="D581" t="s">
        <v>8</v>
      </c>
      <c r="E581" t="s">
        <v>634</v>
      </c>
      <c r="F581" t="s">
        <v>20</v>
      </c>
      <c r="G581" t="s">
        <v>18</v>
      </c>
      <c r="H581" t="s">
        <v>684</v>
      </c>
    </row>
    <row r="582" spans="1:8" x14ac:dyDescent="0.2">
      <c r="A582" t="s">
        <v>388</v>
      </c>
      <c r="B582" s="6">
        <v>2.4120000000000001E-4</v>
      </c>
      <c r="C582" t="s">
        <v>26</v>
      </c>
      <c r="D582" t="s">
        <v>8</v>
      </c>
      <c r="E582" t="s">
        <v>634</v>
      </c>
      <c r="F582" t="s">
        <v>20</v>
      </c>
      <c r="G582" t="s">
        <v>18</v>
      </c>
      <c r="H582" t="s">
        <v>389</v>
      </c>
    </row>
    <row r="583" spans="1:8" x14ac:dyDescent="0.2">
      <c r="A583" t="s">
        <v>100</v>
      </c>
      <c r="B583" s="6">
        <v>0.23315999999999998</v>
      </c>
      <c r="C583" t="s">
        <v>624</v>
      </c>
      <c r="D583" t="s">
        <v>41</v>
      </c>
      <c r="E583" t="s">
        <v>637</v>
      </c>
      <c r="F583" t="s">
        <v>20</v>
      </c>
      <c r="G583" t="s">
        <v>18</v>
      </c>
      <c r="H583" t="s">
        <v>103</v>
      </c>
    </row>
    <row r="584" spans="1:8" x14ac:dyDescent="0.2">
      <c r="A584" t="s">
        <v>97</v>
      </c>
      <c r="B584" s="6">
        <v>9.3800000000000008E-2</v>
      </c>
      <c r="C584" t="s">
        <v>572</v>
      </c>
      <c r="D584" t="s">
        <v>41</v>
      </c>
      <c r="E584" t="s">
        <v>637</v>
      </c>
      <c r="F584" t="s">
        <v>20</v>
      </c>
      <c r="G584" t="s">
        <v>18</v>
      </c>
      <c r="H584" t="s">
        <v>98</v>
      </c>
    </row>
    <row r="585" spans="1:8" x14ac:dyDescent="0.2">
      <c r="A585" t="s">
        <v>352</v>
      </c>
      <c r="B585" s="6">
        <v>2.2868976000000001</v>
      </c>
      <c r="C585" t="s">
        <v>572</v>
      </c>
      <c r="D585" t="s">
        <v>41</v>
      </c>
      <c r="E585" t="s">
        <v>637</v>
      </c>
      <c r="F585" t="s">
        <v>20</v>
      </c>
      <c r="G585" t="s">
        <v>685</v>
      </c>
      <c r="H585" t="s">
        <v>353</v>
      </c>
    </row>
    <row r="586" spans="1:8" x14ac:dyDescent="0.2">
      <c r="A586" t="s">
        <v>352</v>
      </c>
      <c r="B586" s="6">
        <v>0.20099999999999998</v>
      </c>
      <c r="C586" t="s">
        <v>572</v>
      </c>
      <c r="D586" t="s">
        <v>41</v>
      </c>
      <c r="E586" t="s">
        <v>637</v>
      </c>
      <c r="F586" t="s">
        <v>20</v>
      </c>
      <c r="G586" t="s">
        <v>18</v>
      </c>
      <c r="H586" t="s">
        <v>353</v>
      </c>
    </row>
    <row r="587" spans="1:8" x14ac:dyDescent="0.2">
      <c r="A587" t="s">
        <v>978</v>
      </c>
      <c r="B587" s="6">
        <v>0.68071999999999999</v>
      </c>
      <c r="C587" t="s">
        <v>26</v>
      </c>
      <c r="D587" t="s">
        <v>41</v>
      </c>
      <c r="E587" t="s">
        <v>637</v>
      </c>
      <c r="F587" t="s">
        <v>20</v>
      </c>
      <c r="G587" t="s">
        <v>18</v>
      </c>
      <c r="H587" t="s">
        <v>979</v>
      </c>
    </row>
    <row r="588" spans="1:8" x14ac:dyDescent="0.2">
      <c r="A588" t="s">
        <v>978</v>
      </c>
      <c r="B588" s="6">
        <v>8.819075999999999</v>
      </c>
      <c r="C588" t="s">
        <v>26</v>
      </c>
      <c r="D588" t="s">
        <v>41</v>
      </c>
      <c r="E588" t="s">
        <v>637</v>
      </c>
      <c r="F588" t="s">
        <v>20</v>
      </c>
      <c r="G588" t="s">
        <v>18</v>
      </c>
      <c r="H588" t="s">
        <v>979</v>
      </c>
    </row>
    <row r="589" spans="1:8" x14ac:dyDescent="0.2">
      <c r="A589" t="s">
        <v>651</v>
      </c>
      <c r="B589" s="6">
        <v>3.1589696E-2</v>
      </c>
      <c r="C589" t="s">
        <v>624</v>
      </c>
      <c r="D589" t="s">
        <v>29</v>
      </c>
      <c r="E589" t="s">
        <v>637</v>
      </c>
      <c r="F589" t="s">
        <v>20</v>
      </c>
      <c r="G589" t="s">
        <v>18</v>
      </c>
      <c r="H589" t="s">
        <v>653</v>
      </c>
    </row>
    <row r="590" spans="1:8" x14ac:dyDescent="0.2">
      <c r="A590" t="s">
        <v>265</v>
      </c>
      <c r="B590" s="6">
        <f>('Cozzolini 2018'!B580*'Cozzolini 2018'!B566*(1+B560))-Parameters!$B$15</f>
        <v>4.4804320000000013</v>
      </c>
      <c r="D590" t="s">
        <v>8</v>
      </c>
      <c r="E590" t="s">
        <v>37</v>
      </c>
      <c r="F590" t="s">
        <v>36</v>
      </c>
    </row>
    <row r="592" spans="1:8" ht="16" x14ac:dyDescent="0.2">
      <c r="A592" s="1" t="s">
        <v>1</v>
      </c>
      <c r="B592" s="71" t="s">
        <v>681</v>
      </c>
    </row>
    <row r="593" spans="1:11" x14ac:dyDescent="0.2">
      <c r="A593" t="s">
        <v>2</v>
      </c>
      <c r="B593" s="6" t="s">
        <v>572</v>
      </c>
    </row>
    <row r="594" spans="1:11" x14ac:dyDescent="0.2">
      <c r="A594" t="s">
        <v>3</v>
      </c>
      <c r="B594" s="6">
        <v>1</v>
      </c>
    </row>
    <row r="595" spans="1:11" ht="16" x14ac:dyDescent="0.2">
      <c r="A595" t="s">
        <v>4</v>
      </c>
      <c r="B595" s="72" t="s">
        <v>337</v>
      </c>
    </row>
    <row r="596" spans="1:11" x14ac:dyDescent="0.2">
      <c r="A596" t="s">
        <v>9</v>
      </c>
      <c r="B596" s="6" t="s">
        <v>632</v>
      </c>
    </row>
    <row r="597" spans="1:11" x14ac:dyDescent="0.2">
      <c r="A597" t="s">
        <v>5</v>
      </c>
      <c r="B597" s="6" t="s">
        <v>6</v>
      </c>
    </row>
    <row r="598" spans="1:11" x14ac:dyDescent="0.2">
      <c r="A598" t="s">
        <v>7</v>
      </c>
      <c r="B598" s="6" t="s">
        <v>8</v>
      </c>
    </row>
    <row r="599" spans="1:11" ht="16" x14ac:dyDescent="0.2">
      <c r="A599" s="1" t="s">
        <v>12</v>
      </c>
    </row>
    <row r="600" spans="1:11" x14ac:dyDescent="0.2">
      <c r="A600" t="s">
        <v>13</v>
      </c>
      <c r="B600" s="6" t="s">
        <v>14</v>
      </c>
      <c r="C600" t="s">
        <v>2</v>
      </c>
      <c r="D600" t="s">
        <v>7</v>
      </c>
      <c r="E600" t="s">
        <v>15</v>
      </c>
      <c r="F600" t="s">
        <v>5</v>
      </c>
      <c r="G600" t="s">
        <v>338</v>
      </c>
      <c r="H600" t="s">
        <v>339</v>
      </c>
      <c r="I600" t="s">
        <v>16</v>
      </c>
      <c r="J600" t="s">
        <v>11</v>
      </c>
      <c r="K600" t="s">
        <v>4</v>
      </c>
    </row>
    <row r="601" spans="1:11" x14ac:dyDescent="0.2">
      <c r="A601" t="s">
        <v>681</v>
      </c>
      <c r="B601" s="6">
        <v>1</v>
      </c>
      <c r="C601" t="s">
        <v>572</v>
      </c>
      <c r="D601" t="s">
        <v>8</v>
      </c>
      <c r="F601" t="s">
        <v>17</v>
      </c>
      <c r="I601">
        <v>100</v>
      </c>
      <c r="J601" t="s">
        <v>18</v>
      </c>
      <c r="K601" t="s">
        <v>337</v>
      </c>
    </row>
    <row r="602" spans="1:11" ht="16" x14ac:dyDescent="0.2">
      <c r="A602" s="2" t="s">
        <v>400</v>
      </c>
      <c r="B602" s="6">
        <v>1.00057</v>
      </c>
      <c r="C602" t="s">
        <v>572</v>
      </c>
      <c r="D602" t="s">
        <v>8</v>
      </c>
      <c r="F602" t="s">
        <v>20</v>
      </c>
      <c r="K602" s="72" t="s">
        <v>1013</v>
      </c>
    </row>
    <row r="603" spans="1:11" x14ac:dyDescent="0.2">
      <c r="A603" t="s">
        <v>28</v>
      </c>
      <c r="B603" s="6">
        <v>6.7000000000000002E-3</v>
      </c>
      <c r="C603" t="s">
        <v>572</v>
      </c>
      <c r="D603" t="s">
        <v>29</v>
      </c>
      <c r="F603" t="s">
        <v>20</v>
      </c>
      <c r="K603" t="s">
        <v>30</v>
      </c>
    </row>
    <row r="604" spans="1:11" x14ac:dyDescent="0.2">
      <c r="A604" t="s">
        <v>340</v>
      </c>
      <c r="B604" s="6">
        <v>-1.6799999999999999E-4</v>
      </c>
      <c r="C604" t="s">
        <v>624</v>
      </c>
      <c r="D604" t="s">
        <v>8</v>
      </c>
      <c r="F604" t="s">
        <v>20</v>
      </c>
      <c r="K604" t="s">
        <v>341</v>
      </c>
    </row>
    <row r="605" spans="1:11" x14ac:dyDescent="0.2">
      <c r="A605" t="s">
        <v>342</v>
      </c>
      <c r="B605" s="6">
        <v>5.8399999999999999E-4</v>
      </c>
      <c r="C605" t="s">
        <v>631</v>
      </c>
      <c r="D605" t="s">
        <v>19</v>
      </c>
      <c r="F605" t="s">
        <v>20</v>
      </c>
      <c r="K605" t="s">
        <v>343</v>
      </c>
    </row>
    <row r="606" spans="1:11" x14ac:dyDescent="0.2">
      <c r="A606" t="s">
        <v>344</v>
      </c>
      <c r="B606" s="6">
        <v>2.5999999999999998E-10</v>
      </c>
      <c r="C606" t="s">
        <v>572</v>
      </c>
      <c r="D606" t="s">
        <v>7</v>
      </c>
      <c r="F606" t="s">
        <v>20</v>
      </c>
      <c r="K606" t="s">
        <v>345</v>
      </c>
    </row>
    <row r="607" spans="1:11" x14ac:dyDescent="0.2">
      <c r="A607" t="s">
        <v>346</v>
      </c>
      <c r="B607" s="6">
        <v>-6.2700000000000001E-6</v>
      </c>
      <c r="C607" t="s">
        <v>631</v>
      </c>
      <c r="D607" t="s">
        <v>8</v>
      </c>
      <c r="F607" t="s">
        <v>20</v>
      </c>
      <c r="K607" t="s">
        <v>347</v>
      </c>
    </row>
    <row r="608" spans="1:11" x14ac:dyDescent="0.2">
      <c r="A608" t="s">
        <v>348</v>
      </c>
      <c r="B608" s="6">
        <v>-7.4999999999999993E-5</v>
      </c>
      <c r="C608" t="s">
        <v>624</v>
      </c>
      <c r="D608" t="s">
        <v>121</v>
      </c>
      <c r="F608" t="s">
        <v>20</v>
      </c>
      <c r="K608" t="s">
        <v>349</v>
      </c>
    </row>
    <row r="609" spans="1:11" x14ac:dyDescent="0.2">
      <c r="A609" t="s">
        <v>350</v>
      </c>
      <c r="B609" s="6">
        <v>6.8900000000000005E-4</v>
      </c>
      <c r="C609" t="s">
        <v>624</v>
      </c>
      <c r="D609" t="s">
        <v>8</v>
      </c>
      <c r="F609" t="s">
        <v>20</v>
      </c>
      <c r="K609" t="s">
        <v>351</v>
      </c>
    </row>
    <row r="610" spans="1:11" x14ac:dyDescent="0.2">
      <c r="A610" t="s">
        <v>100</v>
      </c>
      <c r="B610" s="6">
        <v>3.3599999999999998E-2</v>
      </c>
      <c r="C610" t="s">
        <v>624</v>
      </c>
      <c r="D610" t="s">
        <v>41</v>
      </c>
      <c r="F610" t="s">
        <v>20</v>
      </c>
      <c r="K610" t="s">
        <v>103</v>
      </c>
    </row>
    <row r="611" spans="1:11" x14ac:dyDescent="0.2">
      <c r="A611" t="s">
        <v>352</v>
      </c>
      <c r="B611" s="6">
        <v>3.2599999999999997E-2</v>
      </c>
      <c r="C611" t="s">
        <v>572</v>
      </c>
      <c r="D611" t="s">
        <v>41</v>
      </c>
      <c r="F611" t="s">
        <v>20</v>
      </c>
      <c r="K611" t="s">
        <v>353</v>
      </c>
    </row>
    <row r="612" spans="1:11" x14ac:dyDescent="0.2">
      <c r="A612" t="s">
        <v>354</v>
      </c>
      <c r="B612" s="6">
        <v>-6.8899999999999999E-7</v>
      </c>
      <c r="C612" t="s">
        <v>624</v>
      </c>
      <c r="D612" t="s">
        <v>121</v>
      </c>
      <c r="F612" t="s">
        <v>20</v>
      </c>
      <c r="K612" t="s">
        <v>355</v>
      </c>
    </row>
    <row r="613" spans="1:11" ht="16.25" customHeight="1" x14ac:dyDescent="0.2">
      <c r="A613" s="1"/>
      <c r="B613" s="71"/>
    </row>
    <row r="614" spans="1:11" ht="16" x14ac:dyDescent="0.2">
      <c r="A614" s="1" t="s">
        <v>1</v>
      </c>
      <c r="B614" s="71" t="s">
        <v>873</v>
      </c>
    </row>
    <row r="615" spans="1:11" x14ac:dyDescent="0.2">
      <c r="A615" t="s">
        <v>2</v>
      </c>
      <c r="B615" s="6" t="s">
        <v>572</v>
      </c>
    </row>
    <row r="616" spans="1:11" x14ac:dyDescent="0.2">
      <c r="A616" t="s">
        <v>3</v>
      </c>
      <c r="B616" s="6">
        <v>1</v>
      </c>
    </row>
    <row r="617" spans="1:11" x14ac:dyDescent="0.2">
      <c r="A617" t="s">
        <v>4</v>
      </c>
      <c r="B617" s="6" t="s">
        <v>814</v>
      </c>
    </row>
    <row r="618" spans="1:11" x14ac:dyDescent="0.2">
      <c r="A618" t="s">
        <v>9</v>
      </c>
      <c r="B618" s="6" t="s">
        <v>632</v>
      </c>
    </row>
    <row r="619" spans="1:11" x14ac:dyDescent="0.2">
      <c r="A619" t="s">
        <v>5</v>
      </c>
      <c r="B619" s="6" t="s">
        <v>6</v>
      </c>
    </row>
    <row r="620" spans="1:11" x14ac:dyDescent="0.2">
      <c r="A620" t="s">
        <v>7</v>
      </c>
      <c r="B620" s="6" t="s">
        <v>8</v>
      </c>
    </row>
    <row r="621" spans="1:11" x14ac:dyDescent="0.2">
      <c r="A621" t="s">
        <v>841</v>
      </c>
      <c r="B621" s="6">
        <v>39.6</v>
      </c>
    </row>
    <row r="622" spans="1:11" ht="16" x14ac:dyDescent="0.2">
      <c r="A622" s="1" t="s">
        <v>12</v>
      </c>
    </row>
    <row r="623" spans="1:11" x14ac:dyDescent="0.2">
      <c r="A623" t="s">
        <v>13</v>
      </c>
      <c r="B623" s="6" t="s">
        <v>14</v>
      </c>
      <c r="C623" t="s">
        <v>2</v>
      </c>
      <c r="D623" t="s">
        <v>7</v>
      </c>
      <c r="E623" t="s">
        <v>15</v>
      </c>
      <c r="F623" t="s">
        <v>5</v>
      </c>
      <c r="G623" t="s">
        <v>11</v>
      </c>
      <c r="H623" t="s">
        <v>4</v>
      </c>
    </row>
    <row r="624" spans="1:11" x14ac:dyDescent="0.2">
      <c r="A624" t="s">
        <v>873</v>
      </c>
      <c r="B624" s="6">
        <v>1</v>
      </c>
      <c r="C624" t="s">
        <v>572</v>
      </c>
      <c r="D624" t="s">
        <v>8</v>
      </c>
      <c r="E624" t="s">
        <v>702</v>
      </c>
      <c r="F624" t="s">
        <v>17</v>
      </c>
      <c r="G624" t="s">
        <v>18</v>
      </c>
      <c r="H624" t="s">
        <v>814</v>
      </c>
    </row>
    <row r="625" spans="1:8" x14ac:dyDescent="0.2">
      <c r="A625" t="s">
        <v>108</v>
      </c>
      <c r="B625" s="6">
        <v>39.6</v>
      </c>
      <c r="D625" t="s">
        <v>19</v>
      </c>
      <c r="E625" t="s">
        <v>112</v>
      </c>
      <c r="F625" t="s">
        <v>36</v>
      </c>
      <c r="G625" t="s">
        <v>795</v>
      </c>
    </row>
    <row r="626" spans="1:8" x14ac:dyDescent="0.2">
      <c r="A626" t="s">
        <v>796</v>
      </c>
      <c r="B626" s="6">
        <v>1.0246</v>
      </c>
      <c r="C626" t="s">
        <v>26</v>
      </c>
      <c r="D626" t="s">
        <v>8</v>
      </c>
      <c r="F626" t="s">
        <v>20</v>
      </c>
      <c r="G626" t="s">
        <v>797</v>
      </c>
      <c r="H626" t="s">
        <v>798</v>
      </c>
    </row>
    <row r="627" spans="1:8" x14ac:dyDescent="0.2">
      <c r="A627" t="s">
        <v>636</v>
      </c>
      <c r="B627" s="6">
        <v>0.15840000000000001</v>
      </c>
      <c r="C627" t="s">
        <v>572</v>
      </c>
      <c r="D627" t="s">
        <v>19</v>
      </c>
      <c r="E627" t="s">
        <v>634</v>
      </c>
      <c r="F627" t="s">
        <v>20</v>
      </c>
      <c r="G627" t="s">
        <v>781</v>
      </c>
      <c r="H627" t="s">
        <v>639</v>
      </c>
    </row>
    <row r="628" spans="1:8" x14ac:dyDescent="0.2">
      <c r="A628" t="s">
        <v>708</v>
      </c>
      <c r="B628" s="6">
        <v>1.2672E-3</v>
      </c>
      <c r="C628" t="s">
        <v>26</v>
      </c>
      <c r="D628" t="s">
        <v>8</v>
      </c>
      <c r="E628" t="s">
        <v>634</v>
      </c>
      <c r="F628" t="s">
        <v>20</v>
      </c>
      <c r="G628" t="s">
        <v>781</v>
      </c>
      <c r="H628" t="s">
        <v>709</v>
      </c>
    </row>
    <row r="629" spans="1:8" x14ac:dyDescent="0.2">
      <c r="A629" t="s">
        <v>388</v>
      </c>
      <c r="B629" s="6">
        <v>3.4848000000000001E-3</v>
      </c>
      <c r="C629" t="s">
        <v>26</v>
      </c>
      <c r="D629" t="s">
        <v>8</v>
      </c>
      <c r="E629" t="s">
        <v>634</v>
      </c>
      <c r="F629" t="s">
        <v>20</v>
      </c>
      <c r="G629" t="s">
        <v>781</v>
      </c>
      <c r="H629" t="s">
        <v>389</v>
      </c>
    </row>
    <row r="630" spans="1:8" x14ac:dyDescent="0.2">
      <c r="A630" t="s">
        <v>352</v>
      </c>
      <c r="B630" s="6">
        <v>0.11484</v>
      </c>
      <c r="C630" t="s">
        <v>572</v>
      </c>
      <c r="D630" t="s">
        <v>41</v>
      </c>
      <c r="E630" t="s">
        <v>637</v>
      </c>
      <c r="F630" t="s">
        <v>20</v>
      </c>
      <c r="G630" t="s">
        <v>799</v>
      </c>
      <c r="H630" t="s">
        <v>353</v>
      </c>
    </row>
    <row r="631" spans="1:8" x14ac:dyDescent="0.2">
      <c r="A631" t="s">
        <v>978</v>
      </c>
      <c r="B631" s="6">
        <v>7.4923200000000003</v>
      </c>
      <c r="C631" t="s">
        <v>26</v>
      </c>
      <c r="D631" t="s">
        <v>41</v>
      </c>
      <c r="E631" t="s">
        <v>637</v>
      </c>
      <c r="F631" t="s">
        <v>20</v>
      </c>
      <c r="G631" t="s">
        <v>800</v>
      </c>
      <c r="H631" t="s">
        <v>979</v>
      </c>
    </row>
    <row r="632" spans="1:8" x14ac:dyDescent="0.2">
      <c r="A632" t="s">
        <v>651</v>
      </c>
      <c r="B632" s="6">
        <v>9.9079200000000006E-3</v>
      </c>
      <c r="C632" t="s">
        <v>624</v>
      </c>
      <c r="D632" t="s">
        <v>29</v>
      </c>
      <c r="E632" t="s">
        <v>634</v>
      </c>
      <c r="F632" t="s">
        <v>20</v>
      </c>
      <c r="G632" t="s">
        <v>781</v>
      </c>
      <c r="H632" t="s">
        <v>653</v>
      </c>
    </row>
    <row r="633" spans="1:8" x14ac:dyDescent="0.2">
      <c r="A633" t="s">
        <v>1031</v>
      </c>
      <c r="B633" s="6">
        <f>0.52*(44/12)</f>
        <v>1.9066666666666667</v>
      </c>
      <c r="D633" t="s">
        <v>8</v>
      </c>
      <c r="E633" t="s">
        <v>1032</v>
      </c>
      <c r="F633" t="s">
        <v>36</v>
      </c>
      <c r="G633" t="s">
        <v>874</v>
      </c>
    </row>
    <row r="635" spans="1:8" ht="16" x14ac:dyDescent="0.2">
      <c r="A635" s="1" t="s">
        <v>1</v>
      </c>
      <c r="B635" s="71" t="s">
        <v>875</v>
      </c>
    </row>
    <row r="636" spans="1:8" x14ac:dyDescent="0.2">
      <c r="A636" t="s">
        <v>2</v>
      </c>
      <c r="B636" s="6" t="s">
        <v>572</v>
      </c>
    </row>
    <row r="637" spans="1:8" x14ac:dyDescent="0.2">
      <c r="A637" t="s">
        <v>3</v>
      </c>
      <c r="B637" s="6">
        <v>1</v>
      </c>
    </row>
    <row r="638" spans="1:8" ht="16" x14ac:dyDescent="0.2">
      <c r="A638" t="s">
        <v>4</v>
      </c>
      <c r="B638" s="72" t="s">
        <v>1014</v>
      </c>
    </row>
    <row r="639" spans="1:8" x14ac:dyDescent="0.2">
      <c r="A639" t="s">
        <v>5</v>
      </c>
      <c r="B639" s="6" t="s">
        <v>6</v>
      </c>
    </row>
    <row r="640" spans="1:8" x14ac:dyDescent="0.2">
      <c r="A640" t="s">
        <v>7</v>
      </c>
      <c r="B640" s="6" t="s">
        <v>8</v>
      </c>
    </row>
    <row r="641" spans="1:8" x14ac:dyDescent="0.2">
      <c r="A641" t="s">
        <v>9</v>
      </c>
      <c r="B641" s="6" t="s">
        <v>632</v>
      </c>
    </row>
    <row r="642" spans="1:8" x14ac:dyDescent="0.2">
      <c r="A642" t="s">
        <v>497</v>
      </c>
      <c r="B642" s="70">
        <f>Summary!O56</f>
        <v>1.3483271375464685</v>
      </c>
    </row>
    <row r="643" spans="1:8" ht="16" x14ac:dyDescent="0.2">
      <c r="A643" s="1" t="s">
        <v>12</v>
      </c>
    </row>
    <row r="644" spans="1:8" x14ac:dyDescent="0.2">
      <c r="A644" t="s">
        <v>13</v>
      </c>
      <c r="B644" s="6" t="s">
        <v>14</v>
      </c>
      <c r="C644" t="s">
        <v>2</v>
      </c>
      <c r="D644" t="s">
        <v>7</v>
      </c>
      <c r="E644" t="s">
        <v>15</v>
      </c>
      <c r="F644" t="s">
        <v>5</v>
      </c>
      <c r="G644" t="s">
        <v>11</v>
      </c>
      <c r="H644" t="s">
        <v>4</v>
      </c>
    </row>
    <row r="645" spans="1:8" ht="16" x14ac:dyDescent="0.2">
      <c r="A645" s="2" t="s">
        <v>875</v>
      </c>
      <c r="B645" s="6">
        <v>1</v>
      </c>
      <c r="C645" t="s">
        <v>572</v>
      </c>
      <c r="D645" t="s">
        <v>8</v>
      </c>
      <c r="E645" t="s">
        <v>702</v>
      </c>
      <c r="F645" t="s">
        <v>17</v>
      </c>
      <c r="G645" t="s">
        <v>18</v>
      </c>
      <c r="H645" s="72" t="s">
        <v>1014</v>
      </c>
    </row>
    <row r="646" spans="1:8" x14ac:dyDescent="0.2">
      <c r="A646" t="s">
        <v>873</v>
      </c>
      <c r="B646" s="6">
        <f>1/0.975</f>
        <v>1.0256410256410258</v>
      </c>
      <c r="C646" t="s">
        <v>572</v>
      </c>
      <c r="D646" t="s">
        <v>8</v>
      </c>
      <c r="E646" t="s">
        <v>634</v>
      </c>
      <c r="F646" t="s">
        <v>20</v>
      </c>
      <c r="G646" t="s">
        <v>703</v>
      </c>
      <c r="H646" t="s">
        <v>814</v>
      </c>
    </row>
    <row r="647" spans="1:8" x14ac:dyDescent="0.2">
      <c r="A647" t="s">
        <v>704</v>
      </c>
      <c r="B647" s="6">
        <v>0.11309544000000001</v>
      </c>
      <c r="C647" t="s">
        <v>26</v>
      </c>
      <c r="D647" t="s">
        <v>8</v>
      </c>
      <c r="E647" t="s">
        <v>634</v>
      </c>
      <c r="F647" t="s">
        <v>20</v>
      </c>
      <c r="G647" t="s">
        <v>705</v>
      </c>
      <c r="H647" t="s">
        <v>706</v>
      </c>
    </row>
    <row r="648" spans="1:8" x14ac:dyDescent="0.2">
      <c r="A648" t="s">
        <v>967</v>
      </c>
      <c r="B648" s="6">
        <v>7.7480160000000006E-2</v>
      </c>
      <c r="C648" t="s">
        <v>26</v>
      </c>
      <c r="D648" t="s">
        <v>8</v>
      </c>
      <c r="E648" t="s">
        <v>634</v>
      </c>
      <c r="F648" t="s">
        <v>20</v>
      </c>
      <c r="G648" t="s">
        <v>705</v>
      </c>
      <c r="H648" t="s">
        <v>968</v>
      </c>
    </row>
    <row r="649" spans="1:8" x14ac:dyDescent="0.2">
      <c r="A649" t="s">
        <v>708</v>
      </c>
      <c r="B649" s="6">
        <v>1.4508E-2</v>
      </c>
      <c r="C649" t="s">
        <v>26</v>
      </c>
      <c r="D649" t="s">
        <v>8</v>
      </c>
      <c r="E649" t="s">
        <v>634</v>
      </c>
      <c r="F649" t="s">
        <v>20</v>
      </c>
      <c r="G649" t="s">
        <v>705</v>
      </c>
      <c r="H649" t="s">
        <v>709</v>
      </c>
    </row>
    <row r="650" spans="1:8" x14ac:dyDescent="0.2">
      <c r="A650" t="s">
        <v>711</v>
      </c>
      <c r="B650" s="6">
        <v>1.3392000000000001E-2</v>
      </c>
      <c r="C650" t="s">
        <v>26</v>
      </c>
      <c r="D650" t="s">
        <v>8</v>
      </c>
      <c r="E650" t="s">
        <v>634</v>
      </c>
      <c r="F650" t="s">
        <v>20</v>
      </c>
      <c r="G650" t="s">
        <v>705</v>
      </c>
      <c r="H650" t="s">
        <v>712</v>
      </c>
    </row>
    <row r="651" spans="1:8" x14ac:dyDescent="0.2">
      <c r="A651" t="s">
        <v>971</v>
      </c>
      <c r="B651" s="6">
        <v>2.6784000000000002E-2</v>
      </c>
      <c r="C651" t="s">
        <v>572</v>
      </c>
      <c r="D651" t="s">
        <v>8</v>
      </c>
      <c r="E651" t="s">
        <v>634</v>
      </c>
      <c r="F651" t="s">
        <v>20</v>
      </c>
      <c r="G651" t="s">
        <v>705</v>
      </c>
      <c r="H651" t="s">
        <v>972</v>
      </c>
    </row>
    <row r="652" spans="1:8" x14ac:dyDescent="0.2">
      <c r="A652" t="s">
        <v>100</v>
      </c>
      <c r="B652" s="6">
        <v>0.37944000000000006</v>
      </c>
      <c r="C652" t="s">
        <v>624</v>
      </c>
      <c r="D652" t="s">
        <v>41</v>
      </c>
      <c r="E652" t="s">
        <v>637</v>
      </c>
      <c r="F652" t="s">
        <v>20</v>
      </c>
      <c r="G652" t="s">
        <v>18</v>
      </c>
      <c r="H652" t="s">
        <v>103</v>
      </c>
    </row>
    <row r="653" spans="1:8" x14ac:dyDescent="0.2">
      <c r="A653" t="s">
        <v>97</v>
      </c>
      <c r="B653" s="6">
        <v>0.15252000000000002</v>
      </c>
      <c r="C653" t="s">
        <v>572</v>
      </c>
      <c r="D653" t="s">
        <v>41</v>
      </c>
      <c r="E653" t="s">
        <v>637</v>
      </c>
      <c r="F653" t="s">
        <v>20</v>
      </c>
      <c r="G653" t="s">
        <v>18</v>
      </c>
      <c r="H653" t="s">
        <v>98</v>
      </c>
    </row>
    <row r="654" spans="1:8" x14ac:dyDescent="0.2">
      <c r="A654" t="s">
        <v>352</v>
      </c>
      <c r="B654" s="6">
        <v>0.32736000000000004</v>
      </c>
      <c r="C654" t="s">
        <v>572</v>
      </c>
      <c r="D654" t="s">
        <v>41</v>
      </c>
      <c r="E654" t="s">
        <v>637</v>
      </c>
      <c r="F654" t="s">
        <v>20</v>
      </c>
      <c r="G654" t="s">
        <v>713</v>
      </c>
      <c r="H654" t="s">
        <v>353</v>
      </c>
    </row>
    <row r="655" spans="1:8" x14ac:dyDescent="0.2">
      <c r="A655" t="s">
        <v>352</v>
      </c>
      <c r="B655" s="6">
        <v>0.15996000000000002</v>
      </c>
      <c r="C655" t="s">
        <v>572</v>
      </c>
      <c r="D655" t="s">
        <v>41</v>
      </c>
      <c r="E655" t="s">
        <v>637</v>
      </c>
      <c r="F655" t="s">
        <v>20</v>
      </c>
      <c r="G655" t="s">
        <v>714</v>
      </c>
      <c r="H655" t="s">
        <v>353</v>
      </c>
    </row>
    <row r="656" spans="1:8" x14ac:dyDescent="0.2">
      <c r="A656" t="s">
        <v>978</v>
      </c>
      <c r="B656" s="6">
        <v>1.11972</v>
      </c>
      <c r="C656" t="s">
        <v>26</v>
      </c>
      <c r="D656" t="s">
        <v>41</v>
      </c>
      <c r="E656" t="s">
        <v>637</v>
      </c>
      <c r="F656" t="s">
        <v>20</v>
      </c>
      <c r="G656" t="s">
        <v>18</v>
      </c>
      <c r="H656" t="s">
        <v>979</v>
      </c>
    </row>
    <row r="657" spans="1:8" x14ac:dyDescent="0.2">
      <c r="A657" t="s">
        <v>651</v>
      </c>
      <c r="B657" s="6">
        <v>4.2090311999999998E-2</v>
      </c>
      <c r="C657" t="s">
        <v>624</v>
      </c>
      <c r="D657" t="s">
        <v>29</v>
      </c>
      <c r="E657" t="s">
        <v>637</v>
      </c>
      <c r="F657" t="s">
        <v>20</v>
      </c>
      <c r="G657" t="s">
        <v>715</v>
      </c>
      <c r="H657" t="s">
        <v>653</v>
      </c>
    </row>
    <row r="658" spans="1:8" x14ac:dyDescent="0.2">
      <c r="A658" t="s">
        <v>651</v>
      </c>
      <c r="B658" s="6">
        <v>8.6869440000000003E-3</v>
      </c>
      <c r="C658" t="s">
        <v>624</v>
      </c>
      <c r="D658" t="s">
        <v>29</v>
      </c>
      <c r="E658" t="s">
        <v>637</v>
      </c>
      <c r="F658" t="s">
        <v>20</v>
      </c>
      <c r="G658" t="s">
        <v>716</v>
      </c>
      <c r="H658" t="s">
        <v>653</v>
      </c>
    </row>
    <row r="659" spans="1:8" x14ac:dyDescent="0.2">
      <c r="A659" t="s">
        <v>651</v>
      </c>
      <c r="B659" s="6">
        <v>3.5161440000000002E-2</v>
      </c>
      <c r="C659" t="s">
        <v>624</v>
      </c>
      <c r="D659" t="s">
        <v>29</v>
      </c>
      <c r="E659" t="s">
        <v>637</v>
      </c>
      <c r="F659" t="s">
        <v>20</v>
      </c>
      <c r="G659" t="s">
        <v>717</v>
      </c>
      <c r="H659" t="s">
        <v>653</v>
      </c>
    </row>
    <row r="660" spans="1:8" x14ac:dyDescent="0.2">
      <c r="A660" t="s">
        <v>1031</v>
      </c>
      <c r="B660" s="6">
        <f>Parameters!$B$16-(B646*B633)</f>
        <v>0.89444444444444415</v>
      </c>
      <c r="D660" t="s">
        <v>8</v>
      </c>
      <c r="E660" t="s">
        <v>1032</v>
      </c>
      <c r="F660" t="s">
        <v>36</v>
      </c>
    </row>
    <row r="663" spans="1:8" ht="16" x14ac:dyDescent="0.2">
      <c r="A663" s="1" t="s">
        <v>1</v>
      </c>
      <c r="B663" s="71" t="s">
        <v>1102</v>
      </c>
    </row>
    <row r="664" spans="1:8" x14ac:dyDescent="0.2">
      <c r="A664" t="s">
        <v>2</v>
      </c>
      <c r="B664" s="6" t="s">
        <v>572</v>
      </c>
    </row>
    <row r="665" spans="1:8" x14ac:dyDescent="0.2">
      <c r="A665" t="s">
        <v>3</v>
      </c>
      <c r="B665" s="6">
        <v>1</v>
      </c>
    </row>
    <row r="666" spans="1:8" ht="16" x14ac:dyDescent="0.2">
      <c r="A666" t="s">
        <v>4</v>
      </c>
      <c r="B666" s="72" t="s">
        <v>1014</v>
      </c>
    </row>
    <row r="667" spans="1:8" x14ac:dyDescent="0.2">
      <c r="A667" t="s">
        <v>5</v>
      </c>
      <c r="B667" s="6" t="s">
        <v>6</v>
      </c>
    </row>
    <row r="668" spans="1:8" x14ac:dyDescent="0.2">
      <c r="A668" t="s">
        <v>7</v>
      </c>
      <c r="B668" s="6" t="s">
        <v>8</v>
      </c>
    </row>
    <row r="669" spans="1:8" x14ac:dyDescent="0.2">
      <c r="A669" t="s">
        <v>9</v>
      </c>
      <c r="B669" s="6" t="s">
        <v>632</v>
      </c>
    </row>
    <row r="670" spans="1:8" x14ac:dyDescent="0.2">
      <c r="A670" t="s">
        <v>11</v>
      </c>
      <c r="B670" s="6" t="s">
        <v>1103</v>
      </c>
    </row>
    <row r="671" spans="1:8" x14ac:dyDescent="0.2">
      <c r="A671" t="s">
        <v>497</v>
      </c>
      <c r="B671" s="70">
        <f>Summary!O90</f>
        <v>1.3483271375464685</v>
      </c>
    </row>
    <row r="672" spans="1:8" ht="16" x14ac:dyDescent="0.2">
      <c r="A672" s="1" t="s">
        <v>12</v>
      </c>
    </row>
    <row r="673" spans="1:8" x14ac:dyDescent="0.2">
      <c r="A673" t="s">
        <v>13</v>
      </c>
      <c r="B673" s="6" t="s">
        <v>14</v>
      </c>
      <c r="C673" t="s">
        <v>2</v>
      </c>
      <c r="D673" t="s">
        <v>7</v>
      </c>
      <c r="E673" t="s">
        <v>15</v>
      </c>
      <c r="F673" t="s">
        <v>5</v>
      </c>
      <c r="G673" t="s">
        <v>11</v>
      </c>
      <c r="H673" t="s">
        <v>4</v>
      </c>
    </row>
    <row r="674" spans="1:8" ht="16" x14ac:dyDescent="0.2">
      <c r="A674" s="2" t="s">
        <v>1102</v>
      </c>
      <c r="B674" s="6">
        <v>1</v>
      </c>
      <c r="C674" t="s">
        <v>572</v>
      </c>
      <c r="D674" t="s">
        <v>8</v>
      </c>
      <c r="E674" t="s">
        <v>702</v>
      </c>
      <c r="F674" t="s">
        <v>17</v>
      </c>
      <c r="G674" t="s">
        <v>18</v>
      </c>
      <c r="H674" s="72" t="s">
        <v>1014</v>
      </c>
    </row>
    <row r="675" spans="1:8" x14ac:dyDescent="0.2">
      <c r="A675" t="s">
        <v>873</v>
      </c>
      <c r="B675" s="6">
        <f>1/0.975</f>
        <v>1.0256410256410258</v>
      </c>
      <c r="C675" t="s">
        <v>572</v>
      </c>
      <c r="D675" t="s">
        <v>8</v>
      </c>
      <c r="E675" t="s">
        <v>634</v>
      </c>
      <c r="F675" t="s">
        <v>20</v>
      </c>
      <c r="G675" t="s">
        <v>703</v>
      </c>
      <c r="H675" t="s">
        <v>814</v>
      </c>
    </row>
    <row r="676" spans="1:8" x14ac:dyDescent="0.2">
      <c r="A676" t="s">
        <v>704</v>
      </c>
      <c r="B676" s="6">
        <v>0.11309544000000001</v>
      </c>
      <c r="C676" t="s">
        <v>26</v>
      </c>
      <c r="D676" t="s">
        <v>8</v>
      </c>
      <c r="E676" t="s">
        <v>634</v>
      </c>
      <c r="F676" t="s">
        <v>20</v>
      </c>
      <c r="G676" t="s">
        <v>705</v>
      </c>
      <c r="H676" t="s">
        <v>706</v>
      </c>
    </row>
    <row r="677" spans="1:8" x14ac:dyDescent="0.2">
      <c r="A677" t="s">
        <v>967</v>
      </c>
      <c r="B677" s="6">
        <v>7.7480160000000006E-2</v>
      </c>
      <c r="C677" t="s">
        <v>26</v>
      </c>
      <c r="D677" t="s">
        <v>8</v>
      </c>
      <c r="E677" t="s">
        <v>634</v>
      </c>
      <c r="F677" t="s">
        <v>20</v>
      </c>
      <c r="G677" t="s">
        <v>705</v>
      </c>
      <c r="H677" t="s">
        <v>968</v>
      </c>
    </row>
    <row r="678" spans="1:8" x14ac:dyDescent="0.2">
      <c r="A678" t="s">
        <v>708</v>
      </c>
      <c r="B678" s="6">
        <v>1.4508E-2</v>
      </c>
      <c r="C678" t="s">
        <v>26</v>
      </c>
      <c r="D678" t="s">
        <v>8</v>
      </c>
      <c r="E678" t="s">
        <v>634</v>
      </c>
      <c r="F678" t="s">
        <v>20</v>
      </c>
      <c r="G678" t="s">
        <v>705</v>
      </c>
      <c r="H678" t="s">
        <v>709</v>
      </c>
    </row>
    <row r="679" spans="1:8" x14ac:dyDescent="0.2">
      <c r="A679" t="s">
        <v>711</v>
      </c>
      <c r="B679" s="6">
        <v>1.3392000000000001E-2</v>
      </c>
      <c r="C679" t="s">
        <v>26</v>
      </c>
      <c r="D679" t="s">
        <v>8</v>
      </c>
      <c r="E679" t="s">
        <v>634</v>
      </c>
      <c r="F679" t="s">
        <v>20</v>
      </c>
      <c r="G679" t="s">
        <v>705</v>
      </c>
      <c r="H679" t="s">
        <v>712</v>
      </c>
    </row>
    <row r="680" spans="1:8" x14ac:dyDescent="0.2">
      <c r="A680" t="s">
        <v>971</v>
      </c>
      <c r="B680" s="6">
        <v>2.6784000000000002E-2</v>
      </c>
      <c r="C680" t="s">
        <v>572</v>
      </c>
      <c r="D680" t="s">
        <v>8</v>
      </c>
      <c r="E680" t="s">
        <v>634</v>
      </c>
      <c r="F680" t="s">
        <v>20</v>
      </c>
      <c r="G680" t="s">
        <v>705</v>
      </c>
      <c r="H680" t="s">
        <v>972</v>
      </c>
    </row>
    <row r="681" spans="1:8" x14ac:dyDescent="0.2">
      <c r="A681" t="s">
        <v>100</v>
      </c>
      <c r="B681" s="6">
        <v>0.37944000000000006</v>
      </c>
      <c r="C681" t="s">
        <v>624</v>
      </c>
      <c r="D681" t="s">
        <v>41</v>
      </c>
      <c r="E681" t="s">
        <v>637</v>
      </c>
      <c r="F681" t="s">
        <v>20</v>
      </c>
      <c r="G681" t="s">
        <v>18</v>
      </c>
      <c r="H681" t="s">
        <v>103</v>
      </c>
    </row>
    <row r="682" spans="1:8" x14ac:dyDescent="0.2">
      <c r="A682" t="s">
        <v>97</v>
      </c>
      <c r="B682" s="6">
        <v>0.15252000000000002</v>
      </c>
      <c r="C682" t="s">
        <v>572</v>
      </c>
      <c r="D682" t="s">
        <v>41</v>
      </c>
      <c r="E682" t="s">
        <v>637</v>
      </c>
      <c r="F682" t="s">
        <v>20</v>
      </c>
      <c r="G682" t="s">
        <v>18</v>
      </c>
      <c r="H682" t="s">
        <v>98</v>
      </c>
    </row>
    <row r="683" spans="1:8" x14ac:dyDescent="0.2">
      <c r="A683" t="s">
        <v>352</v>
      </c>
      <c r="B683" s="6">
        <v>0.32736000000000004</v>
      </c>
      <c r="C683" t="s">
        <v>572</v>
      </c>
      <c r="D683" t="s">
        <v>41</v>
      </c>
      <c r="E683" t="s">
        <v>637</v>
      </c>
      <c r="F683" t="s">
        <v>20</v>
      </c>
      <c r="G683" t="s">
        <v>713</v>
      </c>
      <c r="H683" t="s">
        <v>353</v>
      </c>
    </row>
    <row r="684" spans="1:8" x14ac:dyDescent="0.2">
      <c r="A684" t="s">
        <v>352</v>
      </c>
      <c r="B684" s="6">
        <v>0.15996000000000002</v>
      </c>
      <c r="C684" t="s">
        <v>572</v>
      </c>
      <c r="D684" t="s">
        <v>41</v>
      </c>
      <c r="E684" t="s">
        <v>637</v>
      </c>
      <c r="F684" t="s">
        <v>20</v>
      </c>
      <c r="G684" t="s">
        <v>714</v>
      </c>
      <c r="H684" t="s">
        <v>353</v>
      </c>
    </row>
    <row r="685" spans="1:8" x14ac:dyDescent="0.2">
      <c r="A685" t="s">
        <v>978</v>
      </c>
      <c r="B685" s="6">
        <v>1.11972</v>
      </c>
      <c r="C685" t="s">
        <v>26</v>
      </c>
      <c r="D685" t="s">
        <v>41</v>
      </c>
      <c r="E685" t="s">
        <v>637</v>
      </c>
      <c r="F685" t="s">
        <v>20</v>
      </c>
      <c r="G685" t="s">
        <v>18</v>
      </c>
      <c r="H685" t="s">
        <v>979</v>
      </c>
    </row>
    <row r="686" spans="1:8" x14ac:dyDescent="0.2">
      <c r="A686" t="s">
        <v>651</v>
      </c>
      <c r="B686" s="6">
        <v>4.2090311999999998E-2</v>
      </c>
      <c r="C686" t="s">
        <v>624</v>
      </c>
      <c r="D686" t="s">
        <v>29</v>
      </c>
      <c r="E686" t="s">
        <v>637</v>
      </c>
      <c r="F686" t="s">
        <v>20</v>
      </c>
      <c r="G686" t="s">
        <v>715</v>
      </c>
      <c r="H686" t="s">
        <v>653</v>
      </c>
    </row>
    <row r="687" spans="1:8" x14ac:dyDescent="0.2">
      <c r="A687" t="s">
        <v>651</v>
      </c>
      <c r="B687" s="6">
        <v>8.6869440000000003E-3</v>
      </c>
      <c r="C687" t="s">
        <v>624</v>
      </c>
      <c r="D687" t="s">
        <v>29</v>
      </c>
      <c r="E687" t="s">
        <v>637</v>
      </c>
      <c r="F687" t="s">
        <v>20</v>
      </c>
      <c r="G687" t="s">
        <v>716</v>
      </c>
      <c r="H687" t="s">
        <v>653</v>
      </c>
    </row>
    <row r="688" spans="1:8" x14ac:dyDescent="0.2">
      <c r="A688" t="s">
        <v>651</v>
      </c>
      <c r="B688" s="6">
        <v>3.5161440000000002E-2</v>
      </c>
      <c r="C688" t="s">
        <v>624</v>
      </c>
      <c r="D688" t="s">
        <v>29</v>
      </c>
      <c r="E688" t="s">
        <v>637</v>
      </c>
      <c r="F688" t="s">
        <v>20</v>
      </c>
      <c r="G688" t="s">
        <v>717</v>
      </c>
      <c r="H688" t="s">
        <v>653</v>
      </c>
    </row>
    <row r="689" spans="1:11" x14ac:dyDescent="0.2">
      <c r="A689" t="s">
        <v>1031</v>
      </c>
      <c r="B689" s="6">
        <f>(Parameters!$B$16-(B646*B633))*(1-0.975)</f>
        <v>2.2361111111111123E-2</v>
      </c>
      <c r="D689" t="s">
        <v>8</v>
      </c>
      <c r="E689" t="s">
        <v>1032</v>
      </c>
      <c r="F689" t="s">
        <v>36</v>
      </c>
    </row>
    <row r="690" spans="1:11" x14ac:dyDescent="0.2">
      <c r="A690" t="s">
        <v>651</v>
      </c>
      <c r="B690" s="6">
        <f>(Parameters!$B$16-(B646*B633))*(0.975)*(180/1000)</f>
        <v>0.15697499999999992</v>
      </c>
      <c r="C690" t="s">
        <v>624</v>
      </c>
      <c r="D690" t="s">
        <v>29</v>
      </c>
      <c r="E690" t="s">
        <v>637</v>
      </c>
      <c r="F690" t="s">
        <v>20</v>
      </c>
      <c r="G690" t="s">
        <v>717</v>
      </c>
      <c r="H690" t="s">
        <v>653</v>
      </c>
    </row>
    <row r="691" spans="1:11" x14ac:dyDescent="0.2">
      <c r="A691" t="s">
        <v>1067</v>
      </c>
      <c r="B691" s="6">
        <f>(Parameters!$B$16-(B646*B633))*(0.975)</f>
        <v>0.87208333333333299</v>
      </c>
      <c r="C691" t="s">
        <v>572</v>
      </c>
      <c r="D691" t="s">
        <v>8</v>
      </c>
      <c r="F691" s="35" t="s">
        <v>20</v>
      </c>
      <c r="H691" t="s">
        <v>1067</v>
      </c>
    </row>
    <row r="693" spans="1:11" ht="16" x14ac:dyDescent="0.2">
      <c r="A693" s="1" t="s">
        <v>1</v>
      </c>
      <c r="B693" s="71" t="s">
        <v>700</v>
      </c>
    </row>
    <row r="694" spans="1:11" x14ac:dyDescent="0.2">
      <c r="A694" t="s">
        <v>2</v>
      </c>
      <c r="B694" s="6" t="s">
        <v>572</v>
      </c>
    </row>
    <row r="695" spans="1:11" x14ac:dyDescent="0.2">
      <c r="A695" t="s">
        <v>3</v>
      </c>
      <c r="B695" s="6">
        <v>1</v>
      </c>
    </row>
    <row r="696" spans="1:11" ht="16" x14ac:dyDescent="0.2">
      <c r="A696" t="s">
        <v>4</v>
      </c>
      <c r="B696" s="72" t="s">
        <v>701</v>
      </c>
    </row>
    <row r="697" spans="1:11" x14ac:dyDescent="0.2">
      <c r="A697" t="s">
        <v>9</v>
      </c>
      <c r="B697" s="6" t="s">
        <v>632</v>
      </c>
    </row>
    <row r="698" spans="1:11" x14ac:dyDescent="0.2">
      <c r="A698" t="s">
        <v>5</v>
      </c>
      <c r="B698" s="6" t="s">
        <v>6</v>
      </c>
    </row>
    <row r="699" spans="1:11" x14ac:dyDescent="0.2">
      <c r="A699" t="s">
        <v>7</v>
      </c>
      <c r="B699" s="6" t="s">
        <v>8</v>
      </c>
    </row>
    <row r="700" spans="1:11" ht="16" x14ac:dyDescent="0.2">
      <c r="A700" s="1" t="s">
        <v>12</v>
      </c>
    </row>
    <row r="701" spans="1:11" x14ac:dyDescent="0.2">
      <c r="A701" t="s">
        <v>13</v>
      </c>
      <c r="B701" s="6" t="s">
        <v>14</v>
      </c>
      <c r="C701" t="s">
        <v>2</v>
      </c>
      <c r="D701" t="s">
        <v>7</v>
      </c>
      <c r="E701" t="s">
        <v>15</v>
      </c>
      <c r="F701" t="s">
        <v>5</v>
      </c>
      <c r="G701" t="s">
        <v>338</v>
      </c>
      <c r="H701" t="s">
        <v>339</v>
      </c>
      <c r="I701" t="s">
        <v>16</v>
      </c>
      <c r="J701" t="s">
        <v>11</v>
      </c>
      <c r="K701" t="s">
        <v>4</v>
      </c>
    </row>
    <row r="702" spans="1:11" x14ac:dyDescent="0.2">
      <c r="A702" t="s">
        <v>700</v>
      </c>
      <c r="B702" s="6">
        <v>1</v>
      </c>
      <c r="C702" t="s">
        <v>572</v>
      </c>
      <c r="D702" t="s">
        <v>8</v>
      </c>
      <c r="F702" t="s">
        <v>17</v>
      </c>
      <c r="I702">
        <v>100</v>
      </c>
      <c r="J702" t="s">
        <v>18</v>
      </c>
      <c r="K702" t="s">
        <v>701</v>
      </c>
    </row>
    <row r="703" spans="1:11" ht="16" x14ac:dyDescent="0.2">
      <c r="A703" s="2" t="s">
        <v>875</v>
      </c>
      <c r="B703" s="6">
        <v>1.00057</v>
      </c>
      <c r="C703" t="s">
        <v>572</v>
      </c>
      <c r="D703" t="s">
        <v>8</v>
      </c>
      <c r="F703" t="s">
        <v>20</v>
      </c>
      <c r="K703" s="72" t="s">
        <v>1014</v>
      </c>
    </row>
    <row r="704" spans="1:11" x14ac:dyDescent="0.2">
      <c r="A704" t="s">
        <v>28</v>
      </c>
      <c r="B704" s="6">
        <v>6.7000000000000002E-3</v>
      </c>
      <c r="C704" t="s">
        <v>572</v>
      </c>
      <c r="D704" t="s">
        <v>29</v>
      </c>
      <c r="F704" t="s">
        <v>20</v>
      </c>
      <c r="K704" t="s">
        <v>30</v>
      </c>
    </row>
    <row r="705" spans="1:11" x14ac:dyDescent="0.2">
      <c r="A705" t="s">
        <v>340</v>
      </c>
      <c r="B705" s="6">
        <v>-1.6799999999999999E-4</v>
      </c>
      <c r="C705" t="s">
        <v>624</v>
      </c>
      <c r="D705" t="s">
        <v>8</v>
      </c>
      <c r="F705" t="s">
        <v>20</v>
      </c>
      <c r="K705" t="s">
        <v>341</v>
      </c>
    </row>
    <row r="706" spans="1:11" x14ac:dyDescent="0.2">
      <c r="A706" t="s">
        <v>342</v>
      </c>
      <c r="B706" s="6">
        <v>5.8399999999999999E-4</v>
      </c>
      <c r="C706" t="s">
        <v>631</v>
      </c>
      <c r="D706" t="s">
        <v>19</v>
      </c>
      <c r="F706" t="s">
        <v>20</v>
      </c>
      <c r="K706" t="s">
        <v>343</v>
      </c>
    </row>
    <row r="707" spans="1:11" x14ac:dyDescent="0.2">
      <c r="A707" t="s">
        <v>344</v>
      </c>
      <c r="B707" s="6">
        <v>2.5999999999999998E-10</v>
      </c>
      <c r="C707" t="s">
        <v>572</v>
      </c>
      <c r="D707" t="s">
        <v>7</v>
      </c>
      <c r="F707" t="s">
        <v>20</v>
      </c>
      <c r="K707" t="s">
        <v>345</v>
      </c>
    </row>
    <row r="708" spans="1:11" x14ac:dyDescent="0.2">
      <c r="A708" t="s">
        <v>346</v>
      </c>
      <c r="B708" s="6">
        <v>-6.2700000000000001E-6</v>
      </c>
      <c r="C708" t="s">
        <v>631</v>
      </c>
      <c r="D708" t="s">
        <v>8</v>
      </c>
      <c r="F708" t="s">
        <v>20</v>
      </c>
      <c r="K708" t="s">
        <v>347</v>
      </c>
    </row>
    <row r="709" spans="1:11" x14ac:dyDescent="0.2">
      <c r="A709" t="s">
        <v>348</v>
      </c>
      <c r="B709" s="6">
        <v>-7.4999999999999993E-5</v>
      </c>
      <c r="C709" t="s">
        <v>624</v>
      </c>
      <c r="D709" t="s">
        <v>121</v>
      </c>
      <c r="F709" t="s">
        <v>20</v>
      </c>
      <c r="K709" t="s">
        <v>349</v>
      </c>
    </row>
    <row r="710" spans="1:11" x14ac:dyDescent="0.2">
      <c r="A710" t="s">
        <v>350</v>
      </c>
      <c r="B710" s="6">
        <v>6.8900000000000005E-4</v>
      </c>
      <c r="C710" t="s">
        <v>624</v>
      </c>
      <c r="D710" t="s">
        <v>8</v>
      </c>
      <c r="F710" t="s">
        <v>20</v>
      </c>
      <c r="K710" t="s">
        <v>351</v>
      </c>
    </row>
    <row r="711" spans="1:11" x14ac:dyDescent="0.2">
      <c r="A711" t="s">
        <v>100</v>
      </c>
      <c r="B711" s="6">
        <v>3.3599999999999998E-2</v>
      </c>
      <c r="C711" t="s">
        <v>624</v>
      </c>
      <c r="D711" t="s">
        <v>41</v>
      </c>
      <c r="F711" t="s">
        <v>20</v>
      </c>
      <c r="K711" t="s">
        <v>103</v>
      </c>
    </row>
    <row r="712" spans="1:11" x14ac:dyDescent="0.2">
      <c r="A712" t="s">
        <v>352</v>
      </c>
      <c r="B712" s="6">
        <v>3.2599999999999997E-2</v>
      </c>
      <c r="C712" t="s">
        <v>572</v>
      </c>
      <c r="D712" t="s">
        <v>41</v>
      </c>
      <c r="F712" t="s">
        <v>20</v>
      </c>
      <c r="K712" t="s">
        <v>353</v>
      </c>
    </row>
    <row r="713" spans="1:11" x14ac:dyDescent="0.2">
      <c r="A713" t="s">
        <v>354</v>
      </c>
      <c r="B713" s="6">
        <v>-6.8899999999999999E-7</v>
      </c>
      <c r="C713" t="s">
        <v>624</v>
      </c>
      <c r="D713" t="s">
        <v>121</v>
      </c>
      <c r="F713" t="s">
        <v>20</v>
      </c>
      <c r="K713" t="s">
        <v>355</v>
      </c>
    </row>
    <row r="714" spans="1:11" ht="16.25" customHeight="1" x14ac:dyDescent="0.2">
      <c r="A714" s="1"/>
      <c r="B714" s="71"/>
    </row>
    <row r="715" spans="1:11" ht="16" x14ac:dyDescent="0.2">
      <c r="A715" s="1" t="s">
        <v>1</v>
      </c>
      <c r="B715" s="71" t="s">
        <v>878</v>
      </c>
    </row>
    <row r="716" spans="1:11" x14ac:dyDescent="0.2">
      <c r="A716" t="s">
        <v>2</v>
      </c>
      <c r="B716" s="6" t="s">
        <v>572</v>
      </c>
    </row>
    <row r="717" spans="1:11" x14ac:dyDescent="0.2">
      <c r="A717" t="s">
        <v>3</v>
      </c>
      <c r="B717" s="6">
        <v>1</v>
      </c>
    </row>
    <row r="718" spans="1:11" x14ac:dyDescent="0.2">
      <c r="A718" t="s">
        <v>4</v>
      </c>
      <c r="B718" s="6" t="s">
        <v>758</v>
      </c>
    </row>
    <row r="719" spans="1:11" x14ac:dyDescent="0.2">
      <c r="A719" t="s">
        <v>5</v>
      </c>
      <c r="B719" s="6" t="s">
        <v>6</v>
      </c>
    </row>
    <row r="720" spans="1:11" x14ac:dyDescent="0.2">
      <c r="A720" t="s">
        <v>7</v>
      </c>
      <c r="B720" s="6" t="s">
        <v>8</v>
      </c>
    </row>
    <row r="721" spans="1:8" x14ac:dyDescent="0.2">
      <c r="A721" t="s">
        <v>9</v>
      </c>
      <c r="B721" s="6" t="s">
        <v>632</v>
      </c>
    </row>
    <row r="722" spans="1:8" x14ac:dyDescent="0.2">
      <c r="A722" t="s">
        <v>863</v>
      </c>
      <c r="B722" s="6">
        <v>3</v>
      </c>
    </row>
    <row r="723" spans="1:8" x14ac:dyDescent="0.2">
      <c r="A723" t="s">
        <v>841</v>
      </c>
      <c r="B723" s="6">
        <f>27/0.91</f>
        <v>29.670329670329668</v>
      </c>
    </row>
    <row r="724" spans="1:8" x14ac:dyDescent="0.2">
      <c r="A724" t="s">
        <v>847</v>
      </c>
      <c r="B724" s="73">
        <v>0.15</v>
      </c>
    </row>
    <row r="725" spans="1:8" ht="16" x14ac:dyDescent="0.2">
      <c r="A725" s="1" t="s">
        <v>12</v>
      </c>
    </row>
    <row r="726" spans="1:8" x14ac:dyDescent="0.2">
      <c r="A726" t="s">
        <v>13</v>
      </c>
      <c r="B726" s="6" t="s">
        <v>14</v>
      </c>
      <c r="C726" t="s">
        <v>2</v>
      </c>
      <c r="D726" t="s">
        <v>7</v>
      </c>
      <c r="E726" t="s">
        <v>15</v>
      </c>
      <c r="F726" t="s">
        <v>5</v>
      </c>
      <c r="G726" t="s">
        <v>11</v>
      </c>
      <c r="H726" t="s">
        <v>4</v>
      </c>
    </row>
    <row r="727" spans="1:8" x14ac:dyDescent="0.2">
      <c r="A727" t="s">
        <v>878</v>
      </c>
      <c r="B727" s="6">
        <v>1</v>
      </c>
      <c r="C727" t="s">
        <v>572</v>
      </c>
      <c r="D727" t="s">
        <v>8</v>
      </c>
      <c r="E727" t="s">
        <v>719</v>
      </c>
      <c r="F727" t="s">
        <v>17</v>
      </c>
      <c r="G727" t="s">
        <v>18</v>
      </c>
      <c r="H727" t="s">
        <v>758</v>
      </c>
    </row>
    <row r="728" spans="1:8" x14ac:dyDescent="0.2">
      <c r="A728" t="s">
        <v>967</v>
      </c>
      <c r="B728" s="6">
        <v>3.3196796703296701E-3</v>
      </c>
      <c r="C728" t="s">
        <v>26</v>
      </c>
      <c r="D728" t="s">
        <v>8</v>
      </c>
      <c r="E728" t="s">
        <v>634</v>
      </c>
      <c r="F728" t="s">
        <v>20</v>
      </c>
      <c r="G728" t="s">
        <v>784</v>
      </c>
      <c r="H728" t="s">
        <v>968</v>
      </c>
    </row>
    <row r="729" spans="1:8" x14ac:dyDescent="0.2">
      <c r="A729" t="s">
        <v>42</v>
      </c>
      <c r="B729" s="6">
        <v>4.6404395604395604E-2</v>
      </c>
      <c r="C729" t="s">
        <v>631</v>
      </c>
      <c r="D729" t="s">
        <v>8</v>
      </c>
      <c r="E729" t="s">
        <v>634</v>
      </c>
      <c r="F729" t="s">
        <v>20</v>
      </c>
      <c r="G729" t="s">
        <v>785</v>
      </c>
      <c r="H729" t="s">
        <v>43</v>
      </c>
    </row>
    <row r="730" spans="1:8" x14ac:dyDescent="0.2">
      <c r="A730" t="s">
        <v>608</v>
      </c>
      <c r="B730" s="6">
        <f>0.00226978021978022/1000</f>
        <v>2.26978021978022E-6</v>
      </c>
      <c r="C730" t="s">
        <v>26</v>
      </c>
      <c r="D730" t="s">
        <v>8</v>
      </c>
      <c r="E730" t="s">
        <v>634</v>
      </c>
      <c r="F730" t="s">
        <v>20</v>
      </c>
      <c r="G730" t="s">
        <v>786</v>
      </c>
      <c r="H730" t="s">
        <v>607</v>
      </c>
    </row>
    <row r="731" spans="1:8" x14ac:dyDescent="0.2">
      <c r="A731" t="s">
        <v>44</v>
      </c>
      <c r="B731" s="6">
        <v>1.0340109890109889E-2</v>
      </c>
      <c r="C731" t="s">
        <v>631</v>
      </c>
      <c r="D731" t="s">
        <v>8</v>
      </c>
      <c r="E731" t="s">
        <v>634</v>
      </c>
      <c r="F731" t="s">
        <v>20</v>
      </c>
      <c r="G731" t="s">
        <v>787</v>
      </c>
      <c r="H731" t="s">
        <v>45</v>
      </c>
    </row>
    <row r="732" spans="1:8" x14ac:dyDescent="0.2">
      <c r="A732" t="s">
        <v>46</v>
      </c>
      <c r="B732" s="6">
        <v>1.4123076923076919E-2</v>
      </c>
      <c r="C732" t="s">
        <v>631</v>
      </c>
      <c r="D732" t="s">
        <v>8</v>
      </c>
      <c r="E732" t="s">
        <v>634</v>
      </c>
      <c r="F732" t="s">
        <v>20</v>
      </c>
      <c r="G732" t="s">
        <v>788</v>
      </c>
      <c r="H732" t="s">
        <v>47</v>
      </c>
    </row>
    <row r="733" spans="1:8" x14ac:dyDescent="0.2">
      <c r="A733" t="s">
        <v>789</v>
      </c>
      <c r="B733" s="6">
        <v>9.0791208791208781E-3</v>
      </c>
      <c r="C733" t="s">
        <v>26</v>
      </c>
      <c r="D733" t="s">
        <v>8</v>
      </c>
      <c r="E733" t="s">
        <v>634</v>
      </c>
      <c r="F733" t="s">
        <v>20</v>
      </c>
      <c r="G733" t="s">
        <v>790</v>
      </c>
      <c r="H733" t="s">
        <v>791</v>
      </c>
    </row>
    <row r="734" spans="1:8" x14ac:dyDescent="0.2">
      <c r="A734" t="s">
        <v>48</v>
      </c>
      <c r="B734" s="6">
        <v>0.10214010989010987</v>
      </c>
      <c r="C734" t="s">
        <v>26</v>
      </c>
      <c r="D734" t="s">
        <v>8</v>
      </c>
      <c r="E734" t="s">
        <v>634</v>
      </c>
      <c r="F734" t="s">
        <v>20</v>
      </c>
      <c r="G734" t="s">
        <v>792</v>
      </c>
      <c r="H734" t="s">
        <v>49</v>
      </c>
    </row>
    <row r="735" spans="1:8" x14ac:dyDescent="0.2">
      <c r="A735" t="s">
        <v>22</v>
      </c>
      <c r="B735" s="6">
        <f>0.022609532967033*43</f>
        <v>0.97220991758241904</v>
      </c>
      <c r="C735" t="s">
        <v>26</v>
      </c>
      <c r="D735" t="s">
        <v>19</v>
      </c>
      <c r="E735" t="s">
        <v>634</v>
      </c>
      <c r="F735" t="s">
        <v>20</v>
      </c>
      <c r="G735" t="s">
        <v>793</v>
      </c>
      <c r="H735" t="s">
        <v>23</v>
      </c>
    </row>
    <row r="736" spans="1:8" x14ac:dyDescent="0.2">
      <c r="A736" t="s">
        <v>651</v>
      </c>
      <c r="B736" s="6">
        <v>2.1103407692307695E-2</v>
      </c>
      <c r="C736" t="s">
        <v>624</v>
      </c>
      <c r="D736" t="s">
        <v>29</v>
      </c>
      <c r="E736" t="s">
        <v>637</v>
      </c>
      <c r="F736" t="s">
        <v>20</v>
      </c>
      <c r="G736" t="s">
        <v>794</v>
      </c>
      <c r="H736" t="s">
        <v>653</v>
      </c>
    </row>
    <row r="737" spans="1:8" x14ac:dyDescent="0.2">
      <c r="A737" t="s">
        <v>774</v>
      </c>
      <c r="B737" s="6">
        <v>3.851312637362637E-3</v>
      </c>
      <c r="C737" t="s">
        <v>572</v>
      </c>
      <c r="D737" t="s">
        <v>8</v>
      </c>
      <c r="E737" t="s">
        <v>634</v>
      </c>
      <c r="F737" t="s">
        <v>20</v>
      </c>
      <c r="G737" t="s">
        <v>784</v>
      </c>
      <c r="H737" t="s">
        <v>775</v>
      </c>
    </row>
    <row r="738" spans="1:8" x14ac:dyDescent="0.2">
      <c r="A738" t="s">
        <v>50</v>
      </c>
      <c r="B738" s="6">
        <f>2099/1000000</f>
        <v>2.0990000000000002E-3</v>
      </c>
      <c r="C738" t="s">
        <v>26</v>
      </c>
      <c r="D738" t="s">
        <v>8</v>
      </c>
      <c r="F738" t="s">
        <v>20</v>
      </c>
      <c r="G738" t="s">
        <v>1028</v>
      </c>
      <c r="H738" t="s">
        <v>53</v>
      </c>
    </row>
    <row r="739" spans="1:8" x14ac:dyDescent="0.2">
      <c r="A739" t="s">
        <v>108</v>
      </c>
      <c r="B739" s="6">
        <v>25.219780219780215</v>
      </c>
      <c r="D739" t="s">
        <v>19</v>
      </c>
      <c r="E739" t="s">
        <v>112</v>
      </c>
      <c r="F739" t="s">
        <v>36</v>
      </c>
      <c r="G739" t="s">
        <v>795</v>
      </c>
    </row>
    <row r="740" spans="1:8" x14ac:dyDescent="0.2">
      <c r="A740" t="s">
        <v>40</v>
      </c>
      <c r="B740" s="6">
        <v>1.4425714285714285E-3</v>
      </c>
      <c r="C740" s="6"/>
      <c r="D740" t="s">
        <v>8</v>
      </c>
      <c r="E740" t="s">
        <v>37</v>
      </c>
      <c r="F740" t="s">
        <v>36</v>
      </c>
      <c r="G740" t="s">
        <v>782</v>
      </c>
    </row>
    <row r="741" spans="1:8" x14ac:dyDescent="0.2">
      <c r="A741" t="s">
        <v>40</v>
      </c>
      <c r="B741" s="6">
        <v>3.026373626373626E-6</v>
      </c>
      <c r="D741" t="s">
        <v>8</v>
      </c>
      <c r="E741" t="s">
        <v>37</v>
      </c>
      <c r="F741" t="s">
        <v>36</v>
      </c>
      <c r="G741" t="s">
        <v>783</v>
      </c>
    </row>
    <row r="742" spans="1:8" x14ac:dyDescent="0.2">
      <c r="A742" t="s">
        <v>1031</v>
      </c>
      <c r="B742" s="6">
        <f>0.535*(44/12)*(1-B724)</f>
        <v>1.6674166666666665</v>
      </c>
      <c r="D742" t="s">
        <v>8</v>
      </c>
      <c r="E742" t="s">
        <v>1032</v>
      </c>
      <c r="F742" t="s">
        <v>36</v>
      </c>
      <c r="G742" t="s">
        <v>879</v>
      </c>
    </row>
    <row r="743" spans="1:8" x14ac:dyDescent="0.2">
      <c r="A743" t="s">
        <v>194</v>
      </c>
      <c r="B743" s="6">
        <v>3.58</v>
      </c>
      <c r="D743" t="s">
        <v>113</v>
      </c>
      <c r="E743" t="s">
        <v>114</v>
      </c>
      <c r="F743" t="s">
        <v>36</v>
      </c>
      <c r="G743" t="s">
        <v>945</v>
      </c>
    </row>
    <row r="744" spans="1:8" x14ac:dyDescent="0.2">
      <c r="A744" t="s">
        <v>195</v>
      </c>
      <c r="B744" s="6">
        <v>3.31</v>
      </c>
      <c r="D744" t="s">
        <v>115</v>
      </c>
      <c r="E744" t="s">
        <v>114</v>
      </c>
      <c r="F744" t="s">
        <v>36</v>
      </c>
      <c r="G744" t="s">
        <v>880</v>
      </c>
    </row>
    <row r="745" spans="1:8" x14ac:dyDescent="0.2">
      <c r="A745" t="s">
        <v>196</v>
      </c>
      <c r="B745" s="6">
        <v>3.31</v>
      </c>
      <c r="D745" t="s">
        <v>115</v>
      </c>
      <c r="E745" t="s">
        <v>114</v>
      </c>
      <c r="F745" t="s">
        <v>36</v>
      </c>
      <c r="G745" t="s">
        <v>880</v>
      </c>
    </row>
    <row r="746" spans="1:8" x14ac:dyDescent="0.2">
      <c r="A746" t="s">
        <v>120</v>
      </c>
      <c r="B746" s="6">
        <v>0.27484999999999998</v>
      </c>
      <c r="C746" t="s">
        <v>960</v>
      </c>
      <c r="D746" t="s">
        <v>121</v>
      </c>
      <c r="F746" t="s">
        <v>20</v>
      </c>
      <c r="G746" t="s">
        <v>957</v>
      </c>
      <c r="H746" t="s">
        <v>122</v>
      </c>
    </row>
    <row r="747" spans="1:8" x14ac:dyDescent="0.2">
      <c r="A747" t="s">
        <v>962</v>
      </c>
      <c r="B747" s="6">
        <v>0.23088</v>
      </c>
      <c r="C747" t="s">
        <v>26</v>
      </c>
      <c r="D747" t="s">
        <v>8</v>
      </c>
      <c r="F747" t="s">
        <v>20</v>
      </c>
      <c r="G747" t="s">
        <v>957</v>
      </c>
      <c r="H747" t="s">
        <v>889</v>
      </c>
    </row>
    <row r="748" spans="1:8" x14ac:dyDescent="0.2">
      <c r="A748" t="s">
        <v>890</v>
      </c>
      <c r="B748" s="6">
        <v>1.8833999999999999E-3</v>
      </c>
      <c r="C748" t="s">
        <v>26</v>
      </c>
      <c r="D748" t="s">
        <v>8</v>
      </c>
      <c r="F748" t="s">
        <v>20</v>
      </c>
      <c r="G748" t="s">
        <v>957</v>
      </c>
      <c r="H748" t="s">
        <v>891</v>
      </c>
    </row>
    <row r="749" spans="1:8" x14ac:dyDescent="0.2">
      <c r="A749" t="s">
        <v>126</v>
      </c>
      <c r="B749" s="6">
        <v>0.21836674491491001</v>
      </c>
      <c r="D749" t="s">
        <v>121</v>
      </c>
      <c r="E749" t="s">
        <v>37</v>
      </c>
      <c r="F749" t="s">
        <v>36</v>
      </c>
      <c r="G749" t="s">
        <v>957</v>
      </c>
    </row>
    <row r="750" spans="1:8" x14ac:dyDescent="0.2">
      <c r="A750" t="s">
        <v>172</v>
      </c>
      <c r="B750" s="6">
        <v>6.9572454000000006E-2</v>
      </c>
      <c r="D750" t="s">
        <v>8</v>
      </c>
      <c r="E750" t="s">
        <v>179</v>
      </c>
      <c r="F750" t="s">
        <v>36</v>
      </c>
      <c r="G750" t="s">
        <v>957</v>
      </c>
    </row>
    <row r="751" spans="1:8" x14ac:dyDescent="0.2">
      <c r="A751" t="s">
        <v>126</v>
      </c>
      <c r="B751" s="6">
        <v>4.5185013044696201E-2</v>
      </c>
      <c r="D751" t="s">
        <v>121</v>
      </c>
      <c r="E751" t="s">
        <v>179</v>
      </c>
      <c r="F751" t="s">
        <v>36</v>
      </c>
      <c r="G751" t="s">
        <v>957</v>
      </c>
    </row>
    <row r="752" spans="1:8" x14ac:dyDescent="0.2">
      <c r="A752" t="s">
        <v>325</v>
      </c>
      <c r="B752" s="6">
        <v>2.9804000000000001E-2</v>
      </c>
      <c r="D752" t="s">
        <v>8</v>
      </c>
      <c r="E752" t="s">
        <v>169</v>
      </c>
      <c r="F752" t="s">
        <v>36</v>
      </c>
      <c r="G752" t="s">
        <v>957</v>
      </c>
    </row>
    <row r="753" spans="1:7" x14ac:dyDescent="0.2">
      <c r="A753" t="s">
        <v>126</v>
      </c>
      <c r="B753" s="6">
        <v>1.1296253261174101E-2</v>
      </c>
      <c r="D753" t="s">
        <v>121</v>
      </c>
      <c r="E753" t="s">
        <v>171</v>
      </c>
      <c r="F753" t="s">
        <v>36</v>
      </c>
      <c r="G753" t="s">
        <v>957</v>
      </c>
    </row>
    <row r="754" spans="1:7" x14ac:dyDescent="0.2">
      <c r="A754" t="s">
        <v>127</v>
      </c>
      <c r="B754" s="6">
        <v>5.1229170000000003E-3</v>
      </c>
      <c r="D754" t="s">
        <v>8</v>
      </c>
      <c r="E754" t="s">
        <v>169</v>
      </c>
      <c r="F754" t="s">
        <v>36</v>
      </c>
      <c r="G754" t="s">
        <v>957</v>
      </c>
    </row>
    <row r="755" spans="1:7" x14ac:dyDescent="0.2">
      <c r="A755" t="s">
        <v>946</v>
      </c>
      <c r="B755" s="6">
        <v>3.0517000000000001E-4</v>
      </c>
      <c r="D755" t="s">
        <v>8</v>
      </c>
      <c r="E755" t="s">
        <v>170</v>
      </c>
      <c r="F755" t="s">
        <v>36</v>
      </c>
      <c r="G755" t="s">
        <v>957</v>
      </c>
    </row>
    <row r="756" spans="1:7" x14ac:dyDescent="0.2">
      <c r="A756" t="s">
        <v>38</v>
      </c>
      <c r="B756" s="6">
        <v>3.0220239000000002E-4</v>
      </c>
      <c r="D756" t="s">
        <v>8</v>
      </c>
      <c r="E756" t="s">
        <v>169</v>
      </c>
      <c r="F756" t="s">
        <v>36</v>
      </c>
      <c r="G756" t="s">
        <v>957</v>
      </c>
    </row>
    <row r="757" spans="1:7" x14ac:dyDescent="0.2">
      <c r="A757" t="s">
        <v>174</v>
      </c>
      <c r="B757" s="6">
        <v>2.1311E-4</v>
      </c>
      <c r="D757" t="s">
        <v>8</v>
      </c>
      <c r="E757" t="s">
        <v>171</v>
      </c>
      <c r="F757" t="s">
        <v>36</v>
      </c>
      <c r="G757" t="s">
        <v>957</v>
      </c>
    </row>
    <row r="758" spans="1:7" x14ac:dyDescent="0.2">
      <c r="A758" t="s">
        <v>947</v>
      </c>
      <c r="B758" s="6">
        <v>1.3363000000000001E-4</v>
      </c>
      <c r="D758" t="s">
        <v>8</v>
      </c>
      <c r="E758" t="s">
        <v>170</v>
      </c>
      <c r="F758" t="s">
        <v>36</v>
      </c>
      <c r="G758" t="s">
        <v>957</v>
      </c>
    </row>
    <row r="759" spans="1:7" x14ac:dyDescent="0.2">
      <c r="A759" t="s">
        <v>948</v>
      </c>
      <c r="B759" s="6">
        <v>1.166E-4</v>
      </c>
      <c r="D759" t="s">
        <v>8</v>
      </c>
      <c r="E759" t="s">
        <v>170</v>
      </c>
      <c r="F759" t="s">
        <v>36</v>
      </c>
      <c r="G759" t="s">
        <v>957</v>
      </c>
    </row>
    <row r="760" spans="1:7" x14ac:dyDescent="0.2">
      <c r="A760" t="s">
        <v>898</v>
      </c>
      <c r="B760" s="6">
        <v>8.4437000000000005E-5</v>
      </c>
      <c r="D760" t="s">
        <v>8</v>
      </c>
      <c r="E760" t="s">
        <v>170</v>
      </c>
      <c r="F760" t="s">
        <v>36</v>
      </c>
      <c r="G760" t="s">
        <v>957</v>
      </c>
    </row>
    <row r="761" spans="1:7" x14ac:dyDescent="0.2">
      <c r="A761" t="s">
        <v>949</v>
      </c>
      <c r="B761" s="6">
        <v>7.9843000000000001E-5</v>
      </c>
      <c r="D761" t="s">
        <v>8</v>
      </c>
      <c r="E761" t="s">
        <v>170</v>
      </c>
      <c r="F761" t="s">
        <v>36</v>
      </c>
      <c r="G761" t="s">
        <v>957</v>
      </c>
    </row>
    <row r="762" spans="1:7" x14ac:dyDescent="0.2">
      <c r="A762" t="s">
        <v>174</v>
      </c>
      <c r="B762" s="6">
        <v>7.1031999999999993E-5</v>
      </c>
      <c r="D762" t="s">
        <v>8</v>
      </c>
      <c r="E762" t="s">
        <v>179</v>
      </c>
      <c r="F762" t="s">
        <v>36</v>
      </c>
      <c r="G762" t="s">
        <v>957</v>
      </c>
    </row>
    <row r="763" spans="1:7" x14ac:dyDescent="0.2">
      <c r="A763" t="s">
        <v>950</v>
      </c>
      <c r="B763" s="6">
        <v>5.2151999999999998E-5</v>
      </c>
      <c r="D763" t="s">
        <v>8</v>
      </c>
      <c r="E763" t="s">
        <v>170</v>
      </c>
      <c r="F763" t="s">
        <v>36</v>
      </c>
      <c r="G763" t="s">
        <v>957</v>
      </c>
    </row>
    <row r="764" spans="1:7" x14ac:dyDescent="0.2">
      <c r="A764" t="s">
        <v>951</v>
      </c>
      <c r="B764" s="6">
        <v>5.1523000000000001E-5</v>
      </c>
      <c r="D764" t="s">
        <v>8</v>
      </c>
      <c r="E764" t="s">
        <v>170</v>
      </c>
      <c r="F764" t="s">
        <v>36</v>
      </c>
      <c r="G764" t="s">
        <v>957</v>
      </c>
    </row>
    <row r="765" spans="1:7" x14ac:dyDescent="0.2">
      <c r="A765" t="s">
        <v>173</v>
      </c>
      <c r="B765" s="6">
        <v>4.1866000000000002E-5</v>
      </c>
      <c r="D765" t="s">
        <v>8</v>
      </c>
      <c r="E765" t="s">
        <v>171</v>
      </c>
      <c r="F765" t="s">
        <v>36</v>
      </c>
      <c r="G765" t="s">
        <v>957</v>
      </c>
    </row>
    <row r="766" spans="1:7" x14ac:dyDescent="0.2">
      <c r="A766" t="s">
        <v>892</v>
      </c>
      <c r="B766" s="6">
        <v>3.9734999999999998E-5</v>
      </c>
      <c r="D766" t="s">
        <v>8</v>
      </c>
      <c r="E766" t="s">
        <v>170</v>
      </c>
      <c r="F766" t="s">
        <v>36</v>
      </c>
      <c r="G766" t="s">
        <v>957</v>
      </c>
    </row>
    <row r="767" spans="1:7" x14ac:dyDescent="0.2">
      <c r="A767" t="s">
        <v>952</v>
      </c>
      <c r="B767" s="6">
        <v>1.8626000000000001E-5</v>
      </c>
      <c r="D767" t="s">
        <v>8</v>
      </c>
      <c r="E767" t="s">
        <v>170</v>
      </c>
      <c r="F767" t="s">
        <v>36</v>
      </c>
      <c r="G767" t="s">
        <v>957</v>
      </c>
    </row>
    <row r="768" spans="1:7" x14ac:dyDescent="0.2">
      <c r="A768" t="s">
        <v>953</v>
      </c>
      <c r="B768" s="6">
        <v>1.7960000000000001E-5</v>
      </c>
      <c r="D768" t="s">
        <v>8</v>
      </c>
      <c r="E768" t="s">
        <v>170</v>
      </c>
      <c r="F768" t="s">
        <v>36</v>
      </c>
      <c r="G768" t="s">
        <v>957</v>
      </c>
    </row>
    <row r="769" spans="1:7" x14ac:dyDescent="0.2">
      <c r="A769" t="s">
        <v>165</v>
      </c>
      <c r="B769" s="6">
        <f>AVERAGE(0.00000285,0.0000091)</f>
        <v>5.9749999999999995E-6</v>
      </c>
      <c r="D769" t="s">
        <v>8</v>
      </c>
      <c r="E769" t="s">
        <v>170</v>
      </c>
      <c r="F769" t="s">
        <v>36</v>
      </c>
      <c r="G769" t="s">
        <v>957</v>
      </c>
    </row>
    <row r="770" spans="1:7" x14ac:dyDescent="0.2">
      <c r="A770" t="s">
        <v>145</v>
      </c>
      <c r="B770" s="6">
        <v>7.1273000000000004E-6</v>
      </c>
      <c r="D770" t="s">
        <v>8</v>
      </c>
      <c r="E770" t="s">
        <v>170</v>
      </c>
      <c r="F770" t="s">
        <v>36</v>
      </c>
      <c r="G770" t="s">
        <v>957</v>
      </c>
    </row>
    <row r="771" spans="1:7" x14ac:dyDescent="0.2">
      <c r="A771" t="s">
        <v>911</v>
      </c>
      <c r="B771" s="6">
        <v>6.8294999999999996E-6</v>
      </c>
      <c r="D771" t="s">
        <v>8</v>
      </c>
      <c r="E771" t="s">
        <v>170</v>
      </c>
      <c r="F771" t="s">
        <v>36</v>
      </c>
      <c r="G771" t="s">
        <v>957</v>
      </c>
    </row>
    <row r="772" spans="1:7" x14ac:dyDescent="0.2">
      <c r="A772" t="s">
        <v>199</v>
      </c>
      <c r="B772" s="6">
        <v>6.4968999999999996E-6</v>
      </c>
      <c r="D772" t="s">
        <v>8</v>
      </c>
      <c r="E772" t="s">
        <v>179</v>
      </c>
      <c r="F772" t="s">
        <v>36</v>
      </c>
      <c r="G772" t="s">
        <v>957</v>
      </c>
    </row>
    <row r="773" spans="1:7" x14ac:dyDescent="0.2">
      <c r="A773" t="s">
        <v>954</v>
      </c>
      <c r="B773" s="6">
        <v>6.2086000000000002E-6</v>
      </c>
      <c r="D773" t="s">
        <v>8</v>
      </c>
      <c r="E773" t="s">
        <v>170</v>
      </c>
      <c r="F773" t="s">
        <v>36</v>
      </c>
      <c r="G773" t="s">
        <v>957</v>
      </c>
    </row>
    <row r="774" spans="1:7" x14ac:dyDescent="0.2">
      <c r="A774" t="s">
        <v>206</v>
      </c>
      <c r="B774" s="6">
        <v>5.0923999999999997E-6</v>
      </c>
      <c r="D774" t="s">
        <v>8</v>
      </c>
      <c r="E774" t="s">
        <v>179</v>
      </c>
      <c r="F774" t="s">
        <v>36</v>
      </c>
      <c r="G774" t="s">
        <v>957</v>
      </c>
    </row>
    <row r="775" spans="1:7" x14ac:dyDescent="0.2">
      <c r="A775" t="s">
        <v>955</v>
      </c>
      <c r="B775" s="6">
        <v>4.1390999999999999E-6</v>
      </c>
      <c r="D775" t="s">
        <v>8</v>
      </c>
      <c r="E775" t="s">
        <v>170</v>
      </c>
      <c r="F775" t="s">
        <v>36</v>
      </c>
      <c r="G775" t="s">
        <v>957</v>
      </c>
    </row>
    <row r="776" spans="1:7" x14ac:dyDescent="0.2">
      <c r="A776" t="s">
        <v>956</v>
      </c>
      <c r="B776" s="6">
        <v>2.3841000000000002E-6</v>
      </c>
      <c r="D776" t="s">
        <v>8</v>
      </c>
      <c r="E776" t="s">
        <v>170</v>
      </c>
      <c r="F776" t="s">
        <v>36</v>
      </c>
      <c r="G776" t="s">
        <v>957</v>
      </c>
    </row>
    <row r="777" spans="1:7" x14ac:dyDescent="0.2">
      <c r="A777" t="s">
        <v>931</v>
      </c>
      <c r="B777" s="6">
        <v>2.0488000000000002E-6</v>
      </c>
      <c r="D777" t="s">
        <v>8</v>
      </c>
      <c r="E777" t="s">
        <v>170</v>
      </c>
      <c r="F777" t="s">
        <v>36</v>
      </c>
      <c r="G777" t="s">
        <v>957</v>
      </c>
    </row>
    <row r="778" spans="1:7" x14ac:dyDescent="0.2">
      <c r="A778" t="s">
        <v>137</v>
      </c>
      <c r="B778" s="6">
        <v>2.0488000000000002E-6</v>
      </c>
      <c r="D778" t="s">
        <v>8</v>
      </c>
      <c r="E778" t="s">
        <v>170</v>
      </c>
      <c r="F778" t="s">
        <v>36</v>
      </c>
      <c r="G778" t="s">
        <v>957</v>
      </c>
    </row>
    <row r="779" spans="1:7" x14ac:dyDescent="0.2">
      <c r="A779" t="s">
        <v>148</v>
      </c>
      <c r="B779" s="6">
        <v>1.5694E-6</v>
      </c>
      <c r="D779" t="s">
        <v>8</v>
      </c>
      <c r="E779" t="s">
        <v>170</v>
      </c>
      <c r="F779" t="s">
        <v>36</v>
      </c>
      <c r="G779" t="s">
        <v>957</v>
      </c>
    </row>
    <row r="780" spans="1:7" x14ac:dyDescent="0.2">
      <c r="A780" t="s">
        <v>138</v>
      </c>
      <c r="B780" s="6">
        <v>1.2883E-6</v>
      </c>
      <c r="D780" t="s">
        <v>8</v>
      </c>
      <c r="E780" t="s">
        <v>170</v>
      </c>
      <c r="F780" t="s">
        <v>36</v>
      </c>
      <c r="G780" t="s">
        <v>957</v>
      </c>
    </row>
    <row r="781" spans="1:7" x14ac:dyDescent="0.2">
      <c r="A781" t="s">
        <v>206</v>
      </c>
      <c r="B781" s="6">
        <v>1.0187000000000001E-6</v>
      </c>
      <c r="D781" t="s">
        <v>8</v>
      </c>
      <c r="E781" t="s">
        <v>171</v>
      </c>
      <c r="F781" t="s">
        <v>36</v>
      </c>
      <c r="G781" t="s">
        <v>957</v>
      </c>
    </row>
    <row r="782" spans="1:7" x14ac:dyDescent="0.2">
      <c r="A782" t="s">
        <v>199</v>
      </c>
      <c r="B782" s="6">
        <v>9.8295000000000005E-7</v>
      </c>
      <c r="D782" t="s">
        <v>8</v>
      </c>
      <c r="E782" t="s">
        <v>171</v>
      </c>
      <c r="F782" t="s">
        <v>36</v>
      </c>
      <c r="G782" t="s">
        <v>957</v>
      </c>
    </row>
    <row r="783" spans="1:7" x14ac:dyDescent="0.2">
      <c r="A783" t="s">
        <v>200</v>
      </c>
      <c r="B783" s="6">
        <v>9.8286999999999996E-7</v>
      </c>
      <c r="D783" t="s">
        <v>8</v>
      </c>
      <c r="E783" t="s">
        <v>179</v>
      </c>
      <c r="F783" t="s">
        <v>36</v>
      </c>
      <c r="G783" t="s">
        <v>957</v>
      </c>
    </row>
    <row r="784" spans="1:7" x14ac:dyDescent="0.2">
      <c r="A784" t="s">
        <v>200</v>
      </c>
      <c r="B784" s="6">
        <v>7.3035999999999998E-7</v>
      </c>
      <c r="D784" t="s">
        <v>8</v>
      </c>
      <c r="E784" t="s">
        <v>171</v>
      </c>
      <c r="F784" t="s">
        <v>36</v>
      </c>
      <c r="G784" t="s">
        <v>957</v>
      </c>
    </row>
    <row r="785" spans="1:7" x14ac:dyDescent="0.2">
      <c r="A785" t="s">
        <v>202</v>
      </c>
      <c r="B785" s="6">
        <v>6.6466000000000002E-7</v>
      </c>
      <c r="D785" t="s">
        <v>8</v>
      </c>
      <c r="E785" t="s">
        <v>171</v>
      </c>
      <c r="F785" t="s">
        <v>36</v>
      </c>
      <c r="G785" t="s">
        <v>957</v>
      </c>
    </row>
    <row r="786" spans="1:7" x14ac:dyDescent="0.2">
      <c r="A786" t="s">
        <v>926</v>
      </c>
      <c r="B786" s="6">
        <v>5.2152000000000003E-7</v>
      </c>
      <c r="D786" t="s">
        <v>8</v>
      </c>
      <c r="E786" t="s">
        <v>170</v>
      </c>
      <c r="F786" t="s">
        <v>36</v>
      </c>
      <c r="G786" t="s">
        <v>957</v>
      </c>
    </row>
    <row r="787" spans="1:7" x14ac:dyDescent="0.2">
      <c r="A787" t="s">
        <v>142</v>
      </c>
      <c r="B787" s="6">
        <v>3.2912999999999998E-7</v>
      </c>
      <c r="D787" t="s">
        <v>8</v>
      </c>
      <c r="E787" t="s">
        <v>170</v>
      </c>
      <c r="F787" t="s">
        <v>36</v>
      </c>
      <c r="G787" t="s">
        <v>957</v>
      </c>
    </row>
    <row r="788" spans="1:7" x14ac:dyDescent="0.2">
      <c r="A788" t="s">
        <v>168</v>
      </c>
      <c r="B788" s="6">
        <v>1.2601E-7</v>
      </c>
      <c r="D788" t="s">
        <v>8</v>
      </c>
      <c r="E788" t="s">
        <v>170</v>
      </c>
      <c r="F788" t="s">
        <v>36</v>
      </c>
      <c r="G788" t="s">
        <v>957</v>
      </c>
    </row>
    <row r="789" spans="1:7" x14ac:dyDescent="0.2">
      <c r="A789" t="s">
        <v>168</v>
      </c>
      <c r="B789" s="6">
        <v>8.8442000000000005E-8</v>
      </c>
      <c r="D789" t="s">
        <v>8</v>
      </c>
      <c r="E789" t="s">
        <v>171</v>
      </c>
      <c r="F789" t="s">
        <v>36</v>
      </c>
      <c r="G789" t="s">
        <v>957</v>
      </c>
    </row>
    <row r="790" spans="1:7" x14ac:dyDescent="0.2">
      <c r="A790" t="s">
        <v>168</v>
      </c>
      <c r="B790" s="6">
        <v>2.0447000000000001E-8</v>
      </c>
      <c r="D790" t="s">
        <v>8</v>
      </c>
      <c r="E790" t="s">
        <v>179</v>
      </c>
      <c r="F790" t="s">
        <v>36</v>
      </c>
      <c r="G790" t="s">
        <v>957</v>
      </c>
    </row>
    <row r="791" spans="1:7" x14ac:dyDescent="0.2">
      <c r="A791" t="s">
        <v>198</v>
      </c>
      <c r="B791" s="6">
        <v>1.5329999999999999E-8</v>
      </c>
      <c r="D791" t="s">
        <v>8</v>
      </c>
      <c r="E791" t="s">
        <v>179</v>
      </c>
      <c r="F791" t="s">
        <v>36</v>
      </c>
      <c r="G791" t="s">
        <v>957</v>
      </c>
    </row>
    <row r="792" spans="1:7" x14ac:dyDescent="0.2">
      <c r="A792" t="s">
        <v>198</v>
      </c>
      <c r="B792" s="6">
        <v>9.7934999999999993E-9</v>
      </c>
      <c r="D792" t="s">
        <v>8</v>
      </c>
      <c r="E792" t="s">
        <v>171</v>
      </c>
      <c r="F792" t="s">
        <v>36</v>
      </c>
      <c r="G792" t="s">
        <v>957</v>
      </c>
    </row>
    <row r="793" spans="1:7" x14ac:dyDescent="0.2">
      <c r="A793" t="s">
        <v>201</v>
      </c>
      <c r="B793" s="6">
        <v>1.9653000000000001E-11</v>
      </c>
      <c r="D793" t="s">
        <v>8</v>
      </c>
      <c r="E793" t="s">
        <v>179</v>
      </c>
      <c r="F793" t="s">
        <v>36</v>
      </c>
      <c r="G793" t="s">
        <v>957</v>
      </c>
    </row>
    <row r="794" spans="1:7" x14ac:dyDescent="0.2">
      <c r="A794" t="s">
        <v>201</v>
      </c>
      <c r="B794" s="6">
        <v>1.6897000000000001E-11</v>
      </c>
      <c r="D794" t="s">
        <v>8</v>
      </c>
      <c r="E794" t="s">
        <v>171</v>
      </c>
      <c r="F794" t="s">
        <v>36</v>
      </c>
      <c r="G794" t="s">
        <v>957</v>
      </c>
    </row>
    <row r="795" spans="1:7" x14ac:dyDescent="0.2">
      <c r="A795" t="s">
        <v>201</v>
      </c>
      <c r="B795" s="6">
        <v>-4.1133000000000002E-10</v>
      </c>
      <c r="D795" t="s">
        <v>8</v>
      </c>
      <c r="E795" t="s">
        <v>170</v>
      </c>
      <c r="F795" t="s">
        <v>36</v>
      </c>
      <c r="G795" t="s">
        <v>957</v>
      </c>
    </row>
    <row r="796" spans="1:7" x14ac:dyDescent="0.2">
      <c r="A796" t="s">
        <v>132</v>
      </c>
      <c r="B796" s="6">
        <v>-3.7361000000000002E-7</v>
      </c>
      <c r="D796" t="s">
        <v>8</v>
      </c>
      <c r="E796" t="s">
        <v>170</v>
      </c>
      <c r="F796" t="s">
        <v>36</v>
      </c>
      <c r="G796" t="s">
        <v>957</v>
      </c>
    </row>
    <row r="798" spans="1:7" ht="16" x14ac:dyDescent="0.2">
      <c r="A798" s="1" t="s">
        <v>1</v>
      </c>
      <c r="B798" s="71" t="s">
        <v>757</v>
      </c>
    </row>
    <row r="799" spans="1:7" x14ac:dyDescent="0.2">
      <c r="A799" t="s">
        <v>2</v>
      </c>
      <c r="B799" s="6" t="s">
        <v>572</v>
      </c>
    </row>
    <row r="800" spans="1:7" x14ac:dyDescent="0.2">
      <c r="A800" t="s">
        <v>3</v>
      </c>
      <c r="B800" s="6">
        <v>1</v>
      </c>
    </row>
    <row r="801" spans="1:8" x14ac:dyDescent="0.2">
      <c r="A801" t="s">
        <v>4</v>
      </c>
      <c r="B801" s="6" t="s">
        <v>757</v>
      </c>
    </row>
    <row r="802" spans="1:8" x14ac:dyDescent="0.2">
      <c r="A802" t="s">
        <v>9</v>
      </c>
      <c r="B802" s="6" t="s">
        <v>632</v>
      </c>
    </row>
    <row r="803" spans="1:8" x14ac:dyDescent="0.2">
      <c r="A803" t="s">
        <v>5</v>
      </c>
      <c r="B803" s="6" t="s">
        <v>6</v>
      </c>
    </row>
    <row r="804" spans="1:8" x14ac:dyDescent="0.2">
      <c r="A804" t="s">
        <v>7</v>
      </c>
      <c r="B804" s="6" t="s">
        <v>8</v>
      </c>
    </row>
    <row r="805" spans="1:8" x14ac:dyDescent="0.2">
      <c r="A805" t="s">
        <v>867</v>
      </c>
      <c r="B805" s="6">
        <v>37</v>
      </c>
    </row>
    <row r="806" spans="1:8" ht="16" x14ac:dyDescent="0.2">
      <c r="A806" s="1" t="s">
        <v>12</v>
      </c>
    </row>
    <row r="807" spans="1:8" x14ac:dyDescent="0.2">
      <c r="A807" t="s">
        <v>13</v>
      </c>
      <c r="B807" s="6" t="s">
        <v>14</v>
      </c>
      <c r="C807" t="s">
        <v>2</v>
      </c>
      <c r="D807" t="s">
        <v>7</v>
      </c>
      <c r="E807" t="s">
        <v>15</v>
      </c>
      <c r="F807" t="s">
        <v>5</v>
      </c>
      <c r="G807" t="s">
        <v>11</v>
      </c>
      <c r="H807" t="s">
        <v>4</v>
      </c>
    </row>
    <row r="808" spans="1:8" x14ac:dyDescent="0.2">
      <c r="A808" t="s">
        <v>757</v>
      </c>
      <c r="B808" s="6">
        <v>1</v>
      </c>
      <c r="C808" t="s">
        <v>572</v>
      </c>
      <c r="D808" t="s">
        <v>8</v>
      </c>
      <c r="E808" t="s">
        <v>719</v>
      </c>
      <c r="F808" t="s">
        <v>17</v>
      </c>
      <c r="G808" t="s">
        <v>18</v>
      </c>
      <c r="H808" t="s">
        <v>757</v>
      </c>
    </row>
    <row r="809" spans="1:8" x14ac:dyDescent="0.2">
      <c r="A809" t="s">
        <v>878</v>
      </c>
      <c r="B809" s="6">
        <f>1/0.42/1.09</f>
        <v>2.1843599825251201</v>
      </c>
      <c r="C809" t="s">
        <v>572</v>
      </c>
      <c r="D809" t="s">
        <v>8</v>
      </c>
      <c r="E809" t="s">
        <v>634</v>
      </c>
      <c r="F809" t="s">
        <v>20</v>
      </c>
      <c r="G809" t="s">
        <v>759</v>
      </c>
      <c r="H809" t="s">
        <v>758</v>
      </c>
    </row>
    <row r="810" spans="1:8" x14ac:dyDescent="0.2">
      <c r="A810" t="s">
        <v>636</v>
      </c>
      <c r="B810" s="6">
        <v>2.826E-2</v>
      </c>
      <c r="C810" t="s">
        <v>572</v>
      </c>
      <c r="D810" t="s">
        <v>19</v>
      </c>
      <c r="E810" t="s">
        <v>634</v>
      </c>
      <c r="F810" t="s">
        <v>20</v>
      </c>
      <c r="G810" t="s">
        <v>760</v>
      </c>
      <c r="H810" t="s">
        <v>639</v>
      </c>
    </row>
    <row r="811" spans="1:8" x14ac:dyDescent="0.2">
      <c r="A811" t="s">
        <v>749</v>
      </c>
      <c r="B811" s="6">
        <v>3.3000000000000003E-5</v>
      </c>
      <c r="C811" t="s">
        <v>26</v>
      </c>
      <c r="D811" t="s">
        <v>8</v>
      </c>
      <c r="E811" t="s">
        <v>634</v>
      </c>
      <c r="F811" t="s">
        <v>20</v>
      </c>
      <c r="G811" t="s">
        <v>761</v>
      </c>
      <c r="H811" t="s">
        <v>750</v>
      </c>
    </row>
    <row r="812" spans="1:8" x14ac:dyDescent="0.2">
      <c r="A812" t="s">
        <v>100</v>
      </c>
      <c r="B812" s="6">
        <v>1.9900000000000001E-2</v>
      </c>
      <c r="C812" t="s">
        <v>624</v>
      </c>
      <c r="D812" t="s">
        <v>41</v>
      </c>
      <c r="E812" t="s">
        <v>637</v>
      </c>
      <c r="F812" t="s">
        <v>20</v>
      </c>
      <c r="G812" t="s">
        <v>18</v>
      </c>
      <c r="H812" t="s">
        <v>103</v>
      </c>
    </row>
    <row r="813" spans="1:8" x14ac:dyDescent="0.2">
      <c r="A813" t="s">
        <v>97</v>
      </c>
      <c r="B813" s="6">
        <v>2.4170000000000001E-2</v>
      </c>
      <c r="C813" t="s">
        <v>572</v>
      </c>
      <c r="D813" t="s">
        <v>41</v>
      </c>
      <c r="E813" t="s">
        <v>637</v>
      </c>
      <c r="F813" t="s">
        <v>20</v>
      </c>
      <c r="G813" t="s">
        <v>18</v>
      </c>
      <c r="H813" t="s">
        <v>98</v>
      </c>
    </row>
    <row r="814" spans="1:8" x14ac:dyDescent="0.2">
      <c r="A814" t="s">
        <v>352</v>
      </c>
      <c r="B814" s="6">
        <v>1.04257E-2</v>
      </c>
      <c r="C814" t="s">
        <v>572</v>
      </c>
      <c r="D814" t="s">
        <v>41</v>
      </c>
      <c r="E814" t="s">
        <v>637</v>
      </c>
      <c r="F814" t="s">
        <v>20</v>
      </c>
      <c r="G814" t="s">
        <v>762</v>
      </c>
      <c r="H814" t="s">
        <v>353</v>
      </c>
    </row>
    <row r="815" spans="1:8" x14ac:dyDescent="0.2">
      <c r="A815" t="s">
        <v>978</v>
      </c>
      <c r="B815" s="6">
        <v>0.32177499999999998</v>
      </c>
      <c r="C815" t="s">
        <v>26</v>
      </c>
      <c r="D815" t="s">
        <v>41</v>
      </c>
      <c r="E815" t="s">
        <v>637</v>
      </c>
      <c r="F815" t="s">
        <v>20</v>
      </c>
      <c r="G815" t="s">
        <v>18</v>
      </c>
      <c r="H815" t="s">
        <v>979</v>
      </c>
    </row>
    <row r="816" spans="1:8" x14ac:dyDescent="0.2">
      <c r="A816" t="s">
        <v>651</v>
      </c>
      <c r="B816" s="6">
        <v>1.7653E-3</v>
      </c>
      <c r="C816" t="s">
        <v>624</v>
      </c>
      <c r="D816" t="s">
        <v>29</v>
      </c>
      <c r="E816" t="s">
        <v>634</v>
      </c>
      <c r="F816" t="s">
        <v>20</v>
      </c>
      <c r="G816" t="s">
        <v>763</v>
      </c>
      <c r="H816" t="s">
        <v>653</v>
      </c>
    </row>
    <row r="818" spans="1:14" ht="16" x14ac:dyDescent="0.2">
      <c r="A818" s="1" t="s">
        <v>1</v>
      </c>
      <c r="B818" s="71" t="s">
        <v>720</v>
      </c>
    </row>
    <row r="819" spans="1:14" x14ac:dyDescent="0.2">
      <c r="A819" t="s">
        <v>2</v>
      </c>
      <c r="B819" s="6" t="s">
        <v>572</v>
      </c>
    </row>
    <row r="820" spans="1:14" x14ac:dyDescent="0.2">
      <c r="A820" t="s">
        <v>3</v>
      </c>
      <c r="B820" s="6">
        <v>1</v>
      </c>
    </row>
    <row r="821" spans="1:14" x14ac:dyDescent="0.2">
      <c r="A821" t="s">
        <v>4</v>
      </c>
      <c r="B821" s="6" t="s">
        <v>720</v>
      </c>
    </row>
    <row r="822" spans="1:14" x14ac:dyDescent="0.2">
      <c r="A822" t="s">
        <v>9</v>
      </c>
      <c r="B822" s="6" t="s">
        <v>632</v>
      </c>
    </row>
    <row r="823" spans="1:14" x14ac:dyDescent="0.2">
      <c r="A823" t="s">
        <v>5</v>
      </c>
      <c r="B823" s="6" t="s">
        <v>6</v>
      </c>
    </row>
    <row r="824" spans="1:14" x14ac:dyDescent="0.2">
      <c r="A824" t="s">
        <v>7</v>
      </c>
      <c r="B824" s="6" t="s">
        <v>8</v>
      </c>
    </row>
    <row r="825" spans="1:14" x14ac:dyDescent="0.2">
      <c r="A825" t="s">
        <v>867</v>
      </c>
      <c r="B825" s="6">
        <v>37</v>
      </c>
    </row>
    <row r="826" spans="1:14" ht="16" x14ac:dyDescent="0.2">
      <c r="A826" s="1" t="s">
        <v>12</v>
      </c>
    </row>
    <row r="827" spans="1:14" x14ac:dyDescent="0.2">
      <c r="A827" t="s">
        <v>13</v>
      </c>
      <c r="B827" s="6" t="s">
        <v>14</v>
      </c>
      <c r="C827" t="s">
        <v>2</v>
      </c>
      <c r="D827" t="s">
        <v>7</v>
      </c>
      <c r="E827" t="s">
        <v>15</v>
      </c>
      <c r="F827" t="s">
        <v>5</v>
      </c>
      <c r="G827" t="s">
        <v>338</v>
      </c>
      <c r="H827" t="s">
        <v>339</v>
      </c>
      <c r="I827" t="s">
        <v>16</v>
      </c>
      <c r="J827" t="s">
        <v>11</v>
      </c>
      <c r="K827" t="s">
        <v>633</v>
      </c>
      <c r="L827" t="s">
        <v>4</v>
      </c>
      <c r="M827" t="s">
        <v>658</v>
      </c>
      <c r="N827" t="s">
        <v>659</v>
      </c>
    </row>
    <row r="828" spans="1:14" x14ac:dyDescent="0.2">
      <c r="A828" t="s">
        <v>720</v>
      </c>
      <c r="B828" s="6">
        <v>1</v>
      </c>
      <c r="C828" t="s">
        <v>572</v>
      </c>
      <c r="D828" t="s">
        <v>8</v>
      </c>
      <c r="E828" t="s">
        <v>719</v>
      </c>
      <c r="F828" t="s">
        <v>17</v>
      </c>
      <c r="I828">
        <v>100</v>
      </c>
      <c r="J828" t="s">
        <v>18</v>
      </c>
      <c r="K828" t="s">
        <v>720</v>
      </c>
    </row>
    <row r="829" spans="1:14" x14ac:dyDescent="0.2">
      <c r="A829" t="s">
        <v>757</v>
      </c>
      <c r="B829" s="6">
        <v>1.0246</v>
      </c>
      <c r="C829" t="s">
        <v>572</v>
      </c>
      <c r="D829" t="s">
        <v>8</v>
      </c>
      <c r="E829" t="s">
        <v>634</v>
      </c>
      <c r="F829" t="s">
        <v>20</v>
      </c>
      <c r="G829">
        <v>0</v>
      </c>
      <c r="H829">
        <v>1.0246</v>
      </c>
      <c r="J829" t="s">
        <v>781</v>
      </c>
      <c r="K829" t="s">
        <v>757</v>
      </c>
    </row>
    <row r="830" spans="1:14" x14ac:dyDescent="0.2">
      <c r="A830" t="s">
        <v>636</v>
      </c>
      <c r="B830" s="6">
        <v>4.0000000000000001E-3</v>
      </c>
      <c r="C830" t="s">
        <v>572</v>
      </c>
      <c r="D830" t="s">
        <v>19</v>
      </c>
      <c r="E830" t="s">
        <v>634</v>
      </c>
      <c r="F830" t="s">
        <v>20</v>
      </c>
      <c r="G830">
        <v>0</v>
      </c>
      <c r="H830">
        <v>4.0000000000000001E-3</v>
      </c>
      <c r="J830" t="s">
        <v>781</v>
      </c>
      <c r="K830" t="s">
        <v>639</v>
      </c>
      <c r="L830" t="s">
        <v>639</v>
      </c>
      <c r="M830" t="s">
        <v>663</v>
      </c>
      <c r="N830" t="s">
        <v>664</v>
      </c>
    </row>
    <row r="831" spans="1:14" x14ac:dyDescent="0.2">
      <c r="A831" t="s">
        <v>708</v>
      </c>
      <c r="B831" s="6">
        <v>3.1999999999999999E-5</v>
      </c>
      <c r="C831" t="s">
        <v>26</v>
      </c>
      <c r="D831" t="s">
        <v>8</v>
      </c>
      <c r="E831" t="s">
        <v>634</v>
      </c>
      <c r="F831" t="s">
        <v>20</v>
      </c>
      <c r="G831">
        <v>0</v>
      </c>
      <c r="H831">
        <v>3.1999999999999999E-5</v>
      </c>
      <c r="J831" t="s">
        <v>781</v>
      </c>
      <c r="K831" t="s">
        <v>709</v>
      </c>
      <c r="L831" t="s">
        <v>709</v>
      </c>
      <c r="M831" t="s">
        <v>710</v>
      </c>
      <c r="N831" t="s">
        <v>664</v>
      </c>
    </row>
    <row r="832" spans="1:14" x14ac:dyDescent="0.2">
      <c r="A832" t="s">
        <v>388</v>
      </c>
      <c r="B832" s="6">
        <v>8.7999999999999998E-5</v>
      </c>
      <c r="C832" t="s">
        <v>26</v>
      </c>
      <c r="D832" t="s">
        <v>8</v>
      </c>
      <c r="E832" t="s">
        <v>634</v>
      </c>
      <c r="F832" t="s">
        <v>20</v>
      </c>
      <c r="G832">
        <v>0</v>
      </c>
      <c r="H832">
        <v>8.7999999999999998E-5</v>
      </c>
      <c r="J832" t="s">
        <v>781</v>
      </c>
      <c r="K832" t="s">
        <v>389</v>
      </c>
      <c r="L832" t="s">
        <v>389</v>
      </c>
      <c r="M832" t="s">
        <v>677</v>
      </c>
      <c r="N832" t="s">
        <v>664</v>
      </c>
    </row>
    <row r="833" spans="1:14" x14ac:dyDescent="0.2">
      <c r="A833" t="s">
        <v>651</v>
      </c>
      <c r="B833" s="6">
        <v>2.5020000000000001E-4</v>
      </c>
      <c r="C833" t="s">
        <v>624</v>
      </c>
      <c r="D833" t="s">
        <v>29</v>
      </c>
      <c r="E833" t="s">
        <v>634</v>
      </c>
      <c r="F833" t="s">
        <v>20</v>
      </c>
      <c r="G833">
        <v>0</v>
      </c>
      <c r="H833">
        <v>8.9999999999999998E-4</v>
      </c>
      <c r="J833" t="s">
        <v>781</v>
      </c>
      <c r="K833" t="s">
        <v>653</v>
      </c>
      <c r="L833" t="s">
        <v>653</v>
      </c>
      <c r="M833" t="s">
        <v>670</v>
      </c>
      <c r="N833" t="s">
        <v>664</v>
      </c>
    </row>
    <row r="835" spans="1:14" ht="16" x14ac:dyDescent="0.2">
      <c r="A835" s="1" t="s">
        <v>1</v>
      </c>
      <c r="B835" s="71" t="s">
        <v>881</v>
      </c>
    </row>
    <row r="836" spans="1:14" x14ac:dyDescent="0.2">
      <c r="A836" t="s">
        <v>2</v>
      </c>
      <c r="B836" s="6" t="s">
        <v>572</v>
      </c>
    </row>
    <row r="837" spans="1:14" x14ac:dyDescent="0.2">
      <c r="A837" t="s">
        <v>3</v>
      </c>
      <c r="B837" s="6">
        <v>1</v>
      </c>
    </row>
    <row r="838" spans="1:14" ht="16" x14ac:dyDescent="0.2">
      <c r="A838" t="s">
        <v>4</v>
      </c>
      <c r="B838" s="72" t="s">
        <v>1015</v>
      </c>
    </row>
    <row r="839" spans="1:14" x14ac:dyDescent="0.2">
      <c r="A839" t="s">
        <v>5</v>
      </c>
      <c r="B839" s="6" t="s">
        <v>6</v>
      </c>
    </row>
    <row r="840" spans="1:14" x14ac:dyDescent="0.2">
      <c r="A840" t="s">
        <v>7</v>
      </c>
      <c r="B840" s="6" t="s">
        <v>8</v>
      </c>
    </row>
    <row r="841" spans="1:14" x14ac:dyDescent="0.2">
      <c r="A841" t="s">
        <v>9</v>
      </c>
      <c r="B841" s="6" t="s">
        <v>632</v>
      </c>
    </row>
    <row r="842" spans="1:14" x14ac:dyDescent="0.2">
      <c r="A842" t="s">
        <v>497</v>
      </c>
      <c r="B842" s="70">
        <f>Summary!O57</f>
        <v>0.68839609769249643</v>
      </c>
    </row>
    <row r="843" spans="1:14" ht="16" x14ac:dyDescent="0.2">
      <c r="A843" s="1" t="s">
        <v>12</v>
      </c>
    </row>
    <row r="844" spans="1:14" x14ac:dyDescent="0.2">
      <c r="A844" t="s">
        <v>13</v>
      </c>
      <c r="B844" s="6" t="s">
        <v>14</v>
      </c>
      <c r="C844" t="s">
        <v>2</v>
      </c>
      <c r="D844" t="s">
        <v>7</v>
      </c>
      <c r="E844" t="s">
        <v>15</v>
      </c>
      <c r="F844" t="s">
        <v>5</v>
      </c>
      <c r="G844" t="s">
        <v>11</v>
      </c>
      <c r="H844" t="s">
        <v>4</v>
      </c>
    </row>
    <row r="845" spans="1:14" ht="16" x14ac:dyDescent="0.2">
      <c r="A845" s="2" t="s">
        <v>881</v>
      </c>
      <c r="B845" s="6">
        <v>1</v>
      </c>
      <c r="C845" t="s">
        <v>572</v>
      </c>
      <c r="D845" t="s">
        <v>8</v>
      </c>
      <c r="E845" t="s">
        <v>719</v>
      </c>
      <c r="F845" t="s">
        <v>17</v>
      </c>
      <c r="G845" t="s">
        <v>18</v>
      </c>
      <c r="H845" s="72" t="s">
        <v>1015</v>
      </c>
    </row>
    <row r="846" spans="1:14" x14ac:dyDescent="0.2">
      <c r="A846" t="s">
        <v>720</v>
      </c>
      <c r="B846" s="6">
        <f>37.223436/B825</f>
        <v>1.0060388108108107</v>
      </c>
      <c r="C846" t="s">
        <v>572</v>
      </c>
      <c r="D846" t="s">
        <v>8</v>
      </c>
      <c r="E846" t="s">
        <v>634</v>
      </c>
      <c r="F846" t="s">
        <v>20</v>
      </c>
      <c r="G846" t="s">
        <v>721</v>
      </c>
    </row>
    <row r="847" spans="1:14" x14ac:dyDescent="0.2">
      <c r="A847" t="s">
        <v>636</v>
      </c>
      <c r="B847" s="6">
        <v>1.2276000000000002</v>
      </c>
      <c r="C847" t="s">
        <v>572</v>
      </c>
      <c r="D847" t="s">
        <v>19</v>
      </c>
      <c r="E847" t="s">
        <v>637</v>
      </c>
      <c r="F847" t="s">
        <v>20</v>
      </c>
      <c r="G847" t="s">
        <v>722</v>
      </c>
      <c r="H847" t="s">
        <v>639</v>
      </c>
    </row>
    <row r="848" spans="1:14" x14ac:dyDescent="0.2">
      <c r="A848" t="s">
        <v>723</v>
      </c>
      <c r="B848" s="6">
        <v>3.6084000000000003E-3</v>
      </c>
      <c r="C848" t="s">
        <v>572</v>
      </c>
      <c r="D848" t="s">
        <v>8</v>
      </c>
      <c r="E848" t="s">
        <v>634</v>
      </c>
      <c r="F848" t="s">
        <v>20</v>
      </c>
      <c r="G848" t="s">
        <v>721</v>
      </c>
      <c r="H848" t="s">
        <v>724</v>
      </c>
    </row>
    <row r="849" spans="1:8" x14ac:dyDescent="0.2">
      <c r="A849" t="s">
        <v>704</v>
      </c>
      <c r="B849" s="6">
        <v>9.5284080000000007E-2</v>
      </c>
      <c r="C849" t="s">
        <v>26</v>
      </c>
      <c r="D849" t="s">
        <v>8</v>
      </c>
      <c r="E849" t="s">
        <v>634</v>
      </c>
      <c r="F849" t="s">
        <v>20</v>
      </c>
      <c r="G849" t="s">
        <v>721</v>
      </c>
      <c r="H849" t="s">
        <v>706</v>
      </c>
    </row>
    <row r="850" spans="1:8" x14ac:dyDescent="0.2">
      <c r="A850" t="s">
        <v>726</v>
      </c>
      <c r="B850" s="6">
        <v>4.2594000000000009E-3</v>
      </c>
      <c r="C850" t="s">
        <v>26</v>
      </c>
      <c r="D850" t="s">
        <v>8</v>
      </c>
      <c r="E850" t="s">
        <v>634</v>
      </c>
      <c r="F850" t="s">
        <v>20</v>
      </c>
      <c r="G850" t="s">
        <v>727</v>
      </c>
      <c r="H850" t="s">
        <v>728</v>
      </c>
    </row>
    <row r="851" spans="1:8" x14ac:dyDescent="0.2">
      <c r="A851" t="s">
        <v>100</v>
      </c>
      <c r="B851" s="6">
        <v>0.37944000000000006</v>
      </c>
      <c r="C851" t="s">
        <v>624</v>
      </c>
      <c r="D851" t="s">
        <v>41</v>
      </c>
      <c r="E851" t="s">
        <v>637</v>
      </c>
      <c r="F851" t="s">
        <v>20</v>
      </c>
      <c r="G851" t="s">
        <v>18</v>
      </c>
      <c r="H851" t="s">
        <v>103</v>
      </c>
    </row>
    <row r="852" spans="1:8" x14ac:dyDescent="0.2">
      <c r="A852" t="s">
        <v>97</v>
      </c>
      <c r="B852" s="6">
        <v>0.15252000000000002</v>
      </c>
      <c r="C852" t="s">
        <v>572</v>
      </c>
      <c r="D852" t="s">
        <v>41</v>
      </c>
      <c r="E852" t="s">
        <v>637</v>
      </c>
      <c r="F852" t="s">
        <v>20</v>
      </c>
      <c r="G852" t="s">
        <v>18</v>
      </c>
      <c r="H852" t="s">
        <v>98</v>
      </c>
    </row>
    <row r="853" spans="1:8" x14ac:dyDescent="0.2">
      <c r="A853" t="s">
        <v>352</v>
      </c>
      <c r="B853" s="6">
        <v>0.32736000000000004</v>
      </c>
      <c r="C853" t="s">
        <v>572</v>
      </c>
      <c r="D853" t="s">
        <v>41</v>
      </c>
      <c r="E853" t="s">
        <v>637</v>
      </c>
      <c r="F853" t="s">
        <v>20</v>
      </c>
      <c r="G853" t="s">
        <v>730</v>
      </c>
      <c r="H853" t="s">
        <v>353</v>
      </c>
    </row>
    <row r="854" spans="1:8" x14ac:dyDescent="0.2">
      <c r="A854" t="s">
        <v>352</v>
      </c>
      <c r="B854" s="6">
        <v>0.15996000000000002</v>
      </c>
      <c r="C854" t="s">
        <v>572</v>
      </c>
      <c r="D854" t="s">
        <v>41</v>
      </c>
      <c r="E854" t="s">
        <v>637</v>
      </c>
      <c r="F854" t="s">
        <v>20</v>
      </c>
      <c r="G854" t="s">
        <v>731</v>
      </c>
      <c r="H854" t="s">
        <v>353</v>
      </c>
    </row>
    <row r="855" spans="1:8" x14ac:dyDescent="0.2">
      <c r="A855" t="s">
        <v>978</v>
      </c>
      <c r="B855" s="6">
        <v>1.11972</v>
      </c>
      <c r="C855" t="s">
        <v>26</v>
      </c>
      <c r="D855" t="s">
        <v>41</v>
      </c>
      <c r="E855" t="s">
        <v>637</v>
      </c>
      <c r="F855" t="s">
        <v>20</v>
      </c>
      <c r="G855" t="s">
        <v>18</v>
      </c>
      <c r="H855" t="s">
        <v>979</v>
      </c>
    </row>
    <row r="856" spans="1:8" x14ac:dyDescent="0.2">
      <c r="A856" t="s">
        <v>732</v>
      </c>
      <c r="B856" s="6">
        <v>7.4400000000000013E-3</v>
      </c>
      <c r="C856" t="s">
        <v>572</v>
      </c>
      <c r="D856" t="s">
        <v>41</v>
      </c>
      <c r="E856" t="s">
        <v>637</v>
      </c>
      <c r="F856" t="s">
        <v>20</v>
      </c>
      <c r="G856" t="s">
        <v>18</v>
      </c>
      <c r="H856" t="s">
        <v>733</v>
      </c>
    </row>
    <row r="857" spans="1:8" x14ac:dyDescent="0.2">
      <c r="A857" t="s">
        <v>651</v>
      </c>
      <c r="B857" s="6">
        <v>4.1883480000000001E-2</v>
      </c>
      <c r="C857" t="s">
        <v>624</v>
      </c>
      <c r="D857" t="s">
        <v>29</v>
      </c>
      <c r="E857" t="s">
        <v>637</v>
      </c>
      <c r="F857" t="s">
        <v>20</v>
      </c>
      <c r="G857" t="s">
        <v>734</v>
      </c>
      <c r="H857" t="s">
        <v>653</v>
      </c>
    </row>
    <row r="858" spans="1:8" x14ac:dyDescent="0.2">
      <c r="A858" t="s">
        <v>651</v>
      </c>
      <c r="B858" s="6">
        <v>8.6869440000000003E-3</v>
      </c>
      <c r="C858" t="s">
        <v>624</v>
      </c>
      <c r="D858" t="s">
        <v>29</v>
      </c>
      <c r="E858" t="s">
        <v>637</v>
      </c>
      <c r="F858" t="s">
        <v>20</v>
      </c>
      <c r="G858" t="s">
        <v>735</v>
      </c>
      <c r="H858" t="s">
        <v>653</v>
      </c>
    </row>
    <row r="859" spans="1:8" x14ac:dyDescent="0.2">
      <c r="A859" t="s">
        <v>651</v>
      </c>
      <c r="B859" s="6">
        <v>3.5161440000000002E-2</v>
      </c>
      <c r="C859" t="s">
        <v>624</v>
      </c>
      <c r="D859" t="s">
        <v>29</v>
      </c>
      <c r="E859" t="s">
        <v>637</v>
      </c>
      <c r="F859" t="s">
        <v>20</v>
      </c>
      <c r="G859" t="s">
        <v>736</v>
      </c>
      <c r="H859" t="s">
        <v>653</v>
      </c>
    </row>
    <row r="860" spans="1:8" x14ac:dyDescent="0.2">
      <c r="A860" t="s">
        <v>265</v>
      </c>
      <c r="B860" s="6">
        <f>(B846*B829*B809*B742)-Parameters!B16</f>
        <v>0.904373161028313</v>
      </c>
      <c r="D860" t="s">
        <v>8</v>
      </c>
      <c r="E860" t="s">
        <v>37</v>
      </c>
      <c r="F860" t="s">
        <v>36</v>
      </c>
    </row>
    <row r="862" spans="1:8" ht="16" x14ac:dyDescent="0.2">
      <c r="A862" s="1" t="s">
        <v>1</v>
      </c>
      <c r="B862" s="71" t="s">
        <v>718</v>
      </c>
    </row>
    <row r="863" spans="1:8" x14ac:dyDescent="0.2">
      <c r="A863" t="s">
        <v>2</v>
      </c>
      <c r="B863" s="6" t="s">
        <v>572</v>
      </c>
    </row>
    <row r="864" spans="1:8" x14ac:dyDescent="0.2">
      <c r="A864" t="s">
        <v>3</v>
      </c>
      <c r="B864" s="6">
        <v>1</v>
      </c>
    </row>
    <row r="865" spans="1:11" ht="16" x14ac:dyDescent="0.2">
      <c r="A865" t="s">
        <v>4</v>
      </c>
      <c r="B865" s="72" t="s">
        <v>701</v>
      </c>
    </row>
    <row r="866" spans="1:11" x14ac:dyDescent="0.2">
      <c r="A866" t="s">
        <v>9</v>
      </c>
      <c r="B866" s="6" t="s">
        <v>632</v>
      </c>
    </row>
    <row r="867" spans="1:11" x14ac:dyDescent="0.2">
      <c r="A867" t="s">
        <v>5</v>
      </c>
      <c r="B867" s="6" t="s">
        <v>6</v>
      </c>
    </row>
    <row r="868" spans="1:11" x14ac:dyDescent="0.2">
      <c r="A868" t="s">
        <v>7</v>
      </c>
      <c r="B868" s="6" t="s">
        <v>8</v>
      </c>
    </row>
    <row r="869" spans="1:11" ht="16" x14ac:dyDescent="0.2">
      <c r="A869" s="1" t="s">
        <v>12</v>
      </c>
    </row>
    <row r="870" spans="1:11" x14ac:dyDescent="0.2">
      <c r="A870" t="s">
        <v>13</v>
      </c>
      <c r="B870" s="6" t="s">
        <v>14</v>
      </c>
      <c r="C870" t="s">
        <v>2</v>
      </c>
      <c r="D870" t="s">
        <v>7</v>
      </c>
      <c r="E870" t="s">
        <v>15</v>
      </c>
      <c r="F870" t="s">
        <v>5</v>
      </c>
      <c r="G870" t="s">
        <v>338</v>
      </c>
      <c r="H870" t="s">
        <v>339</v>
      </c>
      <c r="I870" t="s">
        <v>16</v>
      </c>
      <c r="J870" t="s">
        <v>11</v>
      </c>
      <c r="K870" t="s">
        <v>4</v>
      </c>
    </row>
    <row r="871" spans="1:11" x14ac:dyDescent="0.2">
      <c r="A871" t="s">
        <v>718</v>
      </c>
      <c r="B871" s="6">
        <v>1</v>
      </c>
      <c r="C871" t="s">
        <v>572</v>
      </c>
      <c r="D871" t="s">
        <v>8</v>
      </c>
      <c r="F871" t="s">
        <v>17</v>
      </c>
      <c r="I871">
        <v>100</v>
      </c>
      <c r="J871" t="s">
        <v>18</v>
      </c>
      <c r="K871" t="s">
        <v>701</v>
      </c>
    </row>
    <row r="872" spans="1:11" ht="16" x14ac:dyDescent="0.2">
      <c r="A872" s="2" t="s">
        <v>881</v>
      </c>
      <c r="B872" s="6">
        <v>1.00057</v>
      </c>
      <c r="C872" t="s">
        <v>572</v>
      </c>
      <c r="D872" t="s">
        <v>8</v>
      </c>
      <c r="F872" t="s">
        <v>20</v>
      </c>
      <c r="K872" s="72" t="s">
        <v>1015</v>
      </c>
    </row>
    <row r="873" spans="1:11" x14ac:dyDescent="0.2">
      <c r="A873" t="s">
        <v>28</v>
      </c>
      <c r="B873" s="6">
        <v>6.7000000000000002E-3</v>
      </c>
      <c r="C873" t="s">
        <v>572</v>
      </c>
      <c r="D873" t="s">
        <v>29</v>
      </c>
      <c r="F873" t="s">
        <v>20</v>
      </c>
      <c r="K873" t="s">
        <v>30</v>
      </c>
    </row>
    <row r="874" spans="1:11" x14ac:dyDescent="0.2">
      <c r="A874" t="s">
        <v>340</v>
      </c>
      <c r="B874" s="6">
        <v>-1.6799999999999999E-4</v>
      </c>
      <c r="C874" t="s">
        <v>624</v>
      </c>
      <c r="D874" t="s">
        <v>8</v>
      </c>
      <c r="F874" t="s">
        <v>20</v>
      </c>
      <c r="K874" t="s">
        <v>341</v>
      </c>
    </row>
    <row r="875" spans="1:11" x14ac:dyDescent="0.2">
      <c r="A875" t="s">
        <v>342</v>
      </c>
      <c r="B875" s="6">
        <v>5.8399999999999999E-4</v>
      </c>
      <c r="C875" t="s">
        <v>631</v>
      </c>
      <c r="D875" t="s">
        <v>19</v>
      </c>
      <c r="F875" t="s">
        <v>20</v>
      </c>
      <c r="K875" t="s">
        <v>343</v>
      </c>
    </row>
    <row r="876" spans="1:11" x14ac:dyDescent="0.2">
      <c r="A876" t="s">
        <v>344</v>
      </c>
      <c r="B876" s="6">
        <v>2.5999999999999998E-10</v>
      </c>
      <c r="C876" t="s">
        <v>572</v>
      </c>
      <c r="D876" t="s">
        <v>7</v>
      </c>
      <c r="F876" t="s">
        <v>20</v>
      </c>
      <c r="K876" t="s">
        <v>345</v>
      </c>
    </row>
    <row r="877" spans="1:11" x14ac:dyDescent="0.2">
      <c r="A877" t="s">
        <v>346</v>
      </c>
      <c r="B877" s="6">
        <v>-6.2700000000000001E-6</v>
      </c>
      <c r="C877" t="s">
        <v>631</v>
      </c>
      <c r="D877" t="s">
        <v>8</v>
      </c>
      <c r="F877" t="s">
        <v>20</v>
      </c>
      <c r="K877" t="s">
        <v>347</v>
      </c>
    </row>
    <row r="878" spans="1:11" x14ac:dyDescent="0.2">
      <c r="A878" t="s">
        <v>348</v>
      </c>
      <c r="B878" s="6">
        <v>-7.4999999999999993E-5</v>
      </c>
      <c r="C878" t="s">
        <v>624</v>
      </c>
      <c r="D878" t="s">
        <v>121</v>
      </c>
      <c r="F878" t="s">
        <v>20</v>
      </c>
      <c r="K878" t="s">
        <v>349</v>
      </c>
    </row>
    <row r="879" spans="1:11" x14ac:dyDescent="0.2">
      <c r="A879" t="s">
        <v>350</v>
      </c>
      <c r="B879" s="6">
        <v>6.8900000000000005E-4</v>
      </c>
      <c r="C879" t="s">
        <v>624</v>
      </c>
      <c r="D879" t="s">
        <v>8</v>
      </c>
      <c r="F879" t="s">
        <v>20</v>
      </c>
      <c r="K879" t="s">
        <v>351</v>
      </c>
    </row>
    <row r="880" spans="1:11" x14ac:dyDescent="0.2">
      <c r="A880" t="s">
        <v>100</v>
      </c>
      <c r="B880" s="6">
        <v>3.3599999999999998E-2</v>
      </c>
      <c r="C880" t="s">
        <v>624</v>
      </c>
      <c r="D880" t="s">
        <v>41</v>
      </c>
      <c r="F880" t="s">
        <v>20</v>
      </c>
      <c r="K880" t="s">
        <v>103</v>
      </c>
    </row>
    <row r="881" spans="1:11" x14ac:dyDescent="0.2">
      <c r="A881" t="s">
        <v>352</v>
      </c>
      <c r="B881" s="6">
        <v>3.2599999999999997E-2</v>
      </c>
      <c r="C881" t="s">
        <v>572</v>
      </c>
      <c r="D881" t="s">
        <v>41</v>
      </c>
      <c r="F881" t="s">
        <v>20</v>
      </c>
      <c r="K881" t="s">
        <v>353</v>
      </c>
    </row>
    <row r="882" spans="1:11" x14ac:dyDescent="0.2">
      <c r="A882" t="s">
        <v>354</v>
      </c>
      <c r="B882" s="6">
        <v>-6.8899999999999999E-7</v>
      </c>
      <c r="C882" t="s">
        <v>624</v>
      </c>
      <c r="D882" t="s">
        <v>121</v>
      </c>
      <c r="F882" t="s">
        <v>20</v>
      </c>
      <c r="K882" t="s">
        <v>355</v>
      </c>
    </row>
    <row r="883" spans="1:11" ht="16.25" customHeight="1" x14ac:dyDescent="0.2">
      <c r="A883" s="1"/>
      <c r="B883" s="71"/>
    </row>
    <row r="884" spans="1:11" ht="16" x14ac:dyDescent="0.2">
      <c r="A884" s="1" t="s">
        <v>1</v>
      </c>
      <c r="B884" s="71" t="s">
        <v>1034</v>
      </c>
    </row>
    <row r="885" spans="1:11" x14ac:dyDescent="0.2">
      <c r="A885" t="s">
        <v>2</v>
      </c>
      <c r="B885" s="6" t="s">
        <v>958</v>
      </c>
    </row>
    <row r="886" spans="1:11" x14ac:dyDescent="0.2">
      <c r="A886" t="s">
        <v>3</v>
      </c>
      <c r="B886" s="6">
        <v>1</v>
      </c>
    </row>
    <row r="887" spans="1:11" x14ac:dyDescent="0.2">
      <c r="A887" t="s">
        <v>4</v>
      </c>
      <c r="B887" s="6" t="s">
        <v>752</v>
      </c>
    </row>
    <row r="888" spans="1:11" x14ac:dyDescent="0.2">
      <c r="A888" t="s">
        <v>5</v>
      </c>
      <c r="B888" s="6" t="s">
        <v>6</v>
      </c>
    </row>
    <row r="889" spans="1:11" x14ac:dyDescent="0.2">
      <c r="A889" t="s">
        <v>7</v>
      </c>
      <c r="B889" s="6" t="s">
        <v>8</v>
      </c>
    </row>
    <row r="890" spans="1:11" x14ac:dyDescent="0.2">
      <c r="A890" t="s">
        <v>9</v>
      </c>
      <c r="B890" s="6" t="s">
        <v>632</v>
      </c>
    </row>
    <row r="891" spans="1:11" x14ac:dyDescent="0.2">
      <c r="A891" t="s">
        <v>841</v>
      </c>
      <c r="B891" s="6">
        <v>24</v>
      </c>
    </row>
    <row r="892" spans="1:11" x14ac:dyDescent="0.2">
      <c r="A892" t="s">
        <v>847</v>
      </c>
      <c r="B892" s="73">
        <v>0.08</v>
      </c>
    </row>
    <row r="893" spans="1:11" ht="16" x14ac:dyDescent="0.2">
      <c r="A893" s="1" t="s">
        <v>12</v>
      </c>
    </row>
    <row r="894" spans="1:11" x14ac:dyDescent="0.2">
      <c r="A894" t="s">
        <v>13</v>
      </c>
      <c r="B894" s="6" t="s">
        <v>14</v>
      </c>
      <c r="C894" t="s">
        <v>2</v>
      </c>
      <c r="D894" t="s">
        <v>7</v>
      </c>
      <c r="E894" t="s">
        <v>15</v>
      </c>
      <c r="F894" t="s">
        <v>5</v>
      </c>
      <c r="G894" t="s">
        <v>11</v>
      </c>
      <c r="H894" t="s">
        <v>4</v>
      </c>
    </row>
    <row r="895" spans="1:11" x14ac:dyDescent="0.2">
      <c r="A895" t="s">
        <v>1034</v>
      </c>
      <c r="B895" s="6">
        <v>1</v>
      </c>
      <c r="C895" t="s">
        <v>958</v>
      </c>
      <c r="D895" t="s">
        <v>8</v>
      </c>
      <c r="E895" t="s">
        <v>738</v>
      </c>
      <c r="F895" t="s">
        <v>17</v>
      </c>
      <c r="G895" t="s">
        <v>18</v>
      </c>
      <c r="H895" t="s">
        <v>752</v>
      </c>
    </row>
    <row r="896" spans="1:11" x14ac:dyDescent="0.2">
      <c r="A896" t="s">
        <v>776</v>
      </c>
      <c r="B896" s="6">
        <v>0.31353600000000004</v>
      </c>
      <c r="C896" t="s">
        <v>26</v>
      </c>
      <c r="D896" t="s">
        <v>8</v>
      </c>
      <c r="E896" t="s">
        <v>634</v>
      </c>
      <c r="F896" t="s">
        <v>20</v>
      </c>
      <c r="G896" t="s">
        <v>18</v>
      </c>
      <c r="H896" t="s">
        <v>777</v>
      </c>
    </row>
    <row r="897" spans="1:8" x14ac:dyDescent="0.2">
      <c r="A897" t="s">
        <v>42</v>
      </c>
      <c r="B897" s="6">
        <v>7.0656000000000017E-3</v>
      </c>
      <c r="C897" t="s">
        <v>958</v>
      </c>
      <c r="D897" t="s">
        <v>8</v>
      </c>
      <c r="E897" t="s">
        <v>634</v>
      </c>
      <c r="F897" t="s">
        <v>20</v>
      </c>
      <c r="G897" t="s">
        <v>18</v>
      </c>
      <c r="H897" t="s">
        <v>43</v>
      </c>
    </row>
    <row r="898" spans="1:8" x14ac:dyDescent="0.2">
      <c r="A898" t="s">
        <v>608</v>
      </c>
      <c r="B898" s="6">
        <f>0.001104/1000</f>
        <v>1.1039999999999999E-6</v>
      </c>
      <c r="C898" t="s">
        <v>26</v>
      </c>
      <c r="D898" t="s">
        <v>8</v>
      </c>
      <c r="E898" t="s">
        <v>634</v>
      </c>
      <c r="F898" t="s">
        <v>20</v>
      </c>
      <c r="G898" t="s">
        <v>18</v>
      </c>
      <c r="H898" t="s">
        <v>607</v>
      </c>
    </row>
    <row r="899" spans="1:8" x14ac:dyDescent="0.2">
      <c r="A899" t="s">
        <v>44</v>
      </c>
      <c r="B899" s="6">
        <v>2.2080000000000003E-3</v>
      </c>
      <c r="C899" t="s">
        <v>958</v>
      </c>
      <c r="D899" t="s">
        <v>8</v>
      </c>
      <c r="E899" t="s">
        <v>634</v>
      </c>
      <c r="F899" t="s">
        <v>20</v>
      </c>
      <c r="G899" t="s">
        <v>18</v>
      </c>
      <c r="H899" t="s">
        <v>45</v>
      </c>
    </row>
    <row r="900" spans="1:8" x14ac:dyDescent="0.2">
      <c r="A900" t="s">
        <v>46</v>
      </c>
      <c r="B900" s="6">
        <v>1.2806400000000003E-2</v>
      </c>
      <c r="C900" t="s">
        <v>958</v>
      </c>
      <c r="D900" t="s">
        <v>8</v>
      </c>
      <c r="E900" t="s">
        <v>634</v>
      </c>
      <c r="F900" t="s">
        <v>20</v>
      </c>
      <c r="G900" t="s">
        <v>18</v>
      </c>
      <c r="H900" t="s">
        <v>47</v>
      </c>
    </row>
    <row r="901" spans="1:8" x14ac:dyDescent="0.2">
      <c r="A901" t="s">
        <v>22</v>
      </c>
      <c r="B901" s="6">
        <f>0.002751168*43</f>
        <v>0.118300224</v>
      </c>
      <c r="C901" t="s">
        <v>26</v>
      </c>
      <c r="D901" t="s">
        <v>19</v>
      </c>
      <c r="E901" t="s">
        <v>634</v>
      </c>
      <c r="F901" t="s">
        <v>20</v>
      </c>
      <c r="G901" t="s">
        <v>18</v>
      </c>
      <c r="H901" t="s">
        <v>23</v>
      </c>
    </row>
    <row r="902" spans="1:8" x14ac:dyDescent="0.2">
      <c r="A902" t="s">
        <v>120</v>
      </c>
      <c r="B902" s="6">
        <v>2.7791E-2</v>
      </c>
      <c r="C902" t="s">
        <v>31</v>
      </c>
      <c r="D902" t="s">
        <v>121</v>
      </c>
      <c r="F902" t="s">
        <v>20</v>
      </c>
      <c r="G902" t="s">
        <v>959</v>
      </c>
      <c r="H902" t="s">
        <v>122</v>
      </c>
    </row>
    <row r="903" spans="1:8" x14ac:dyDescent="0.2">
      <c r="A903" t="s">
        <v>962</v>
      </c>
      <c r="B903" s="6">
        <v>5.2299999999999999E-2</v>
      </c>
      <c r="C903" t="s">
        <v>26</v>
      </c>
      <c r="D903" t="s">
        <v>8</v>
      </c>
      <c r="F903" t="s">
        <v>20</v>
      </c>
      <c r="G903" t="s">
        <v>959</v>
      </c>
      <c r="H903" t="s">
        <v>889</v>
      </c>
    </row>
    <row r="904" spans="1:8" x14ac:dyDescent="0.2">
      <c r="A904" t="s">
        <v>890</v>
      </c>
      <c r="B904" s="6">
        <v>3.0899999999999998E-4</v>
      </c>
      <c r="C904" t="s">
        <v>26</v>
      </c>
      <c r="D904" t="s">
        <v>8</v>
      </c>
      <c r="F904" t="s">
        <v>20</v>
      </c>
      <c r="G904" t="s">
        <v>959</v>
      </c>
      <c r="H904" t="s">
        <v>891</v>
      </c>
    </row>
    <row r="905" spans="1:8" x14ac:dyDescent="0.2">
      <c r="A905" t="s">
        <v>108</v>
      </c>
      <c r="B905" s="6">
        <v>22.080000000000002</v>
      </c>
      <c r="D905" t="s">
        <v>19</v>
      </c>
      <c r="E905" t="s">
        <v>112</v>
      </c>
      <c r="F905" t="s">
        <v>36</v>
      </c>
    </row>
    <row r="906" spans="1:8" x14ac:dyDescent="0.2">
      <c r="A906" t="s">
        <v>40</v>
      </c>
      <c r="B906" s="6">
        <v>6.5820480000000007E-4</v>
      </c>
      <c r="C906" s="6"/>
      <c r="D906" t="s">
        <v>8</v>
      </c>
      <c r="E906" t="s">
        <v>37</v>
      </c>
      <c r="F906" t="s">
        <v>36</v>
      </c>
    </row>
    <row r="907" spans="1:8" x14ac:dyDescent="0.2">
      <c r="A907" t="s">
        <v>1031</v>
      </c>
      <c r="B907" s="6">
        <f>0.506*(44/12)*(1-B892)</f>
        <v>1.7069066666666668</v>
      </c>
      <c r="D907" t="s">
        <v>8</v>
      </c>
      <c r="E907" t="s">
        <v>1032</v>
      </c>
      <c r="F907" t="s">
        <v>36</v>
      </c>
    </row>
    <row r="908" spans="1:8" x14ac:dyDescent="0.2">
      <c r="A908" t="s">
        <v>194</v>
      </c>
      <c r="B908" s="6">
        <v>0.59589999999999999</v>
      </c>
      <c r="D908" t="s">
        <v>113</v>
      </c>
      <c r="E908" t="s">
        <v>114</v>
      </c>
      <c r="F908" t="s">
        <v>36</v>
      </c>
      <c r="G908" t="s">
        <v>959</v>
      </c>
    </row>
    <row r="909" spans="1:8" x14ac:dyDescent="0.2">
      <c r="A909" t="s">
        <v>195</v>
      </c>
      <c r="B909" s="6">
        <v>2.9700000000000001E-2</v>
      </c>
      <c r="D909" t="s">
        <v>115</v>
      </c>
      <c r="E909" t="s">
        <v>114</v>
      </c>
      <c r="F909" t="s">
        <v>36</v>
      </c>
      <c r="G909" t="s">
        <v>959</v>
      </c>
    </row>
    <row r="910" spans="1:8" x14ac:dyDescent="0.2">
      <c r="A910" t="s">
        <v>196</v>
      </c>
      <c r="B910" s="6">
        <v>2.9700000000000001E-2</v>
      </c>
      <c r="D910" t="s">
        <v>115</v>
      </c>
      <c r="E910" t="s">
        <v>114</v>
      </c>
      <c r="F910" t="s">
        <v>36</v>
      </c>
      <c r="G910" t="s">
        <v>959</v>
      </c>
    </row>
    <row r="911" spans="1:8" x14ac:dyDescent="0.2">
      <c r="A911" t="s">
        <v>172</v>
      </c>
      <c r="B911" s="6">
        <v>3.4562211999600002E-2</v>
      </c>
      <c r="D911" t="s">
        <v>8</v>
      </c>
      <c r="E911" t="s">
        <v>179</v>
      </c>
      <c r="F911" t="s">
        <v>36</v>
      </c>
      <c r="G911" t="s">
        <v>959</v>
      </c>
    </row>
    <row r="912" spans="1:8" x14ac:dyDescent="0.2">
      <c r="A912" t="s">
        <v>126</v>
      </c>
      <c r="B912" s="6">
        <v>1.7925582501200001E-2</v>
      </c>
      <c r="D912" t="s">
        <v>121</v>
      </c>
      <c r="E912" t="s">
        <v>169</v>
      </c>
      <c r="F912" t="s">
        <v>36</v>
      </c>
      <c r="G912" t="s">
        <v>959</v>
      </c>
    </row>
    <row r="913" spans="1:7" x14ac:dyDescent="0.2">
      <c r="A913" t="s">
        <v>126</v>
      </c>
      <c r="B913" s="6">
        <v>7.8928911079399998E-3</v>
      </c>
      <c r="D913" t="s">
        <v>121</v>
      </c>
      <c r="E913" t="s">
        <v>171</v>
      </c>
      <c r="F913" t="s">
        <v>36</v>
      </c>
      <c r="G913" t="s">
        <v>959</v>
      </c>
    </row>
    <row r="914" spans="1:7" x14ac:dyDescent="0.2">
      <c r="A914" t="s">
        <v>325</v>
      </c>
      <c r="B914" s="6">
        <v>4.5759629101300003E-3</v>
      </c>
      <c r="D914" t="s">
        <v>8</v>
      </c>
      <c r="E914" t="s">
        <v>169</v>
      </c>
      <c r="F914" t="s">
        <v>36</v>
      </c>
      <c r="G914" t="s">
        <v>959</v>
      </c>
    </row>
    <row r="915" spans="1:7" x14ac:dyDescent="0.2">
      <c r="A915" t="s">
        <v>126</v>
      </c>
      <c r="B915" s="6">
        <v>1.9731930575399999E-3</v>
      </c>
      <c r="D915" t="s">
        <v>121</v>
      </c>
      <c r="E915" t="s">
        <v>179</v>
      </c>
      <c r="F915" t="s">
        <v>36</v>
      </c>
      <c r="G915" t="s">
        <v>959</v>
      </c>
    </row>
    <row r="916" spans="1:7" x14ac:dyDescent="0.2">
      <c r="A916" t="s">
        <v>127</v>
      </c>
      <c r="B916" s="6">
        <v>1.06799809796E-3</v>
      </c>
      <c r="D916" t="s">
        <v>8</v>
      </c>
      <c r="E916" t="s">
        <v>169</v>
      </c>
      <c r="F916" t="s">
        <v>36</v>
      </c>
      <c r="G916" t="s">
        <v>959</v>
      </c>
    </row>
    <row r="917" spans="1:7" x14ac:dyDescent="0.2">
      <c r="A917" t="s">
        <v>38</v>
      </c>
      <c r="B917" s="6">
        <v>2.1613171659499999E-4</v>
      </c>
      <c r="D917" t="s">
        <v>8</v>
      </c>
      <c r="E917" t="s">
        <v>169</v>
      </c>
      <c r="F917" t="s">
        <v>36</v>
      </c>
      <c r="G917" t="s">
        <v>959</v>
      </c>
    </row>
    <row r="918" spans="1:7" x14ac:dyDescent="0.2">
      <c r="A918" t="s">
        <v>155</v>
      </c>
      <c r="B918" s="6">
        <v>1.3671892717400001E-4</v>
      </c>
      <c r="D918" t="s">
        <v>8</v>
      </c>
      <c r="E918" t="s">
        <v>170</v>
      </c>
      <c r="F918" t="s">
        <v>36</v>
      </c>
      <c r="G918" t="s">
        <v>959</v>
      </c>
    </row>
    <row r="919" spans="1:7" x14ac:dyDescent="0.2">
      <c r="A919" t="s">
        <v>174</v>
      </c>
      <c r="B919" s="6">
        <v>4.8829053732799998E-5</v>
      </c>
      <c r="D919" t="s">
        <v>8</v>
      </c>
      <c r="E919" t="s">
        <v>171</v>
      </c>
      <c r="F919" t="s">
        <v>36</v>
      </c>
      <c r="G919" t="s">
        <v>959</v>
      </c>
    </row>
    <row r="920" spans="1:7" x14ac:dyDescent="0.2">
      <c r="A920" t="s">
        <v>173</v>
      </c>
      <c r="B920" s="6">
        <v>3.179148835E-5</v>
      </c>
      <c r="D920" t="s">
        <v>8</v>
      </c>
      <c r="E920" t="s">
        <v>171</v>
      </c>
      <c r="F920" t="s">
        <v>36</v>
      </c>
      <c r="G920" t="s">
        <v>959</v>
      </c>
    </row>
    <row r="921" spans="1:7" x14ac:dyDescent="0.2">
      <c r="A921" t="s">
        <v>165</v>
      </c>
      <c r="B921" s="6">
        <v>1.78329035444E-5</v>
      </c>
      <c r="D921" t="s">
        <v>8</v>
      </c>
      <c r="E921" t="s">
        <v>170</v>
      </c>
      <c r="F921" t="s">
        <v>36</v>
      </c>
      <c r="G921" t="s">
        <v>959</v>
      </c>
    </row>
    <row r="922" spans="1:7" x14ac:dyDescent="0.2">
      <c r="A922" t="s">
        <v>174</v>
      </c>
      <c r="B922" s="6">
        <v>1.0999167855400001E-5</v>
      </c>
      <c r="D922" t="s">
        <v>8</v>
      </c>
      <c r="E922" t="s">
        <v>179</v>
      </c>
      <c r="F922" t="s">
        <v>36</v>
      </c>
      <c r="G922" t="s">
        <v>959</v>
      </c>
    </row>
    <row r="923" spans="1:7" x14ac:dyDescent="0.2">
      <c r="A923" t="s">
        <v>206</v>
      </c>
      <c r="B923" s="6">
        <v>2.5633024251099998E-6</v>
      </c>
      <c r="D923" t="s">
        <v>8</v>
      </c>
      <c r="E923" t="s">
        <v>171</v>
      </c>
      <c r="F923" t="s">
        <v>36</v>
      </c>
      <c r="G923" t="s">
        <v>959</v>
      </c>
    </row>
    <row r="924" spans="1:7" x14ac:dyDescent="0.2">
      <c r="A924" t="s">
        <v>200</v>
      </c>
      <c r="B924" s="6">
        <v>1.76319543509E-6</v>
      </c>
      <c r="D924" t="s">
        <v>8</v>
      </c>
      <c r="E924" t="s">
        <v>171</v>
      </c>
      <c r="F924" t="s">
        <v>36</v>
      </c>
      <c r="G924" t="s">
        <v>959</v>
      </c>
    </row>
    <row r="925" spans="1:7" x14ac:dyDescent="0.2">
      <c r="A925" t="s">
        <v>206</v>
      </c>
      <c r="B925" s="6">
        <v>1.5110556348100001E-6</v>
      </c>
      <c r="D925" t="s">
        <v>8</v>
      </c>
      <c r="E925" t="s">
        <v>179</v>
      </c>
      <c r="F925" t="s">
        <v>36</v>
      </c>
      <c r="G925" t="s">
        <v>959</v>
      </c>
    </row>
    <row r="926" spans="1:7" x14ac:dyDescent="0.2">
      <c r="A926" t="s">
        <v>199</v>
      </c>
      <c r="B926" s="6">
        <v>1.0733475986699999E-6</v>
      </c>
      <c r="D926" t="s">
        <v>8</v>
      </c>
      <c r="E926" t="s">
        <v>171</v>
      </c>
      <c r="F926" t="s">
        <v>36</v>
      </c>
      <c r="G926" t="s">
        <v>959</v>
      </c>
    </row>
    <row r="927" spans="1:7" x14ac:dyDescent="0.2">
      <c r="A927" t="s">
        <v>199</v>
      </c>
      <c r="B927" s="6">
        <v>1.05515929624E-6</v>
      </c>
      <c r="D927" t="s">
        <v>8</v>
      </c>
      <c r="E927" t="s">
        <v>179</v>
      </c>
      <c r="F927" t="s">
        <v>36</v>
      </c>
      <c r="G927" t="s">
        <v>959</v>
      </c>
    </row>
    <row r="928" spans="1:7" x14ac:dyDescent="0.2">
      <c r="A928" t="s">
        <v>202</v>
      </c>
      <c r="B928" s="6">
        <v>9.2813837375200001E-7</v>
      </c>
      <c r="D928" t="s">
        <v>8</v>
      </c>
      <c r="E928" t="s">
        <v>171</v>
      </c>
      <c r="F928" t="s">
        <v>36</v>
      </c>
      <c r="G928" t="s">
        <v>959</v>
      </c>
    </row>
    <row r="929" spans="1:7" x14ac:dyDescent="0.2">
      <c r="A929" t="s">
        <v>168</v>
      </c>
      <c r="B929" s="6">
        <v>3.3541963861200002E-7</v>
      </c>
      <c r="D929" t="s">
        <v>8</v>
      </c>
      <c r="E929" t="s">
        <v>171</v>
      </c>
      <c r="F929" t="s">
        <v>36</v>
      </c>
      <c r="G929" t="s">
        <v>959</v>
      </c>
    </row>
    <row r="930" spans="1:7" x14ac:dyDescent="0.2">
      <c r="A930" t="s">
        <v>200</v>
      </c>
      <c r="B930" s="6">
        <v>2.03084878745E-7</v>
      </c>
      <c r="D930" t="s">
        <v>8</v>
      </c>
      <c r="E930" t="s">
        <v>179</v>
      </c>
      <c r="F930" t="s">
        <v>36</v>
      </c>
      <c r="G930" t="s">
        <v>959</v>
      </c>
    </row>
    <row r="931" spans="1:7" x14ac:dyDescent="0.2">
      <c r="A931" t="s">
        <v>148</v>
      </c>
      <c r="B931" s="6">
        <v>2.1173240014199999E-8</v>
      </c>
      <c r="D931" t="s">
        <v>8</v>
      </c>
      <c r="E931" t="s">
        <v>170</v>
      </c>
      <c r="F931" t="s">
        <v>36</v>
      </c>
      <c r="G931" t="s">
        <v>959</v>
      </c>
    </row>
    <row r="932" spans="1:7" x14ac:dyDescent="0.2">
      <c r="A932" t="s">
        <v>168</v>
      </c>
      <c r="B932" s="6">
        <v>1.01200665716E-8</v>
      </c>
      <c r="D932" t="s">
        <v>8</v>
      </c>
      <c r="E932" t="s">
        <v>179</v>
      </c>
      <c r="F932" t="s">
        <v>36</v>
      </c>
      <c r="G932" t="s">
        <v>959</v>
      </c>
    </row>
    <row r="933" spans="1:7" x14ac:dyDescent="0.2">
      <c r="A933" t="s">
        <v>198</v>
      </c>
      <c r="B933" s="6">
        <v>9.8817165953399997E-9</v>
      </c>
      <c r="D933" t="s">
        <v>8</v>
      </c>
      <c r="E933" t="s">
        <v>171</v>
      </c>
      <c r="F933" t="s">
        <v>36</v>
      </c>
      <c r="G933" t="s">
        <v>959</v>
      </c>
    </row>
    <row r="934" spans="1:7" x14ac:dyDescent="0.2">
      <c r="A934" t="s">
        <v>201</v>
      </c>
      <c r="B934" s="6">
        <v>3.23472420352E-9</v>
      </c>
      <c r="D934" t="s">
        <v>8</v>
      </c>
      <c r="E934" t="s">
        <v>171</v>
      </c>
      <c r="F934" t="s">
        <v>36</v>
      </c>
      <c r="G934" t="s">
        <v>959</v>
      </c>
    </row>
    <row r="935" spans="1:7" x14ac:dyDescent="0.2">
      <c r="A935" t="s">
        <v>198</v>
      </c>
      <c r="B935" s="6">
        <v>2.01575130766E-9</v>
      </c>
      <c r="D935" t="s">
        <v>8</v>
      </c>
      <c r="E935" t="s">
        <v>179</v>
      </c>
      <c r="F935" t="s">
        <v>36</v>
      </c>
      <c r="G935" t="s">
        <v>959</v>
      </c>
    </row>
    <row r="936" spans="1:7" x14ac:dyDescent="0.2">
      <c r="A936" t="s">
        <v>201</v>
      </c>
      <c r="B936" s="6">
        <v>1.2854850213999999E-10</v>
      </c>
      <c r="D936" t="s">
        <v>8</v>
      </c>
      <c r="E936" t="s">
        <v>179</v>
      </c>
      <c r="F936" t="s">
        <v>36</v>
      </c>
      <c r="G936" t="s">
        <v>959</v>
      </c>
    </row>
    <row r="937" spans="1:7" x14ac:dyDescent="0.2">
      <c r="A937" t="s">
        <v>202</v>
      </c>
      <c r="B937" s="6">
        <v>3.0712077983799998E-11</v>
      </c>
      <c r="D937" t="s">
        <v>8</v>
      </c>
      <c r="E937" t="s">
        <v>179</v>
      </c>
      <c r="F937" t="s">
        <v>36</v>
      </c>
      <c r="G937" t="s">
        <v>959</v>
      </c>
    </row>
    <row r="938" spans="1:7" x14ac:dyDescent="0.2">
      <c r="A938" t="s">
        <v>201</v>
      </c>
      <c r="B938" s="6">
        <v>-2.4576541844999999E-9</v>
      </c>
      <c r="D938" t="s">
        <v>8</v>
      </c>
      <c r="E938" t="s">
        <v>170</v>
      </c>
      <c r="F938" t="s">
        <v>36</v>
      </c>
      <c r="G938" t="s">
        <v>959</v>
      </c>
    </row>
    <row r="939" spans="1:7" x14ac:dyDescent="0.2">
      <c r="A939" t="s">
        <v>168</v>
      </c>
      <c r="B939" s="6">
        <v>-1.9346622117199999E-7</v>
      </c>
      <c r="D939" t="s">
        <v>8</v>
      </c>
      <c r="E939" t="s">
        <v>170</v>
      </c>
      <c r="F939" t="s">
        <v>36</v>
      </c>
      <c r="G939" t="s">
        <v>959</v>
      </c>
    </row>
    <row r="940" spans="1:7" x14ac:dyDescent="0.2">
      <c r="A940" t="s">
        <v>138</v>
      </c>
      <c r="B940" s="6">
        <v>-2.8501402163599999E-7</v>
      </c>
      <c r="D940" t="s">
        <v>8</v>
      </c>
      <c r="E940" t="s">
        <v>170</v>
      </c>
      <c r="F940" t="s">
        <v>36</v>
      </c>
      <c r="G940" t="s">
        <v>959</v>
      </c>
    </row>
    <row r="941" spans="1:7" x14ac:dyDescent="0.2">
      <c r="A941" t="s">
        <v>145</v>
      </c>
      <c r="B941" s="6">
        <v>-1.318800077266E-6</v>
      </c>
      <c r="D941" t="s">
        <v>8</v>
      </c>
      <c r="E941" t="s">
        <v>170</v>
      </c>
      <c r="F941" t="s">
        <v>36</v>
      </c>
      <c r="G941" t="s">
        <v>959</v>
      </c>
    </row>
    <row r="942" spans="1:7" x14ac:dyDescent="0.2">
      <c r="A942" t="s">
        <v>132</v>
      </c>
      <c r="B942" s="6">
        <v>-3.0258531770069999E-6</v>
      </c>
      <c r="D942" t="s">
        <v>8</v>
      </c>
      <c r="E942" t="s">
        <v>170</v>
      </c>
      <c r="F942" t="s">
        <v>36</v>
      </c>
      <c r="G942" t="s">
        <v>959</v>
      </c>
    </row>
    <row r="943" spans="1:7" x14ac:dyDescent="0.2">
      <c r="A943" t="s">
        <v>142</v>
      </c>
      <c r="B943" s="6">
        <v>-3.2407916964000002E-6</v>
      </c>
      <c r="D943" t="s">
        <v>8</v>
      </c>
      <c r="E943" t="s">
        <v>170</v>
      </c>
      <c r="F943" t="s">
        <v>36</v>
      </c>
      <c r="G943" t="s">
        <v>959</v>
      </c>
    </row>
    <row r="945" spans="1:8" ht="16" x14ac:dyDescent="0.2">
      <c r="A945" s="1" t="s">
        <v>1</v>
      </c>
      <c r="B945" s="71" t="s">
        <v>751</v>
      </c>
    </row>
    <row r="946" spans="1:8" x14ac:dyDescent="0.2">
      <c r="A946" t="s">
        <v>2</v>
      </c>
      <c r="B946" s="6" t="s">
        <v>958</v>
      </c>
    </row>
    <row r="947" spans="1:8" x14ac:dyDescent="0.2">
      <c r="A947" t="s">
        <v>3</v>
      </c>
      <c r="B947" s="6">
        <v>1</v>
      </c>
    </row>
    <row r="948" spans="1:8" x14ac:dyDescent="0.2">
      <c r="A948" t="s">
        <v>4</v>
      </c>
      <c r="B948" s="6" t="s">
        <v>751</v>
      </c>
    </row>
    <row r="949" spans="1:8" x14ac:dyDescent="0.2">
      <c r="A949" t="s">
        <v>5</v>
      </c>
      <c r="B949" s="6" t="s">
        <v>6</v>
      </c>
    </row>
    <row r="950" spans="1:8" x14ac:dyDescent="0.2">
      <c r="A950" t="s">
        <v>7</v>
      </c>
      <c r="B950" s="6" t="s">
        <v>8</v>
      </c>
    </row>
    <row r="951" spans="1:8" x14ac:dyDescent="0.2">
      <c r="A951" t="s">
        <v>9</v>
      </c>
      <c r="B951" s="6" t="s">
        <v>632</v>
      </c>
    </row>
    <row r="952" spans="1:8" x14ac:dyDescent="0.2">
      <c r="A952" t="s">
        <v>863</v>
      </c>
      <c r="B952" s="6">
        <v>5</v>
      </c>
    </row>
    <row r="953" spans="1:8" x14ac:dyDescent="0.2">
      <c r="A953" t="s">
        <v>841</v>
      </c>
      <c r="B953" s="6">
        <v>37</v>
      </c>
    </row>
    <row r="954" spans="1:8" ht="16" x14ac:dyDescent="0.2">
      <c r="A954" s="1" t="s">
        <v>12</v>
      </c>
    </row>
    <row r="955" spans="1:8" x14ac:dyDescent="0.2">
      <c r="A955" t="s">
        <v>13</v>
      </c>
      <c r="B955" s="6" t="s">
        <v>14</v>
      </c>
      <c r="C955" t="s">
        <v>2</v>
      </c>
      <c r="D955" t="s">
        <v>7</v>
      </c>
      <c r="E955" t="s">
        <v>15</v>
      </c>
      <c r="F955" t="s">
        <v>5</v>
      </c>
      <c r="G955" t="s">
        <v>11</v>
      </c>
      <c r="H955" t="s">
        <v>4</v>
      </c>
    </row>
    <row r="956" spans="1:8" x14ac:dyDescent="0.2">
      <c r="A956" t="s">
        <v>751</v>
      </c>
      <c r="B956" s="6">
        <v>1</v>
      </c>
      <c r="C956" s="6" t="s">
        <v>958</v>
      </c>
      <c r="D956" t="s">
        <v>8</v>
      </c>
      <c r="E956" t="s">
        <v>738</v>
      </c>
      <c r="F956" t="s">
        <v>17</v>
      </c>
      <c r="G956" t="s">
        <v>18</v>
      </c>
      <c r="H956" t="s">
        <v>751</v>
      </c>
    </row>
    <row r="957" spans="1:8" x14ac:dyDescent="0.2">
      <c r="A957" t="s">
        <v>1034</v>
      </c>
      <c r="B957" s="6">
        <f>(1.8535*B953)/B905</f>
        <v>3.1059556159420287</v>
      </c>
      <c r="C957" t="s">
        <v>958</v>
      </c>
      <c r="D957" t="s">
        <v>8</v>
      </c>
      <c r="E957" t="s">
        <v>634</v>
      </c>
      <c r="F957" t="s">
        <v>20</v>
      </c>
      <c r="G957" t="s">
        <v>18</v>
      </c>
      <c r="H957" t="s">
        <v>752</v>
      </c>
    </row>
    <row r="958" spans="1:8" x14ac:dyDescent="0.2">
      <c r="A958" t="s">
        <v>352</v>
      </c>
      <c r="B958" s="6">
        <v>0.25370900000000002</v>
      </c>
      <c r="C958" t="s">
        <v>31</v>
      </c>
      <c r="D958" t="s">
        <v>41</v>
      </c>
      <c r="E958" t="s">
        <v>637</v>
      </c>
      <c r="F958" t="s">
        <v>20</v>
      </c>
      <c r="G958" t="s">
        <v>753</v>
      </c>
      <c r="H958" t="s">
        <v>353</v>
      </c>
    </row>
    <row r="959" spans="1:8" x14ac:dyDescent="0.2">
      <c r="A959" t="s">
        <v>22</v>
      </c>
      <c r="B959" s="6">
        <f>0.0033041*43</f>
        <v>0.14207629999999999</v>
      </c>
      <c r="C959" t="s">
        <v>26</v>
      </c>
      <c r="D959" t="s">
        <v>19</v>
      </c>
      <c r="E959" t="s">
        <v>634</v>
      </c>
      <c r="F959" t="s">
        <v>20</v>
      </c>
      <c r="G959" t="s">
        <v>18</v>
      </c>
      <c r="H959" t="s">
        <v>23</v>
      </c>
    </row>
    <row r="960" spans="1:8" x14ac:dyDescent="0.2">
      <c r="A960" t="s">
        <v>1037</v>
      </c>
      <c r="B960" s="6">
        <v>6.9399641999999995E-4</v>
      </c>
      <c r="C960" t="s">
        <v>958</v>
      </c>
      <c r="D960" t="s">
        <v>29</v>
      </c>
      <c r="E960" t="s">
        <v>637</v>
      </c>
      <c r="F960" t="s">
        <v>20</v>
      </c>
      <c r="G960" t="s">
        <v>756</v>
      </c>
      <c r="H960" t="s">
        <v>653</v>
      </c>
    </row>
    <row r="961" spans="1:8" x14ac:dyDescent="0.2">
      <c r="A961" t="s">
        <v>40</v>
      </c>
      <c r="B961" s="6">
        <v>3.6851999999999992E-5</v>
      </c>
      <c r="D961" t="s">
        <v>8</v>
      </c>
      <c r="E961" t="s">
        <v>37</v>
      </c>
      <c r="F961" t="s">
        <v>36</v>
      </c>
      <c r="G961" t="s">
        <v>18</v>
      </c>
    </row>
    <row r="962" spans="1:8" x14ac:dyDescent="0.2">
      <c r="A962" t="s">
        <v>193</v>
      </c>
      <c r="B962" s="6">
        <v>5.4649000000000008E-3</v>
      </c>
      <c r="D962" t="s">
        <v>8</v>
      </c>
      <c r="E962" t="s">
        <v>37</v>
      </c>
      <c r="F962" t="s">
        <v>36</v>
      </c>
      <c r="G962" t="s">
        <v>18</v>
      </c>
    </row>
    <row r="963" spans="1:8" x14ac:dyDescent="0.2">
      <c r="A963" t="s">
        <v>193</v>
      </c>
      <c r="B963" s="6">
        <v>2.5899999999999999E-5</v>
      </c>
      <c r="D963" t="s">
        <v>8</v>
      </c>
      <c r="E963" t="s">
        <v>37</v>
      </c>
      <c r="F963" t="s">
        <v>36</v>
      </c>
      <c r="G963" t="s">
        <v>18</v>
      </c>
    </row>
    <row r="965" spans="1:8" ht="16" x14ac:dyDescent="0.2">
      <c r="A965" s="1" t="s">
        <v>1</v>
      </c>
      <c r="B965" s="71" t="s">
        <v>739</v>
      </c>
    </row>
    <row r="966" spans="1:8" x14ac:dyDescent="0.2">
      <c r="A966" t="s">
        <v>2</v>
      </c>
      <c r="B966" s="6" t="s">
        <v>958</v>
      </c>
    </row>
    <row r="967" spans="1:8" x14ac:dyDescent="0.2">
      <c r="A967" t="s">
        <v>3</v>
      </c>
      <c r="B967" s="6">
        <v>1</v>
      </c>
    </row>
    <row r="968" spans="1:8" x14ac:dyDescent="0.2">
      <c r="A968" t="s">
        <v>4</v>
      </c>
      <c r="B968" s="6" t="s">
        <v>739</v>
      </c>
    </row>
    <row r="969" spans="1:8" x14ac:dyDescent="0.2">
      <c r="A969" t="s">
        <v>5</v>
      </c>
      <c r="B969" s="6" t="s">
        <v>6</v>
      </c>
    </row>
    <row r="970" spans="1:8" x14ac:dyDescent="0.2">
      <c r="A970" t="s">
        <v>7</v>
      </c>
      <c r="B970" s="6" t="s">
        <v>8</v>
      </c>
    </row>
    <row r="971" spans="1:8" x14ac:dyDescent="0.2">
      <c r="A971" t="s">
        <v>9</v>
      </c>
      <c r="B971" s="6" t="s">
        <v>632</v>
      </c>
    </row>
    <row r="972" spans="1:8" x14ac:dyDescent="0.2">
      <c r="A972" t="s">
        <v>841</v>
      </c>
      <c r="B972" s="6">
        <v>37</v>
      </c>
    </row>
    <row r="973" spans="1:8" ht="16" x14ac:dyDescent="0.2">
      <c r="A973" s="1" t="s">
        <v>12</v>
      </c>
    </row>
    <row r="974" spans="1:8" x14ac:dyDescent="0.2">
      <c r="A974" t="s">
        <v>13</v>
      </c>
      <c r="B974" s="6" t="s">
        <v>14</v>
      </c>
      <c r="C974" t="s">
        <v>2</v>
      </c>
      <c r="D974" t="s">
        <v>7</v>
      </c>
      <c r="E974" t="s">
        <v>15</v>
      </c>
      <c r="F974" t="s">
        <v>5</v>
      </c>
      <c r="G974" t="s">
        <v>11</v>
      </c>
      <c r="H974" t="s">
        <v>4</v>
      </c>
    </row>
    <row r="975" spans="1:8" x14ac:dyDescent="0.2">
      <c r="A975" t="s">
        <v>739</v>
      </c>
      <c r="B975" s="6">
        <v>1</v>
      </c>
      <c r="C975" s="6" t="s">
        <v>958</v>
      </c>
      <c r="D975" t="s">
        <v>8</v>
      </c>
      <c r="E975" t="s">
        <v>738</v>
      </c>
      <c r="F975" t="s">
        <v>17</v>
      </c>
      <c r="G975" t="s">
        <v>18</v>
      </c>
      <c r="H975" t="s">
        <v>739</v>
      </c>
    </row>
    <row r="976" spans="1:8" x14ac:dyDescent="0.2">
      <c r="A976" t="s">
        <v>751</v>
      </c>
      <c r="B976" s="6">
        <v>1.0245899999999999</v>
      </c>
      <c r="C976" s="6" t="s">
        <v>958</v>
      </c>
      <c r="D976" t="s">
        <v>8</v>
      </c>
      <c r="E976" t="s">
        <v>634</v>
      </c>
      <c r="F976" t="s">
        <v>20</v>
      </c>
      <c r="G976" t="s">
        <v>18</v>
      </c>
      <c r="H976" t="s">
        <v>751</v>
      </c>
    </row>
    <row r="977" spans="1:8" x14ac:dyDescent="0.2">
      <c r="A977" t="s">
        <v>636</v>
      </c>
      <c r="B977" s="6">
        <v>0.14910999999999999</v>
      </c>
      <c r="C977" t="s">
        <v>31</v>
      </c>
      <c r="D977" t="s">
        <v>19</v>
      </c>
      <c r="E977" t="s">
        <v>637</v>
      </c>
      <c r="F977" t="s">
        <v>20</v>
      </c>
      <c r="G977" t="s">
        <v>18</v>
      </c>
      <c r="H977" t="s">
        <v>639</v>
      </c>
    </row>
    <row r="978" spans="1:8" x14ac:dyDescent="0.2">
      <c r="A978" t="s">
        <v>708</v>
      </c>
      <c r="B978" s="6">
        <v>1.1100000000000001E-3</v>
      </c>
      <c r="C978" t="s">
        <v>26</v>
      </c>
      <c r="D978" t="s">
        <v>8</v>
      </c>
      <c r="E978" t="s">
        <v>634</v>
      </c>
      <c r="F978" t="s">
        <v>20</v>
      </c>
      <c r="G978" t="s">
        <v>18</v>
      </c>
      <c r="H978" t="s">
        <v>709</v>
      </c>
    </row>
    <row r="979" spans="1:8" x14ac:dyDescent="0.2">
      <c r="A979" t="s">
        <v>388</v>
      </c>
      <c r="B979" s="6">
        <v>3.3300000000000001E-3</v>
      </c>
      <c r="C979" t="s">
        <v>26</v>
      </c>
      <c r="D979" t="s">
        <v>8</v>
      </c>
      <c r="E979" t="s">
        <v>634</v>
      </c>
      <c r="F979" t="s">
        <v>20</v>
      </c>
      <c r="G979" t="s">
        <v>18</v>
      </c>
      <c r="H979" t="s">
        <v>389</v>
      </c>
    </row>
    <row r="980" spans="1:8" x14ac:dyDescent="0.2">
      <c r="A980" t="s">
        <v>352</v>
      </c>
      <c r="B980" s="6">
        <v>0.1295</v>
      </c>
      <c r="C980" t="s">
        <v>31</v>
      </c>
      <c r="D980" t="s">
        <v>41</v>
      </c>
      <c r="E980" t="s">
        <v>637</v>
      </c>
      <c r="F980" t="s">
        <v>20</v>
      </c>
      <c r="G980" t="s">
        <v>778</v>
      </c>
      <c r="H980" t="s">
        <v>353</v>
      </c>
    </row>
    <row r="981" spans="1:8" x14ac:dyDescent="0.2">
      <c r="A981" t="s">
        <v>978</v>
      </c>
      <c r="B981" s="6">
        <v>16.287399999999998</v>
      </c>
      <c r="C981" t="s">
        <v>26</v>
      </c>
      <c r="D981" t="s">
        <v>41</v>
      </c>
      <c r="E981" t="s">
        <v>637</v>
      </c>
      <c r="F981" t="s">
        <v>20</v>
      </c>
      <c r="G981" t="s">
        <v>779</v>
      </c>
      <c r="H981" t="s">
        <v>979</v>
      </c>
    </row>
    <row r="982" spans="1:8" x14ac:dyDescent="0.2">
      <c r="A982" t="s">
        <v>1037</v>
      </c>
      <c r="B982" s="6">
        <v>9.5659799999999982E-3</v>
      </c>
      <c r="C982" t="s">
        <v>958</v>
      </c>
      <c r="D982" t="s">
        <v>29</v>
      </c>
      <c r="E982" t="s">
        <v>637</v>
      </c>
      <c r="F982" t="s">
        <v>20</v>
      </c>
      <c r="G982" t="s">
        <v>18</v>
      </c>
      <c r="H982" t="s">
        <v>653</v>
      </c>
    </row>
    <row r="983" spans="1:8" x14ac:dyDescent="0.2">
      <c r="A983" t="s">
        <v>1037</v>
      </c>
      <c r="B983" s="6">
        <v>1.8411940000000002E-2</v>
      </c>
      <c r="C983" t="s">
        <v>958</v>
      </c>
      <c r="D983" t="s">
        <v>29</v>
      </c>
      <c r="E983" t="s">
        <v>637</v>
      </c>
      <c r="F983" t="s">
        <v>20</v>
      </c>
      <c r="G983" t="s">
        <v>780</v>
      </c>
      <c r="H983" t="s">
        <v>653</v>
      </c>
    </row>
    <row r="985" spans="1:8" ht="16" x14ac:dyDescent="0.2">
      <c r="A985" s="1" t="s">
        <v>1</v>
      </c>
      <c r="B985" s="71" t="s">
        <v>884</v>
      </c>
    </row>
    <row r="986" spans="1:8" x14ac:dyDescent="0.2">
      <c r="A986" t="s">
        <v>2</v>
      </c>
      <c r="B986" s="6" t="s">
        <v>958</v>
      </c>
    </row>
    <row r="987" spans="1:8" x14ac:dyDescent="0.2">
      <c r="A987" t="s">
        <v>3</v>
      </c>
      <c r="B987" s="6">
        <v>1</v>
      </c>
    </row>
    <row r="988" spans="1:8" ht="16" x14ac:dyDescent="0.2">
      <c r="A988" t="s">
        <v>4</v>
      </c>
      <c r="B988" s="72" t="s">
        <v>1016</v>
      </c>
    </row>
    <row r="989" spans="1:8" x14ac:dyDescent="0.2">
      <c r="A989" t="s">
        <v>5</v>
      </c>
      <c r="B989" s="6" t="s">
        <v>6</v>
      </c>
    </row>
    <row r="990" spans="1:8" x14ac:dyDescent="0.2">
      <c r="A990" t="s">
        <v>7</v>
      </c>
      <c r="B990" s="6" t="s">
        <v>8</v>
      </c>
    </row>
    <row r="991" spans="1:8" x14ac:dyDescent="0.2">
      <c r="A991" t="s">
        <v>9</v>
      </c>
      <c r="B991" s="6" t="s">
        <v>632</v>
      </c>
    </row>
    <row r="992" spans="1:8" x14ac:dyDescent="0.2">
      <c r="A992" t="s">
        <v>497</v>
      </c>
      <c r="B992" s="70">
        <f>Summary!O58</f>
        <v>0.85436596277646781</v>
      </c>
    </row>
    <row r="993" spans="1:14" ht="16" x14ac:dyDescent="0.2">
      <c r="A993" s="1" t="s">
        <v>12</v>
      </c>
    </row>
    <row r="994" spans="1:14" x14ac:dyDescent="0.2">
      <c r="A994" t="s">
        <v>13</v>
      </c>
      <c r="B994" s="6" t="s">
        <v>14</v>
      </c>
      <c r="C994" t="s">
        <v>2</v>
      </c>
      <c r="D994" t="s">
        <v>7</v>
      </c>
      <c r="E994" t="s">
        <v>15</v>
      </c>
      <c r="F994" t="s">
        <v>5</v>
      </c>
      <c r="G994" t="s">
        <v>338</v>
      </c>
      <c r="H994" t="s">
        <v>339</v>
      </c>
      <c r="I994" t="s">
        <v>16</v>
      </c>
      <c r="J994" t="s">
        <v>11</v>
      </c>
      <c r="K994" t="s">
        <v>633</v>
      </c>
      <c r="L994" t="s">
        <v>4</v>
      </c>
      <c r="M994" t="s">
        <v>658</v>
      </c>
      <c r="N994" t="s">
        <v>659</v>
      </c>
    </row>
    <row r="995" spans="1:14" ht="16" x14ac:dyDescent="0.2">
      <c r="A995" s="2" t="s">
        <v>884</v>
      </c>
      <c r="B995" s="6">
        <v>1</v>
      </c>
      <c r="C995" s="6" t="s">
        <v>958</v>
      </c>
      <c r="D995" t="s">
        <v>8</v>
      </c>
      <c r="E995" t="s">
        <v>738</v>
      </c>
      <c r="F995" t="s">
        <v>17</v>
      </c>
      <c r="I995">
        <v>100</v>
      </c>
      <c r="J995" t="s">
        <v>18</v>
      </c>
      <c r="K995" s="72" t="s">
        <v>1016</v>
      </c>
    </row>
    <row r="996" spans="1:14" x14ac:dyDescent="0.2">
      <c r="A996" t="s">
        <v>739</v>
      </c>
      <c r="B996" s="6">
        <f>37.223436/B972</f>
        <v>1.0060388108108107</v>
      </c>
      <c r="C996" s="6" t="s">
        <v>958</v>
      </c>
      <c r="D996" t="s">
        <v>8</v>
      </c>
      <c r="E996" t="s">
        <v>637</v>
      </c>
      <c r="F996" t="s">
        <v>20</v>
      </c>
      <c r="G996">
        <v>0</v>
      </c>
      <c r="H996">
        <v>1.0006299999999999</v>
      </c>
      <c r="J996" t="s">
        <v>18</v>
      </c>
      <c r="K996" t="s">
        <v>739</v>
      </c>
    </row>
    <row r="997" spans="1:14" x14ac:dyDescent="0.2">
      <c r="A997" t="s">
        <v>636</v>
      </c>
      <c r="B997" s="6">
        <v>1.2290000000000001</v>
      </c>
      <c r="C997" t="s">
        <v>31</v>
      </c>
      <c r="D997" t="s">
        <v>19</v>
      </c>
      <c r="E997" t="s">
        <v>637</v>
      </c>
      <c r="F997" t="s">
        <v>20</v>
      </c>
      <c r="G997">
        <v>0</v>
      </c>
      <c r="H997">
        <v>0.33029999999999998</v>
      </c>
      <c r="J997" t="s">
        <v>18</v>
      </c>
      <c r="K997" t="s">
        <v>639</v>
      </c>
      <c r="L997" t="s">
        <v>639</v>
      </c>
      <c r="M997" t="s">
        <v>663</v>
      </c>
      <c r="N997" t="s">
        <v>664</v>
      </c>
    </row>
    <row r="998" spans="1:14" x14ac:dyDescent="0.2">
      <c r="A998" t="s">
        <v>723</v>
      </c>
      <c r="B998" s="6">
        <v>3.7200000000000006E-3</v>
      </c>
      <c r="C998" t="s">
        <v>31</v>
      </c>
      <c r="D998" t="s">
        <v>8</v>
      </c>
      <c r="E998" t="s">
        <v>637</v>
      </c>
      <c r="F998" t="s">
        <v>20</v>
      </c>
      <c r="G998">
        <v>0</v>
      </c>
      <c r="H998">
        <v>1E-4</v>
      </c>
      <c r="J998" t="s">
        <v>18</v>
      </c>
      <c r="K998" t="s">
        <v>724</v>
      </c>
      <c r="L998" t="s">
        <v>724</v>
      </c>
      <c r="M998" t="s">
        <v>725</v>
      </c>
      <c r="N998" t="s">
        <v>664</v>
      </c>
    </row>
    <row r="999" spans="1:14" x14ac:dyDescent="0.2">
      <c r="A999" t="s">
        <v>704</v>
      </c>
      <c r="B999" s="6">
        <v>9.5522160000000009E-2</v>
      </c>
      <c r="C999" t="s">
        <v>26</v>
      </c>
      <c r="D999" t="s">
        <v>8</v>
      </c>
      <c r="E999" t="s">
        <v>637</v>
      </c>
      <c r="F999" t="s">
        <v>20</v>
      </c>
      <c r="G999">
        <v>0</v>
      </c>
      <c r="H999">
        <v>2.5677999999999999E-3</v>
      </c>
      <c r="J999" t="s">
        <v>18</v>
      </c>
      <c r="K999" t="s">
        <v>706</v>
      </c>
      <c r="L999" t="s">
        <v>706</v>
      </c>
      <c r="M999" t="s">
        <v>707</v>
      </c>
      <c r="N999" t="s">
        <v>664</v>
      </c>
    </row>
    <row r="1000" spans="1:14" x14ac:dyDescent="0.2">
      <c r="A1000" t="s">
        <v>726</v>
      </c>
      <c r="B1000" s="6">
        <v>1.3764E-2</v>
      </c>
      <c r="C1000" t="s">
        <v>26</v>
      </c>
      <c r="D1000" t="s">
        <v>8</v>
      </c>
      <c r="E1000" t="s">
        <v>637</v>
      </c>
      <c r="F1000" t="s">
        <v>20</v>
      </c>
      <c r="G1000">
        <v>0</v>
      </c>
      <c r="H1000">
        <v>3.6999999999999999E-4</v>
      </c>
      <c r="J1000" t="s">
        <v>18</v>
      </c>
      <c r="K1000" t="s">
        <v>728</v>
      </c>
      <c r="L1000" t="s">
        <v>728</v>
      </c>
      <c r="M1000" t="s">
        <v>729</v>
      </c>
      <c r="N1000" t="s">
        <v>664</v>
      </c>
    </row>
    <row r="1001" spans="1:14" x14ac:dyDescent="0.2">
      <c r="A1001" t="s">
        <v>100</v>
      </c>
      <c r="B1001" s="6">
        <v>0.37944000000000006</v>
      </c>
      <c r="C1001" t="s">
        <v>31</v>
      </c>
      <c r="D1001" t="s">
        <v>41</v>
      </c>
      <c r="E1001" t="s">
        <v>637</v>
      </c>
      <c r="F1001" t="s">
        <v>20</v>
      </c>
      <c r="G1001">
        <v>0</v>
      </c>
      <c r="H1001">
        <v>1.0200000000000001E-2</v>
      </c>
      <c r="J1001" t="s">
        <v>18</v>
      </c>
      <c r="K1001" t="s">
        <v>103</v>
      </c>
      <c r="L1001" t="s">
        <v>103</v>
      </c>
      <c r="M1001" t="s">
        <v>665</v>
      </c>
      <c r="N1001" t="s">
        <v>664</v>
      </c>
    </row>
    <row r="1002" spans="1:14" x14ac:dyDescent="0.2">
      <c r="A1002" t="s">
        <v>97</v>
      </c>
      <c r="B1002" s="6">
        <v>0.15252000000000002</v>
      </c>
      <c r="C1002" t="s">
        <v>31</v>
      </c>
      <c r="D1002" t="s">
        <v>41</v>
      </c>
      <c r="E1002" t="s">
        <v>637</v>
      </c>
      <c r="F1002" t="s">
        <v>20</v>
      </c>
      <c r="G1002">
        <v>0</v>
      </c>
      <c r="H1002">
        <v>4.1000000000000003E-3</v>
      </c>
      <c r="J1002" t="s">
        <v>18</v>
      </c>
      <c r="K1002" t="s">
        <v>98</v>
      </c>
      <c r="L1002" t="s">
        <v>98</v>
      </c>
      <c r="M1002" t="s">
        <v>666</v>
      </c>
      <c r="N1002" t="s">
        <v>664</v>
      </c>
    </row>
    <row r="1003" spans="1:14" x14ac:dyDescent="0.2">
      <c r="A1003" t="s">
        <v>352</v>
      </c>
      <c r="B1003" s="6">
        <v>0.32736000000000004</v>
      </c>
      <c r="C1003" t="s">
        <v>31</v>
      </c>
      <c r="D1003" t="s">
        <v>41</v>
      </c>
      <c r="E1003" t="s">
        <v>637</v>
      </c>
      <c r="F1003" t="s">
        <v>20</v>
      </c>
      <c r="G1003">
        <v>0</v>
      </c>
      <c r="H1003">
        <v>8.8000000000000005E-3</v>
      </c>
      <c r="J1003" t="s">
        <v>740</v>
      </c>
      <c r="K1003" t="s">
        <v>353</v>
      </c>
      <c r="L1003" t="s">
        <v>353</v>
      </c>
      <c r="M1003" t="s">
        <v>1008</v>
      </c>
      <c r="N1003" t="s">
        <v>664</v>
      </c>
    </row>
    <row r="1004" spans="1:14" x14ac:dyDescent="0.2">
      <c r="A1004" t="s">
        <v>352</v>
      </c>
      <c r="B1004" s="6">
        <v>0.15996000000000002</v>
      </c>
      <c r="C1004" t="s">
        <v>31</v>
      </c>
      <c r="D1004" t="s">
        <v>41</v>
      </c>
      <c r="E1004" t="s">
        <v>637</v>
      </c>
      <c r="F1004" t="s">
        <v>20</v>
      </c>
      <c r="G1004">
        <v>0</v>
      </c>
      <c r="H1004">
        <v>4.3E-3</v>
      </c>
      <c r="J1004" t="s">
        <v>741</v>
      </c>
      <c r="K1004" t="s">
        <v>353</v>
      </c>
      <c r="L1004" t="s">
        <v>353</v>
      </c>
      <c r="M1004" t="s">
        <v>1008</v>
      </c>
      <c r="N1004" t="s">
        <v>664</v>
      </c>
    </row>
    <row r="1005" spans="1:14" x14ac:dyDescent="0.2">
      <c r="A1005" t="s">
        <v>978</v>
      </c>
      <c r="B1005" s="6">
        <v>1.11972</v>
      </c>
      <c r="C1005" t="s">
        <v>26</v>
      </c>
      <c r="D1005" t="s">
        <v>41</v>
      </c>
      <c r="E1005" t="s">
        <v>637</v>
      </c>
      <c r="F1005" t="s">
        <v>20</v>
      </c>
      <c r="G1005">
        <v>0</v>
      </c>
      <c r="H1005">
        <v>3.0099999999999998E-2</v>
      </c>
      <c r="J1005" t="s">
        <v>18</v>
      </c>
      <c r="K1005" t="s">
        <v>979</v>
      </c>
      <c r="L1005" t="s">
        <v>979</v>
      </c>
      <c r="M1005" t="s">
        <v>980</v>
      </c>
      <c r="N1005" t="s">
        <v>664</v>
      </c>
    </row>
    <row r="1006" spans="1:14" x14ac:dyDescent="0.2">
      <c r="A1006" t="s">
        <v>1037</v>
      </c>
      <c r="B1006" s="6">
        <v>4.1883480000000001E-2</v>
      </c>
      <c r="C1006" t="s">
        <v>958</v>
      </c>
      <c r="D1006" t="s">
        <v>29</v>
      </c>
      <c r="E1006" t="s">
        <v>637</v>
      </c>
      <c r="F1006" t="s">
        <v>20</v>
      </c>
      <c r="G1006">
        <v>0</v>
      </c>
      <c r="H1006">
        <v>4.0499999999999998E-3</v>
      </c>
      <c r="J1006" t="s">
        <v>18</v>
      </c>
      <c r="K1006" t="s">
        <v>653</v>
      </c>
      <c r="L1006" t="s">
        <v>653</v>
      </c>
      <c r="M1006" t="s">
        <v>670</v>
      </c>
      <c r="N1006" t="s">
        <v>664</v>
      </c>
    </row>
    <row r="1007" spans="1:14" x14ac:dyDescent="0.2">
      <c r="A1007" t="s">
        <v>1037</v>
      </c>
      <c r="B1007" s="6">
        <v>8.6869440000000003E-3</v>
      </c>
      <c r="C1007" t="s">
        <v>958</v>
      </c>
      <c r="D1007" t="s">
        <v>29</v>
      </c>
      <c r="E1007" t="s">
        <v>637</v>
      </c>
      <c r="F1007" t="s">
        <v>20</v>
      </c>
      <c r="G1007">
        <v>0</v>
      </c>
      <c r="H1007">
        <v>8.4000000000000003E-4</v>
      </c>
      <c r="J1007" t="s">
        <v>742</v>
      </c>
      <c r="K1007" t="s">
        <v>653</v>
      </c>
      <c r="L1007" t="s">
        <v>653</v>
      </c>
      <c r="M1007" t="s">
        <v>670</v>
      </c>
      <c r="N1007" t="s">
        <v>664</v>
      </c>
    </row>
    <row r="1008" spans="1:14" x14ac:dyDescent="0.2">
      <c r="A1008" t="s">
        <v>1037</v>
      </c>
      <c r="B1008" s="6">
        <v>3.5161440000000002E-2</v>
      </c>
      <c r="C1008" t="s">
        <v>958</v>
      </c>
      <c r="D1008" t="s">
        <v>29</v>
      </c>
      <c r="E1008" t="s">
        <v>637</v>
      </c>
      <c r="F1008" t="s">
        <v>20</v>
      </c>
      <c r="G1008">
        <v>0</v>
      </c>
      <c r="H1008">
        <v>3.3999999999999998E-3</v>
      </c>
      <c r="J1008" t="s">
        <v>743</v>
      </c>
      <c r="K1008" t="s">
        <v>653</v>
      </c>
      <c r="L1008" t="s">
        <v>653</v>
      </c>
      <c r="M1008" t="s">
        <v>670</v>
      </c>
      <c r="N1008" t="s">
        <v>664</v>
      </c>
    </row>
    <row r="1009" spans="1:11" x14ac:dyDescent="0.2">
      <c r="A1009" t="s">
        <v>265</v>
      </c>
      <c r="B1009" s="6">
        <f>(B996*B976*B957*B907)-Parameters!B16</f>
        <v>2.6147445803355693</v>
      </c>
      <c r="D1009" t="s">
        <v>8</v>
      </c>
      <c r="E1009" t="s">
        <v>37</v>
      </c>
      <c r="F1009" t="s">
        <v>36</v>
      </c>
      <c r="G1009">
        <v>0</v>
      </c>
      <c r="H1009">
        <v>5.4000000000000003E-3</v>
      </c>
    </row>
    <row r="1011" spans="1:11" ht="16" x14ac:dyDescent="0.2">
      <c r="A1011" s="1" t="s">
        <v>1</v>
      </c>
      <c r="B1011" s="71" t="s">
        <v>737</v>
      </c>
    </row>
    <row r="1012" spans="1:11" x14ac:dyDescent="0.2">
      <c r="A1012" t="s">
        <v>2</v>
      </c>
      <c r="B1012" s="6" t="s">
        <v>958</v>
      </c>
    </row>
    <row r="1013" spans="1:11" x14ac:dyDescent="0.2">
      <c r="A1013" t="s">
        <v>3</v>
      </c>
      <c r="B1013" s="6">
        <v>1</v>
      </c>
    </row>
    <row r="1014" spans="1:11" ht="16" x14ac:dyDescent="0.2">
      <c r="A1014" t="s">
        <v>4</v>
      </c>
      <c r="B1014" s="72" t="s">
        <v>701</v>
      </c>
    </row>
    <row r="1015" spans="1:11" x14ac:dyDescent="0.2">
      <c r="A1015" t="s">
        <v>9</v>
      </c>
      <c r="B1015" s="6" t="s">
        <v>632</v>
      </c>
    </row>
    <row r="1016" spans="1:11" x14ac:dyDescent="0.2">
      <c r="A1016" t="s">
        <v>5</v>
      </c>
      <c r="B1016" s="6" t="s">
        <v>6</v>
      </c>
    </row>
    <row r="1017" spans="1:11" x14ac:dyDescent="0.2">
      <c r="A1017" t="s">
        <v>7</v>
      </c>
      <c r="B1017" s="6" t="s">
        <v>8</v>
      </c>
    </row>
    <row r="1018" spans="1:11" ht="16" x14ac:dyDescent="0.2">
      <c r="A1018" s="1" t="s">
        <v>12</v>
      </c>
    </row>
    <row r="1019" spans="1:11" x14ac:dyDescent="0.2">
      <c r="A1019" t="s">
        <v>13</v>
      </c>
      <c r="B1019" s="6" t="s">
        <v>14</v>
      </c>
      <c r="C1019" t="s">
        <v>2</v>
      </c>
      <c r="D1019" t="s">
        <v>7</v>
      </c>
      <c r="E1019" t="s">
        <v>15</v>
      </c>
      <c r="F1019" t="s">
        <v>5</v>
      </c>
      <c r="G1019" t="s">
        <v>338</v>
      </c>
      <c r="H1019" t="s">
        <v>339</v>
      </c>
      <c r="I1019" t="s">
        <v>16</v>
      </c>
      <c r="J1019" t="s">
        <v>11</v>
      </c>
      <c r="K1019" t="s">
        <v>4</v>
      </c>
    </row>
    <row r="1020" spans="1:11" x14ac:dyDescent="0.2">
      <c r="A1020" t="s">
        <v>737</v>
      </c>
      <c r="B1020" s="6">
        <v>1</v>
      </c>
      <c r="C1020" s="6" t="s">
        <v>958</v>
      </c>
      <c r="D1020" t="s">
        <v>8</v>
      </c>
      <c r="F1020" t="s">
        <v>17</v>
      </c>
      <c r="I1020">
        <v>100</v>
      </c>
      <c r="J1020" t="s">
        <v>18</v>
      </c>
      <c r="K1020" t="s">
        <v>701</v>
      </c>
    </row>
    <row r="1021" spans="1:11" ht="16" x14ac:dyDescent="0.2">
      <c r="A1021" s="2" t="s">
        <v>884</v>
      </c>
      <c r="B1021" s="6">
        <v>1.00057</v>
      </c>
      <c r="C1021" s="6" t="s">
        <v>958</v>
      </c>
      <c r="D1021" t="s">
        <v>8</v>
      </c>
      <c r="F1021" t="s">
        <v>20</v>
      </c>
      <c r="K1021" s="72" t="s">
        <v>1016</v>
      </c>
    </row>
    <row r="1022" spans="1:11" x14ac:dyDescent="0.2">
      <c r="A1022" t="s">
        <v>1037</v>
      </c>
      <c r="B1022" s="6">
        <v>6.7000000000000002E-3</v>
      </c>
      <c r="C1022" t="s">
        <v>958</v>
      </c>
      <c r="D1022" t="s">
        <v>29</v>
      </c>
      <c r="F1022" t="s">
        <v>20</v>
      </c>
      <c r="K1022" t="s">
        <v>30</v>
      </c>
    </row>
    <row r="1023" spans="1:11" x14ac:dyDescent="0.2">
      <c r="A1023" t="s">
        <v>340</v>
      </c>
      <c r="B1023" s="6">
        <v>-1.6799999999999999E-4</v>
      </c>
      <c r="C1023" t="s">
        <v>624</v>
      </c>
      <c r="D1023" t="s">
        <v>8</v>
      </c>
      <c r="F1023" t="s">
        <v>20</v>
      </c>
      <c r="K1023" t="s">
        <v>341</v>
      </c>
    </row>
    <row r="1024" spans="1:11" x14ac:dyDescent="0.2">
      <c r="A1024" t="s">
        <v>342</v>
      </c>
      <c r="B1024" s="6">
        <v>5.8399999999999999E-4</v>
      </c>
      <c r="C1024" t="s">
        <v>631</v>
      </c>
      <c r="D1024" t="s">
        <v>19</v>
      </c>
      <c r="F1024" t="s">
        <v>20</v>
      </c>
      <c r="K1024" t="s">
        <v>343</v>
      </c>
    </row>
    <row r="1025" spans="1:11" x14ac:dyDescent="0.2">
      <c r="A1025" t="s">
        <v>344</v>
      </c>
      <c r="B1025" s="6">
        <v>2.5999999999999998E-10</v>
      </c>
      <c r="C1025" t="s">
        <v>572</v>
      </c>
      <c r="D1025" t="s">
        <v>7</v>
      </c>
      <c r="F1025" t="s">
        <v>20</v>
      </c>
      <c r="K1025" t="s">
        <v>345</v>
      </c>
    </row>
    <row r="1026" spans="1:11" x14ac:dyDescent="0.2">
      <c r="A1026" t="s">
        <v>346</v>
      </c>
      <c r="B1026" s="6">
        <v>-6.2700000000000001E-6</v>
      </c>
      <c r="C1026" t="s">
        <v>631</v>
      </c>
      <c r="D1026" t="s">
        <v>8</v>
      </c>
      <c r="F1026" t="s">
        <v>20</v>
      </c>
      <c r="K1026" t="s">
        <v>347</v>
      </c>
    </row>
    <row r="1027" spans="1:11" x14ac:dyDescent="0.2">
      <c r="A1027" t="s">
        <v>348</v>
      </c>
      <c r="B1027" s="6">
        <v>-7.4999999999999993E-5</v>
      </c>
      <c r="C1027" t="s">
        <v>624</v>
      </c>
      <c r="D1027" t="s">
        <v>121</v>
      </c>
      <c r="F1027" t="s">
        <v>20</v>
      </c>
      <c r="K1027" t="s">
        <v>349</v>
      </c>
    </row>
    <row r="1028" spans="1:11" x14ac:dyDescent="0.2">
      <c r="A1028" t="s">
        <v>350</v>
      </c>
      <c r="B1028" s="6">
        <v>6.8900000000000005E-4</v>
      </c>
      <c r="C1028" t="s">
        <v>31</v>
      </c>
      <c r="D1028" t="s">
        <v>8</v>
      </c>
      <c r="F1028" t="s">
        <v>20</v>
      </c>
      <c r="K1028" t="s">
        <v>351</v>
      </c>
    </row>
    <row r="1029" spans="1:11" x14ac:dyDescent="0.2">
      <c r="A1029" t="s">
        <v>100</v>
      </c>
      <c r="B1029" s="6">
        <v>3.3599999999999998E-2</v>
      </c>
      <c r="C1029" t="s">
        <v>31</v>
      </c>
      <c r="D1029" t="s">
        <v>41</v>
      </c>
      <c r="F1029" t="s">
        <v>20</v>
      </c>
      <c r="K1029" t="s">
        <v>103</v>
      </c>
    </row>
    <row r="1030" spans="1:11" x14ac:dyDescent="0.2">
      <c r="A1030" t="s">
        <v>352</v>
      </c>
      <c r="B1030" s="6">
        <v>3.2599999999999997E-2</v>
      </c>
      <c r="C1030" t="s">
        <v>31</v>
      </c>
      <c r="D1030" t="s">
        <v>41</v>
      </c>
      <c r="F1030" t="s">
        <v>20</v>
      </c>
      <c r="K1030" t="s">
        <v>353</v>
      </c>
    </row>
    <row r="1031" spans="1:11" x14ac:dyDescent="0.2">
      <c r="A1031" t="s">
        <v>354</v>
      </c>
      <c r="B1031" s="6">
        <v>-6.8899999999999999E-7</v>
      </c>
      <c r="C1031" t="s">
        <v>624</v>
      </c>
      <c r="D1031" t="s">
        <v>121</v>
      </c>
      <c r="F1031" t="s">
        <v>20</v>
      </c>
      <c r="K1031" t="s">
        <v>355</v>
      </c>
    </row>
    <row r="1032" spans="1:11" ht="16.25" customHeight="1" x14ac:dyDescent="0.2">
      <c r="A1032" s="1"/>
      <c r="B1032" s="71"/>
    </row>
    <row r="1033" spans="1:11" ht="16" x14ac:dyDescent="0.2">
      <c r="A1033" s="1" t="s">
        <v>1</v>
      </c>
      <c r="B1033" s="71" t="s">
        <v>886</v>
      </c>
    </row>
    <row r="1034" spans="1:11" x14ac:dyDescent="0.2">
      <c r="A1034" t="s">
        <v>2</v>
      </c>
      <c r="B1034" s="6" t="s">
        <v>572</v>
      </c>
    </row>
    <row r="1035" spans="1:11" x14ac:dyDescent="0.2">
      <c r="A1035" t="s">
        <v>3</v>
      </c>
      <c r="B1035" s="6">
        <v>1</v>
      </c>
    </row>
    <row r="1036" spans="1:11" x14ac:dyDescent="0.2">
      <c r="A1036" t="s">
        <v>4</v>
      </c>
      <c r="B1036" s="6" t="s">
        <v>746</v>
      </c>
    </row>
    <row r="1037" spans="1:11" x14ac:dyDescent="0.2">
      <c r="A1037" t="s">
        <v>9</v>
      </c>
      <c r="B1037" s="6" t="s">
        <v>632</v>
      </c>
    </row>
    <row r="1038" spans="1:11" x14ac:dyDescent="0.2">
      <c r="A1038" t="s">
        <v>5</v>
      </c>
      <c r="B1038" s="6" t="s">
        <v>6</v>
      </c>
    </row>
    <row r="1039" spans="1:11" x14ac:dyDescent="0.2">
      <c r="A1039" t="s">
        <v>7</v>
      </c>
      <c r="B1039" s="6" t="s">
        <v>8</v>
      </c>
    </row>
    <row r="1040" spans="1:11" ht="16" x14ac:dyDescent="0.2">
      <c r="A1040" s="1" t="s">
        <v>12</v>
      </c>
    </row>
    <row r="1041" spans="1:11" x14ac:dyDescent="0.2">
      <c r="A1041" t="s">
        <v>13</v>
      </c>
      <c r="B1041" s="6" t="s">
        <v>14</v>
      </c>
      <c r="C1041" t="s">
        <v>2</v>
      </c>
      <c r="D1041" t="s">
        <v>7</v>
      </c>
      <c r="E1041" t="s">
        <v>15</v>
      </c>
      <c r="F1041" t="s">
        <v>5</v>
      </c>
      <c r="G1041" t="s">
        <v>11</v>
      </c>
      <c r="H1041" t="s">
        <v>4</v>
      </c>
    </row>
    <row r="1042" spans="1:11" x14ac:dyDescent="0.2">
      <c r="A1042" t="s">
        <v>886</v>
      </c>
      <c r="B1042" s="6">
        <v>1</v>
      </c>
      <c r="C1042" t="s">
        <v>572</v>
      </c>
      <c r="D1042" t="s">
        <v>8</v>
      </c>
      <c r="E1042" t="s">
        <v>745</v>
      </c>
      <c r="F1042" t="s">
        <v>17</v>
      </c>
      <c r="G1042" t="s">
        <v>18</v>
      </c>
      <c r="H1042" t="s">
        <v>746</v>
      </c>
    </row>
    <row r="1043" spans="1:11" x14ac:dyDescent="0.2">
      <c r="A1043" t="s">
        <v>651</v>
      </c>
      <c r="B1043" s="6">
        <v>0.74892000000000003</v>
      </c>
      <c r="C1043" t="s">
        <v>624</v>
      </c>
      <c r="D1043" t="s">
        <v>29</v>
      </c>
      <c r="E1043" t="s">
        <v>634</v>
      </c>
      <c r="F1043" t="s">
        <v>20</v>
      </c>
      <c r="G1043" t="s">
        <v>18</v>
      </c>
      <c r="H1043" t="s">
        <v>653</v>
      </c>
    </row>
    <row r="1044" spans="1:11" x14ac:dyDescent="0.2">
      <c r="A1044" t="s">
        <v>108</v>
      </c>
      <c r="B1044" s="6">
        <v>13.6</v>
      </c>
      <c r="D1044" t="s">
        <v>19</v>
      </c>
      <c r="E1044" t="s">
        <v>112</v>
      </c>
      <c r="F1044" t="s">
        <v>36</v>
      </c>
      <c r="G1044" t="s">
        <v>795</v>
      </c>
    </row>
    <row r="1045" spans="1:11" x14ac:dyDescent="0.2">
      <c r="A1045" t="s">
        <v>1031</v>
      </c>
      <c r="B1045" s="6">
        <f>0.53*(44/12)</f>
        <v>1.9433333333333334</v>
      </c>
      <c r="D1045" t="s">
        <v>8</v>
      </c>
      <c r="E1045" t="s">
        <v>1032</v>
      </c>
      <c r="F1045" t="s">
        <v>36</v>
      </c>
      <c r="G1045" t="s">
        <v>883</v>
      </c>
    </row>
    <row r="1046" spans="1:11" x14ac:dyDescent="0.2">
      <c r="A1046" t="s">
        <v>822</v>
      </c>
      <c r="B1046" s="6">
        <v>1.2409993199999999E-8</v>
      </c>
      <c r="C1046" t="s">
        <v>572</v>
      </c>
      <c r="D1046" t="s">
        <v>8</v>
      </c>
      <c r="E1046" t="s">
        <v>634</v>
      </c>
      <c r="F1046" t="s">
        <v>20</v>
      </c>
      <c r="H1046" t="s">
        <v>823</v>
      </c>
      <c r="K1046" s="6"/>
    </row>
    <row r="1047" spans="1:11" x14ac:dyDescent="0.2">
      <c r="A1047" t="s">
        <v>824</v>
      </c>
      <c r="B1047" s="6">
        <v>4.3965884999999999E-12</v>
      </c>
      <c r="C1047" t="s">
        <v>26</v>
      </c>
      <c r="D1047" t="s">
        <v>8</v>
      </c>
      <c r="E1047" t="s">
        <v>634</v>
      </c>
      <c r="F1047" t="s">
        <v>20</v>
      </c>
      <c r="H1047" t="s">
        <v>825</v>
      </c>
      <c r="K1047" s="6"/>
    </row>
    <row r="1048" spans="1:11" x14ac:dyDescent="0.2">
      <c r="A1048" t="s">
        <v>826</v>
      </c>
      <c r="B1048" s="6">
        <v>5.3739584189999995E-8</v>
      </c>
      <c r="C1048" t="s">
        <v>973</v>
      </c>
      <c r="D1048" t="s">
        <v>8</v>
      </c>
      <c r="E1048" t="s">
        <v>634</v>
      </c>
      <c r="F1048" t="s">
        <v>20</v>
      </c>
      <c r="H1048" t="s">
        <v>827</v>
      </c>
      <c r="K1048" s="6"/>
    </row>
    <row r="1049" spans="1:11" x14ac:dyDescent="0.2">
      <c r="A1049" t="s">
        <v>42</v>
      </c>
      <c r="B1049" s="6">
        <v>9.6835552999999987E-3</v>
      </c>
      <c r="C1049" t="s">
        <v>631</v>
      </c>
      <c r="D1049" t="s">
        <v>8</v>
      </c>
      <c r="E1049" t="s">
        <v>634</v>
      </c>
      <c r="F1049" t="s">
        <v>20</v>
      </c>
      <c r="H1049" t="s">
        <v>43</v>
      </c>
      <c r="K1049" s="6"/>
    </row>
    <row r="1050" spans="1:11" x14ac:dyDescent="0.2">
      <c r="A1050" t="s">
        <v>44</v>
      </c>
      <c r="B1050" s="6">
        <v>9.6835552999999987E-3</v>
      </c>
      <c r="C1050" t="s">
        <v>631</v>
      </c>
      <c r="D1050" t="s">
        <v>8</v>
      </c>
      <c r="E1050" t="s">
        <v>634</v>
      </c>
      <c r="F1050" t="s">
        <v>20</v>
      </c>
      <c r="H1050" t="s">
        <v>45</v>
      </c>
      <c r="K1050" s="6"/>
    </row>
    <row r="1051" spans="1:11" x14ac:dyDescent="0.2">
      <c r="A1051" t="s">
        <v>828</v>
      </c>
      <c r="B1051" s="6">
        <v>1.8320224809999999E-10</v>
      </c>
      <c r="C1051" t="s">
        <v>26</v>
      </c>
      <c r="D1051" t="s">
        <v>8</v>
      </c>
      <c r="E1051" t="s">
        <v>634</v>
      </c>
      <c r="F1051" t="s">
        <v>20</v>
      </c>
      <c r="H1051" t="s">
        <v>829</v>
      </c>
      <c r="K1051" s="6"/>
    </row>
    <row r="1052" spans="1:11" x14ac:dyDescent="0.2">
      <c r="A1052" t="s">
        <v>969</v>
      </c>
      <c r="B1052" s="6">
        <v>2.1529457899999997E-2</v>
      </c>
      <c r="C1052" t="s">
        <v>572</v>
      </c>
      <c r="D1052" t="s">
        <v>8</v>
      </c>
      <c r="E1052" t="s">
        <v>634</v>
      </c>
      <c r="F1052" t="s">
        <v>20</v>
      </c>
      <c r="H1052" t="s">
        <v>970</v>
      </c>
      <c r="K1052" s="6"/>
    </row>
    <row r="1053" spans="1:11" x14ac:dyDescent="0.2">
      <c r="A1053" t="s">
        <v>974</v>
      </c>
      <c r="B1053" s="6">
        <v>54.167076379999997</v>
      </c>
      <c r="C1053" t="s">
        <v>631</v>
      </c>
      <c r="D1053" t="s">
        <v>8</v>
      </c>
      <c r="E1053" t="s">
        <v>634</v>
      </c>
      <c r="F1053" t="s">
        <v>20</v>
      </c>
      <c r="H1053" t="s">
        <v>975</v>
      </c>
      <c r="K1053" s="6"/>
    </row>
    <row r="1054" spans="1:11" x14ac:dyDescent="0.2">
      <c r="A1054" t="s">
        <v>651</v>
      </c>
      <c r="B1054" s="6">
        <v>0.38594857640000002</v>
      </c>
      <c r="C1054" t="s">
        <v>624</v>
      </c>
      <c r="D1054" t="s">
        <v>29</v>
      </c>
      <c r="E1054" t="s">
        <v>634</v>
      </c>
      <c r="F1054" t="s">
        <v>20</v>
      </c>
      <c r="H1054" t="s">
        <v>653</v>
      </c>
      <c r="K1054" s="6"/>
    </row>
    <row r="1056" spans="1:11" ht="16" x14ac:dyDescent="0.2">
      <c r="A1056" s="1" t="s">
        <v>1</v>
      </c>
      <c r="B1056" s="71" t="s">
        <v>887</v>
      </c>
    </row>
    <row r="1057" spans="1:8" x14ac:dyDescent="0.2">
      <c r="A1057" t="s">
        <v>2</v>
      </c>
      <c r="B1057" s="6" t="s">
        <v>572</v>
      </c>
    </row>
    <row r="1058" spans="1:8" x14ac:dyDescent="0.2">
      <c r="A1058" t="s">
        <v>3</v>
      </c>
      <c r="B1058" s="6">
        <v>1</v>
      </c>
    </row>
    <row r="1059" spans="1:8" ht="16" x14ac:dyDescent="0.2">
      <c r="A1059" t="s">
        <v>4</v>
      </c>
      <c r="B1059" s="72" t="s">
        <v>1017</v>
      </c>
    </row>
    <row r="1060" spans="1:8" x14ac:dyDescent="0.2">
      <c r="A1060" t="s">
        <v>5</v>
      </c>
      <c r="B1060" s="6" t="s">
        <v>6</v>
      </c>
    </row>
    <row r="1061" spans="1:8" x14ac:dyDescent="0.2">
      <c r="A1061" t="s">
        <v>7</v>
      </c>
      <c r="B1061" s="6" t="s">
        <v>8</v>
      </c>
    </row>
    <row r="1062" spans="1:8" x14ac:dyDescent="0.2">
      <c r="A1062" t="s">
        <v>9</v>
      </c>
      <c r="B1062" s="6" t="s">
        <v>632</v>
      </c>
    </row>
    <row r="1063" spans="1:8" x14ac:dyDescent="0.2">
      <c r="A1063" t="s">
        <v>497</v>
      </c>
      <c r="B1063" s="70">
        <v>0</v>
      </c>
    </row>
    <row r="1064" spans="1:8" ht="16" x14ac:dyDescent="0.2">
      <c r="A1064" s="1" t="s">
        <v>12</v>
      </c>
    </row>
    <row r="1065" spans="1:8" x14ac:dyDescent="0.2">
      <c r="A1065" t="s">
        <v>13</v>
      </c>
      <c r="B1065" s="6" t="s">
        <v>14</v>
      </c>
      <c r="C1065" t="s">
        <v>2</v>
      </c>
      <c r="D1065" t="s">
        <v>7</v>
      </c>
      <c r="E1065" t="s">
        <v>15</v>
      </c>
      <c r="F1065" t="s">
        <v>5</v>
      </c>
      <c r="G1065" t="s">
        <v>11</v>
      </c>
      <c r="H1065" t="s">
        <v>4</v>
      </c>
    </row>
    <row r="1066" spans="1:8" ht="16" x14ac:dyDescent="0.2">
      <c r="A1066" s="2" t="s">
        <v>887</v>
      </c>
      <c r="B1066" s="6">
        <v>1</v>
      </c>
      <c r="C1066" t="s">
        <v>572</v>
      </c>
      <c r="D1066" t="s">
        <v>8</v>
      </c>
      <c r="E1066" t="s">
        <v>745</v>
      </c>
      <c r="F1066" t="s">
        <v>17</v>
      </c>
      <c r="G1066" t="s">
        <v>18</v>
      </c>
      <c r="H1066" s="72" t="s">
        <v>1017</v>
      </c>
    </row>
    <row r="1067" spans="1:8" x14ac:dyDescent="0.2">
      <c r="A1067" t="s">
        <v>886</v>
      </c>
      <c r="B1067" s="6">
        <v>2.2084524000000001</v>
      </c>
      <c r="C1067" t="s">
        <v>572</v>
      </c>
      <c r="D1067" t="s">
        <v>8</v>
      </c>
      <c r="E1067" t="s">
        <v>634</v>
      </c>
      <c r="F1067" t="s">
        <v>20</v>
      </c>
      <c r="G1067" t="s">
        <v>18</v>
      </c>
      <c r="H1067" t="s">
        <v>746</v>
      </c>
    </row>
    <row r="1068" spans="1:8" x14ac:dyDescent="0.2">
      <c r="A1068" t="s">
        <v>747</v>
      </c>
      <c r="B1068" s="6">
        <v>6.6731592000000006E-2</v>
      </c>
      <c r="C1068" t="s">
        <v>572</v>
      </c>
      <c r="D1068" t="s">
        <v>8</v>
      </c>
      <c r="E1068" t="s">
        <v>634</v>
      </c>
      <c r="F1068" t="s">
        <v>20</v>
      </c>
      <c r="G1068" t="s">
        <v>18</v>
      </c>
      <c r="H1068" t="s">
        <v>748</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1.0994459999999999</v>
      </c>
      <c r="C1070" t="s">
        <v>572</v>
      </c>
      <c r="D1070" t="s">
        <v>19</v>
      </c>
      <c r="E1070" t="s">
        <v>634</v>
      </c>
      <c r="F1070" t="s">
        <v>20</v>
      </c>
      <c r="G1070" t="s">
        <v>18</v>
      </c>
      <c r="H1070" t="s">
        <v>639</v>
      </c>
    </row>
    <row r="1071" spans="1:8" x14ac:dyDescent="0.2">
      <c r="A1071" t="s">
        <v>636</v>
      </c>
      <c r="B1071" s="6">
        <v>0.71703000000000006</v>
      </c>
      <c r="C1071" t="s">
        <v>572</v>
      </c>
      <c r="D1071" t="s">
        <v>19</v>
      </c>
      <c r="E1071" t="s">
        <v>634</v>
      </c>
      <c r="F1071" t="s">
        <v>20</v>
      </c>
      <c r="G1071" t="s">
        <v>18</v>
      </c>
      <c r="H1071" t="s">
        <v>639</v>
      </c>
    </row>
    <row r="1072" spans="1:8" x14ac:dyDescent="0.2">
      <c r="A1072" t="s">
        <v>636</v>
      </c>
      <c r="B1072" s="6">
        <v>2.6728200000000002</v>
      </c>
      <c r="C1072" t="s">
        <v>572</v>
      </c>
      <c r="D1072" t="s">
        <v>19</v>
      </c>
      <c r="E1072" t="s">
        <v>634</v>
      </c>
      <c r="F1072" t="s">
        <v>20</v>
      </c>
      <c r="G1072" t="s">
        <v>18</v>
      </c>
      <c r="H1072" t="s">
        <v>639</v>
      </c>
    </row>
    <row r="1073" spans="1:8" x14ac:dyDescent="0.2">
      <c r="A1073" t="s">
        <v>749</v>
      </c>
      <c r="B1073" s="6">
        <v>1.410159E-3</v>
      </c>
      <c r="C1073" t="s">
        <v>26</v>
      </c>
      <c r="D1073" t="s">
        <v>8</v>
      </c>
      <c r="E1073" t="s">
        <v>634</v>
      </c>
      <c r="F1073" t="s">
        <v>20</v>
      </c>
      <c r="G1073" t="s">
        <v>18</v>
      </c>
      <c r="H1073" t="s">
        <v>750</v>
      </c>
    </row>
    <row r="1074" spans="1:8" x14ac:dyDescent="0.2">
      <c r="A1074" t="s">
        <v>704</v>
      </c>
      <c r="B1074" s="6">
        <v>3.5373480000000001E-3</v>
      </c>
      <c r="C1074" t="s">
        <v>26</v>
      </c>
      <c r="D1074" t="s">
        <v>8</v>
      </c>
      <c r="E1074" t="s">
        <v>634</v>
      </c>
      <c r="F1074" t="s">
        <v>20</v>
      </c>
      <c r="G1074" t="s">
        <v>18</v>
      </c>
      <c r="H1074" t="s">
        <v>706</v>
      </c>
    </row>
    <row r="1075" spans="1:8" x14ac:dyDescent="0.2">
      <c r="A1075" t="s">
        <v>704</v>
      </c>
      <c r="B1075" s="6">
        <v>5.9706000000000009E-2</v>
      </c>
      <c r="C1075" t="s">
        <v>26</v>
      </c>
      <c r="D1075" t="s">
        <v>8</v>
      </c>
      <c r="E1075" t="s">
        <v>634</v>
      </c>
      <c r="F1075" t="s">
        <v>20</v>
      </c>
      <c r="G1075" t="s">
        <v>18</v>
      </c>
      <c r="H1075" t="s">
        <v>706</v>
      </c>
    </row>
    <row r="1076" spans="1:8" x14ac:dyDescent="0.2">
      <c r="A1076" t="s">
        <v>388</v>
      </c>
      <c r="B1076" s="6">
        <v>5.0220000000000004E-3</v>
      </c>
      <c r="C1076" t="s">
        <v>26</v>
      </c>
      <c r="D1076" t="s">
        <v>8</v>
      </c>
      <c r="E1076" t="s">
        <v>634</v>
      </c>
      <c r="F1076" t="s">
        <v>20</v>
      </c>
      <c r="G1076" t="s">
        <v>18</v>
      </c>
      <c r="H1076" t="s">
        <v>389</v>
      </c>
    </row>
    <row r="1077" spans="1:8" x14ac:dyDescent="0.2">
      <c r="A1077" t="s">
        <v>252</v>
      </c>
      <c r="B1077" s="6">
        <v>7.552716000000001E-3</v>
      </c>
      <c r="C1077" t="s">
        <v>572</v>
      </c>
      <c r="D1077" t="s">
        <v>8</v>
      </c>
      <c r="E1077" t="s">
        <v>634</v>
      </c>
      <c r="F1077" t="s">
        <v>20</v>
      </c>
      <c r="G1077" t="s">
        <v>18</v>
      </c>
      <c r="H1077" t="s">
        <v>253</v>
      </c>
    </row>
    <row r="1078" spans="1:8" x14ac:dyDescent="0.2">
      <c r="A1078" t="s">
        <v>976</v>
      </c>
      <c r="B1078" s="6">
        <v>6.6960000000000006E-2</v>
      </c>
      <c r="C1078" t="s">
        <v>572</v>
      </c>
      <c r="D1078" t="s">
        <v>8</v>
      </c>
      <c r="E1078" t="s">
        <v>634</v>
      </c>
      <c r="F1078" t="s">
        <v>20</v>
      </c>
      <c r="G1078" t="s">
        <v>18</v>
      </c>
      <c r="H1078" t="s">
        <v>977</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3.8241599999999994E-2</v>
      </c>
      <c r="C1080" t="s">
        <v>624</v>
      </c>
      <c r="D1080" t="s">
        <v>29</v>
      </c>
      <c r="E1080" t="s">
        <v>634</v>
      </c>
      <c r="F1080" t="s">
        <v>20</v>
      </c>
      <c r="G1080" t="s">
        <v>18</v>
      </c>
      <c r="H1080" t="s">
        <v>653</v>
      </c>
    </row>
    <row r="1081" spans="1:8" x14ac:dyDescent="0.2">
      <c r="A1081" t="s">
        <v>651</v>
      </c>
      <c r="B1081" s="6">
        <v>0.15298500000000001</v>
      </c>
      <c r="C1081" t="s">
        <v>624</v>
      </c>
      <c r="D1081" t="s">
        <v>29</v>
      </c>
      <c r="E1081" t="s">
        <v>634</v>
      </c>
      <c r="F1081" t="s">
        <v>20</v>
      </c>
      <c r="G1081" t="s">
        <v>18</v>
      </c>
      <c r="H1081" t="s">
        <v>653</v>
      </c>
    </row>
    <row r="1082" spans="1:8" x14ac:dyDescent="0.2">
      <c r="A1082" t="s">
        <v>651</v>
      </c>
      <c r="B1082" s="6">
        <v>1.9598819999999999E-2</v>
      </c>
      <c r="C1082" t="s">
        <v>624</v>
      </c>
      <c r="D1082" t="s">
        <v>29</v>
      </c>
      <c r="E1082" t="s">
        <v>634</v>
      </c>
      <c r="F1082" t="s">
        <v>20</v>
      </c>
      <c r="G1082" t="s">
        <v>18</v>
      </c>
      <c r="H1082" t="s">
        <v>653</v>
      </c>
    </row>
    <row r="1083" spans="1:8" x14ac:dyDescent="0.2">
      <c r="A1083" t="s">
        <v>265</v>
      </c>
      <c r="B1083" s="6">
        <f>(B1067*B1045)-Parameters!B16</f>
        <v>1.441759164</v>
      </c>
      <c r="D1083" t="s">
        <v>8</v>
      </c>
      <c r="E1083" t="s">
        <v>37</v>
      </c>
      <c r="F1083" t="s">
        <v>36</v>
      </c>
    </row>
    <row r="1085" spans="1:8" ht="16" x14ac:dyDescent="0.2">
      <c r="A1085" s="1" t="s">
        <v>1</v>
      </c>
      <c r="B1085" s="71" t="s">
        <v>744</v>
      </c>
    </row>
    <row r="1086" spans="1:8" x14ac:dyDescent="0.2">
      <c r="A1086" t="s">
        <v>2</v>
      </c>
      <c r="B1086" s="6" t="s">
        <v>572</v>
      </c>
    </row>
    <row r="1087" spans="1:8" x14ac:dyDescent="0.2">
      <c r="A1087" t="s">
        <v>3</v>
      </c>
      <c r="B1087" s="6">
        <v>1</v>
      </c>
    </row>
    <row r="1088" spans="1:8" ht="16" x14ac:dyDescent="0.2">
      <c r="A1088" t="s">
        <v>4</v>
      </c>
      <c r="B1088" s="72" t="s">
        <v>701</v>
      </c>
    </row>
    <row r="1089" spans="1:11" x14ac:dyDescent="0.2">
      <c r="A1089" t="s">
        <v>9</v>
      </c>
      <c r="B1089" s="6" t="s">
        <v>632</v>
      </c>
    </row>
    <row r="1090" spans="1:11" x14ac:dyDescent="0.2">
      <c r="A1090" t="s">
        <v>5</v>
      </c>
      <c r="B1090" s="6" t="s">
        <v>6</v>
      </c>
    </row>
    <row r="1091" spans="1:11" x14ac:dyDescent="0.2">
      <c r="A1091" t="s">
        <v>7</v>
      </c>
      <c r="B1091" s="6" t="s">
        <v>8</v>
      </c>
    </row>
    <row r="1092" spans="1:11" ht="16" x14ac:dyDescent="0.2">
      <c r="A1092" s="1" t="s">
        <v>12</v>
      </c>
    </row>
    <row r="1093" spans="1:11" x14ac:dyDescent="0.2">
      <c r="A1093" t="s">
        <v>13</v>
      </c>
      <c r="B1093" s="6" t="s">
        <v>14</v>
      </c>
      <c r="C1093" t="s">
        <v>2</v>
      </c>
      <c r="D1093" t="s">
        <v>7</v>
      </c>
      <c r="E1093" t="s">
        <v>15</v>
      </c>
      <c r="F1093" t="s">
        <v>5</v>
      </c>
      <c r="G1093" t="s">
        <v>338</v>
      </c>
      <c r="H1093" t="s">
        <v>339</v>
      </c>
      <c r="I1093" t="s">
        <v>16</v>
      </c>
      <c r="J1093" t="s">
        <v>11</v>
      </c>
      <c r="K1093" t="s">
        <v>4</v>
      </c>
    </row>
    <row r="1094" spans="1:11" x14ac:dyDescent="0.2">
      <c r="A1094" t="s">
        <v>744</v>
      </c>
      <c r="B1094" s="6">
        <v>1</v>
      </c>
      <c r="C1094" t="s">
        <v>572</v>
      </c>
      <c r="D1094" t="s">
        <v>8</v>
      </c>
      <c r="F1094" t="s">
        <v>17</v>
      </c>
      <c r="I1094">
        <v>100</v>
      </c>
      <c r="J1094" t="s">
        <v>18</v>
      </c>
      <c r="K1094" t="s">
        <v>701</v>
      </c>
    </row>
    <row r="1095" spans="1:11" ht="16" x14ac:dyDescent="0.2">
      <c r="A1095" s="2" t="s">
        <v>887</v>
      </c>
      <c r="B1095" s="6">
        <v>1.00057</v>
      </c>
      <c r="C1095" t="s">
        <v>572</v>
      </c>
      <c r="D1095" t="s">
        <v>8</v>
      </c>
      <c r="F1095" t="s">
        <v>20</v>
      </c>
      <c r="K1095" s="72" t="s">
        <v>1017</v>
      </c>
    </row>
    <row r="1096" spans="1:11" x14ac:dyDescent="0.2">
      <c r="A1096" t="s">
        <v>28</v>
      </c>
      <c r="B1096" s="6">
        <v>6.7000000000000002E-3</v>
      </c>
      <c r="C1096" t="s">
        <v>572</v>
      </c>
      <c r="D1096" t="s">
        <v>29</v>
      </c>
      <c r="F1096" t="s">
        <v>20</v>
      </c>
      <c r="K1096" t="s">
        <v>30</v>
      </c>
    </row>
    <row r="1097" spans="1:11" x14ac:dyDescent="0.2">
      <c r="A1097" t="s">
        <v>340</v>
      </c>
      <c r="B1097" s="6">
        <v>-1.6799999999999999E-4</v>
      </c>
      <c r="C1097" t="s">
        <v>624</v>
      </c>
      <c r="D1097" t="s">
        <v>8</v>
      </c>
      <c r="F1097" t="s">
        <v>20</v>
      </c>
      <c r="K1097" t="s">
        <v>341</v>
      </c>
    </row>
    <row r="1098" spans="1:11" x14ac:dyDescent="0.2">
      <c r="A1098" t="s">
        <v>342</v>
      </c>
      <c r="B1098" s="6">
        <v>5.8399999999999999E-4</v>
      </c>
      <c r="C1098" t="s">
        <v>631</v>
      </c>
      <c r="D1098" t="s">
        <v>19</v>
      </c>
      <c r="F1098" t="s">
        <v>20</v>
      </c>
      <c r="K1098" t="s">
        <v>343</v>
      </c>
    </row>
    <row r="1099" spans="1:11" x14ac:dyDescent="0.2">
      <c r="A1099" t="s">
        <v>344</v>
      </c>
      <c r="B1099" s="6">
        <v>2.5999999999999998E-10</v>
      </c>
      <c r="C1099" t="s">
        <v>572</v>
      </c>
      <c r="D1099" t="s">
        <v>7</v>
      </c>
      <c r="F1099" t="s">
        <v>20</v>
      </c>
      <c r="K1099" t="s">
        <v>345</v>
      </c>
    </row>
    <row r="1100" spans="1:11" x14ac:dyDescent="0.2">
      <c r="A1100" t="s">
        <v>346</v>
      </c>
      <c r="B1100" s="6">
        <v>-6.2700000000000001E-6</v>
      </c>
      <c r="C1100" t="s">
        <v>631</v>
      </c>
      <c r="D1100" t="s">
        <v>8</v>
      </c>
      <c r="F1100" t="s">
        <v>20</v>
      </c>
      <c r="K1100" t="s">
        <v>347</v>
      </c>
    </row>
    <row r="1101" spans="1:11" x14ac:dyDescent="0.2">
      <c r="A1101" t="s">
        <v>348</v>
      </c>
      <c r="B1101" s="6">
        <v>-7.4999999999999993E-5</v>
      </c>
      <c r="C1101" t="s">
        <v>624</v>
      </c>
      <c r="D1101" t="s">
        <v>121</v>
      </c>
      <c r="F1101" t="s">
        <v>20</v>
      </c>
      <c r="K1101" t="s">
        <v>349</v>
      </c>
    </row>
    <row r="1102" spans="1:11" x14ac:dyDescent="0.2">
      <c r="A1102" t="s">
        <v>350</v>
      </c>
      <c r="B1102" s="6">
        <v>6.8900000000000005E-4</v>
      </c>
      <c r="C1102" t="s">
        <v>624</v>
      </c>
      <c r="D1102" t="s">
        <v>8</v>
      </c>
      <c r="F1102" t="s">
        <v>20</v>
      </c>
      <c r="K1102" t="s">
        <v>351</v>
      </c>
    </row>
    <row r="1103" spans="1:11" x14ac:dyDescent="0.2">
      <c r="A1103" t="s">
        <v>100</v>
      </c>
      <c r="B1103" s="6">
        <v>3.3599999999999998E-2</v>
      </c>
      <c r="C1103" t="s">
        <v>624</v>
      </c>
      <c r="D1103" t="s">
        <v>41</v>
      </c>
      <c r="F1103" t="s">
        <v>20</v>
      </c>
      <c r="K1103" t="s">
        <v>103</v>
      </c>
    </row>
    <row r="1104" spans="1:11" x14ac:dyDescent="0.2">
      <c r="A1104" t="s">
        <v>352</v>
      </c>
      <c r="B1104" s="6">
        <v>3.2599999999999997E-2</v>
      </c>
      <c r="C1104" t="s">
        <v>572</v>
      </c>
      <c r="D1104" t="s">
        <v>41</v>
      </c>
      <c r="F1104" t="s">
        <v>20</v>
      </c>
      <c r="K1104" t="s">
        <v>353</v>
      </c>
    </row>
    <row r="1105" spans="1:11" x14ac:dyDescent="0.2">
      <c r="A1105" t="s">
        <v>354</v>
      </c>
      <c r="B1105" s="6">
        <v>-6.8899999999999999E-7</v>
      </c>
      <c r="C1105" t="s">
        <v>624</v>
      </c>
      <c r="D1105" t="s">
        <v>121</v>
      </c>
      <c r="F1105" t="s">
        <v>20</v>
      </c>
      <c r="K1105" t="s">
        <v>355</v>
      </c>
    </row>
  </sheetData>
  <autoFilter ref="A1:N1105"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B28" sqref="B28"/>
    </sheetView>
  </sheetViews>
  <sheetFormatPr baseColWidth="10" defaultRowHeight="15" x14ac:dyDescent="0.2"/>
  <cols>
    <col min="1" max="1" width="75" customWidth="1"/>
  </cols>
  <sheetData>
    <row r="2" spans="1:8" ht="16" x14ac:dyDescent="0.2">
      <c r="A2" s="1" t="s">
        <v>1</v>
      </c>
      <c r="B2" s="71" t="s">
        <v>1113</v>
      </c>
    </row>
    <row r="3" spans="1:8" x14ac:dyDescent="0.2">
      <c r="A3" t="s">
        <v>2</v>
      </c>
      <c r="B3" s="6" t="s">
        <v>572</v>
      </c>
    </row>
    <row r="4" spans="1:8" x14ac:dyDescent="0.2">
      <c r="A4" t="s">
        <v>3</v>
      </c>
      <c r="B4" s="5">
        <v>1</v>
      </c>
    </row>
    <row r="5" spans="1:8" ht="16" x14ac:dyDescent="0.2">
      <c r="A5" t="s">
        <v>4</v>
      </c>
      <c r="B5" s="72" t="s">
        <v>1013</v>
      </c>
    </row>
    <row r="6" spans="1:8" x14ac:dyDescent="0.2">
      <c r="A6" t="s">
        <v>5</v>
      </c>
      <c r="B6" s="5" t="s">
        <v>6</v>
      </c>
    </row>
    <row r="7" spans="1:8" x14ac:dyDescent="0.2">
      <c r="A7" t="s">
        <v>7</v>
      </c>
      <c r="B7" s="5" t="s">
        <v>8</v>
      </c>
    </row>
    <row r="8" spans="1:8" x14ac:dyDescent="0.2">
      <c r="A8" t="s">
        <v>9</v>
      </c>
      <c r="B8" s="6" t="s">
        <v>1137</v>
      </c>
    </row>
    <row r="9" spans="1:8" x14ac:dyDescent="0.2">
      <c r="A9" t="s">
        <v>11</v>
      </c>
      <c r="B9" s="5" t="s">
        <v>1110</v>
      </c>
    </row>
    <row r="10" spans="1:8" x14ac:dyDescent="0.2">
      <c r="A10" t="s">
        <v>1114</v>
      </c>
      <c r="B10" s="5"/>
    </row>
    <row r="11" spans="1:8" x14ac:dyDescent="0.2">
      <c r="A11" t="s">
        <v>1115</v>
      </c>
      <c r="B11" s="5"/>
    </row>
    <row r="12" spans="1:8" x14ac:dyDescent="0.2">
      <c r="A12" t="s">
        <v>497</v>
      </c>
      <c r="B12" s="79">
        <v>0.31900000000000001</v>
      </c>
    </row>
    <row r="13" spans="1:8" x14ac:dyDescent="0.2">
      <c r="A13" t="s">
        <v>1112</v>
      </c>
      <c r="B13" s="29">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1113</v>
      </c>
      <c r="B16" s="3">
        <v>1</v>
      </c>
      <c r="C16" t="s">
        <v>572</v>
      </c>
      <c r="D16" t="s">
        <v>8</v>
      </c>
      <c r="F16" t="s">
        <v>17</v>
      </c>
      <c r="G16" t="s">
        <v>18</v>
      </c>
      <c r="H16" s="72" t="s">
        <v>1013</v>
      </c>
    </row>
    <row r="17" spans="1:8" x14ac:dyDescent="0.2">
      <c r="A17" t="s">
        <v>69</v>
      </c>
      <c r="B17" s="3">
        <f>1000*$B$13*(Parameters!$B$5/7059)</f>
        <v>3.901221594640746</v>
      </c>
      <c r="C17" t="s">
        <v>572</v>
      </c>
      <c r="D17" t="s">
        <v>8</v>
      </c>
      <c r="F17" t="s">
        <v>20</v>
      </c>
      <c r="H17" s="6" t="s">
        <v>866</v>
      </c>
    </row>
    <row r="18" spans="1:8" ht="17" x14ac:dyDescent="0.2">
      <c r="A18" s="68" t="s">
        <v>617</v>
      </c>
      <c r="B18" s="3">
        <f>6.9*$B$13*(Parameters!$B$5/7059)</f>
        <v>2.691842900302115E-2</v>
      </c>
      <c r="C18" t="s">
        <v>26</v>
      </c>
      <c r="D18" t="s">
        <v>8</v>
      </c>
      <c r="F18" t="s">
        <v>20</v>
      </c>
      <c r="H18" s="68"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68" t="s">
        <v>615</v>
      </c>
      <c r="B23" s="3">
        <f>1.7*$B$13*(Parameters!$B$5/7059)</f>
        <v>6.6320767108892682E-3</v>
      </c>
      <c r="C23" t="s">
        <v>572</v>
      </c>
      <c r="D23" t="s">
        <v>8</v>
      </c>
      <c r="F23" t="s">
        <v>20</v>
      </c>
      <c r="H23" s="69" t="s">
        <v>616</v>
      </c>
    </row>
    <row r="24" spans="1:8" x14ac:dyDescent="0.2">
      <c r="A24" t="s">
        <v>1108</v>
      </c>
      <c r="B24" s="3">
        <f>(0.5+13.9)*$B$13*(Parameters!$B$5/7059)</f>
        <v>5.6177590962826741E-2</v>
      </c>
      <c r="C24" t="s">
        <v>26</v>
      </c>
      <c r="D24" t="s">
        <v>8</v>
      </c>
      <c r="F24" t="s">
        <v>20</v>
      </c>
      <c r="H24" t="s">
        <v>1109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1111</v>
      </c>
      <c r="B27" s="3">
        <f>0.0000037*$B$13*(Parameters!$B$5/7059)</f>
        <v>1.4434519900170761E-8</v>
      </c>
      <c r="C27" t="s">
        <v>572</v>
      </c>
      <c r="D27" t="s">
        <v>7</v>
      </c>
      <c r="F27" t="s">
        <v>20</v>
      </c>
      <c r="H27" t="s">
        <v>1111</v>
      </c>
    </row>
    <row r="28" spans="1:8" x14ac:dyDescent="0.2">
      <c r="A28" t="s">
        <v>265</v>
      </c>
      <c r="B28" s="3">
        <f>('Cavalett &amp; Cherubini 2022'!B17*'Cozzolini 2018'!$B$566)-Parameters!$B$15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71" t="s">
        <v>1116</v>
      </c>
    </row>
    <row r="39" spans="1:6" x14ac:dyDescent="0.2">
      <c r="A39" t="s">
        <v>2</v>
      </c>
      <c r="B39" s="6" t="s">
        <v>572</v>
      </c>
    </row>
    <row r="40" spans="1:6" x14ac:dyDescent="0.2">
      <c r="A40" t="s">
        <v>3</v>
      </c>
      <c r="B40" s="5">
        <v>1</v>
      </c>
    </row>
    <row r="41" spans="1:6" ht="16" x14ac:dyDescent="0.2">
      <c r="A41" t="s">
        <v>4</v>
      </c>
      <c r="B41" s="72" t="s">
        <v>1013</v>
      </c>
    </row>
    <row r="42" spans="1:6" x14ac:dyDescent="0.2">
      <c r="A42" t="s">
        <v>5</v>
      </c>
      <c r="B42" s="5" t="s">
        <v>6</v>
      </c>
    </row>
    <row r="43" spans="1:6" x14ac:dyDescent="0.2">
      <c r="A43" t="s">
        <v>7</v>
      </c>
      <c r="B43" s="5" t="s">
        <v>8</v>
      </c>
    </row>
    <row r="44" spans="1:6" x14ac:dyDescent="0.2">
      <c r="A44" t="s">
        <v>9</v>
      </c>
      <c r="B44" s="6" t="s">
        <v>1137</v>
      </c>
    </row>
    <row r="45" spans="1:6" x14ac:dyDescent="0.2">
      <c r="A45" t="s">
        <v>11</v>
      </c>
      <c r="B45" s="5" t="s">
        <v>1110</v>
      </c>
    </row>
    <row r="46" spans="1:6" x14ac:dyDescent="0.2">
      <c r="A46" t="s">
        <v>1114</v>
      </c>
      <c r="B46" s="5"/>
    </row>
    <row r="47" spans="1:6" x14ac:dyDescent="0.2">
      <c r="A47" t="s">
        <v>1115</v>
      </c>
      <c r="B47" s="5"/>
    </row>
    <row r="48" spans="1:6" x14ac:dyDescent="0.2">
      <c r="A48" t="s">
        <v>497</v>
      </c>
      <c r="B48" s="79">
        <v>0.31900000000000001</v>
      </c>
    </row>
    <row r="49" spans="1:8" x14ac:dyDescent="0.2">
      <c r="A49" t="s">
        <v>1112</v>
      </c>
      <c r="B49" s="29">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1116</v>
      </c>
      <c r="B52" s="3">
        <v>1</v>
      </c>
      <c r="C52" t="s">
        <v>572</v>
      </c>
      <c r="D52" t="s">
        <v>8</v>
      </c>
      <c r="F52" t="s">
        <v>17</v>
      </c>
      <c r="G52" t="s">
        <v>18</v>
      </c>
      <c r="H52" s="72" t="s">
        <v>1013</v>
      </c>
    </row>
    <row r="53" spans="1:8" x14ac:dyDescent="0.2">
      <c r="A53" t="s">
        <v>1117</v>
      </c>
      <c r="B53" s="3">
        <f>1000*$B$49*(Parameters!$B$5/7059)</f>
        <v>3.901221594640746</v>
      </c>
      <c r="C53" t="s">
        <v>572</v>
      </c>
      <c r="D53" t="s">
        <v>8</v>
      </c>
      <c r="F53" t="s">
        <v>20</v>
      </c>
      <c r="H53" t="s">
        <v>1118</v>
      </c>
    </row>
    <row r="54" spans="1:8" ht="17" x14ac:dyDescent="0.2">
      <c r="A54" s="68" t="s">
        <v>617</v>
      </c>
      <c r="B54" s="3">
        <f>6.9*$B$49*(Parameters!$B$5/7059)</f>
        <v>2.691842900302115E-2</v>
      </c>
      <c r="C54" t="s">
        <v>26</v>
      </c>
      <c r="D54" t="s">
        <v>8</v>
      </c>
      <c r="F54" t="s">
        <v>20</v>
      </c>
      <c r="H54" s="68"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68" t="s">
        <v>615</v>
      </c>
      <c r="B59" s="3">
        <f>1.7*$B$49*(Parameters!$B$5/7059)</f>
        <v>6.6320767108892682E-3</v>
      </c>
      <c r="C59" t="s">
        <v>572</v>
      </c>
      <c r="D59" t="s">
        <v>8</v>
      </c>
      <c r="F59" t="s">
        <v>20</v>
      </c>
      <c r="H59" s="69" t="s">
        <v>616</v>
      </c>
    </row>
    <row r="60" spans="1:8" x14ac:dyDescent="0.2">
      <c r="A60" t="s">
        <v>1108</v>
      </c>
      <c r="B60" s="3">
        <f>(0.5+13.9)*$B$49*(Parameters!$B$5/7059)</f>
        <v>5.6177590962826741E-2</v>
      </c>
      <c r="C60" t="s">
        <v>26</v>
      </c>
      <c r="D60" t="s">
        <v>8</v>
      </c>
      <c r="F60" t="s">
        <v>20</v>
      </c>
      <c r="H60" t="s">
        <v>1109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1111</v>
      </c>
      <c r="B63" s="3">
        <f>0.0000037*$B$49*(Parameters!$B$5/7059)</f>
        <v>1.4434519900170761E-8</v>
      </c>
      <c r="C63" t="s">
        <v>572</v>
      </c>
      <c r="D63" t="s">
        <v>7</v>
      </c>
      <c r="F63" t="s">
        <v>20</v>
      </c>
      <c r="H63" t="s">
        <v>1111</v>
      </c>
    </row>
    <row r="64" spans="1:8" x14ac:dyDescent="0.2">
      <c r="A64" t="s">
        <v>265</v>
      </c>
      <c r="B64" s="3">
        <f>('Cavalett &amp; Cherubini 2022'!B53*'Cozzolini 2018'!$B$566)-Parameters!$B$15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71" t="s">
        <v>1119</v>
      </c>
    </row>
    <row r="75" spans="1:6" x14ac:dyDescent="0.2">
      <c r="A75" t="s">
        <v>2</v>
      </c>
      <c r="B75" s="6" t="s">
        <v>572</v>
      </c>
    </row>
    <row r="76" spans="1:6" x14ac:dyDescent="0.2">
      <c r="A76" t="s">
        <v>3</v>
      </c>
      <c r="B76" s="5">
        <v>1</v>
      </c>
    </row>
    <row r="77" spans="1:6" ht="16" x14ac:dyDescent="0.2">
      <c r="A77" t="s">
        <v>4</v>
      </c>
      <c r="B77" s="80" t="s">
        <v>1120</v>
      </c>
    </row>
    <row r="78" spans="1:6" x14ac:dyDescent="0.2">
      <c r="A78" t="s">
        <v>5</v>
      </c>
      <c r="B78" s="5" t="s">
        <v>6</v>
      </c>
    </row>
    <row r="79" spans="1:6" x14ac:dyDescent="0.2">
      <c r="A79" t="s">
        <v>7</v>
      </c>
      <c r="B79" s="5" t="s">
        <v>8</v>
      </c>
    </row>
    <row r="80" spans="1:6" x14ac:dyDescent="0.2">
      <c r="A80" t="s">
        <v>9</v>
      </c>
      <c r="B80" s="6" t="s">
        <v>1137</v>
      </c>
    </row>
    <row r="81" spans="1:8" x14ac:dyDescent="0.2">
      <c r="A81" t="s">
        <v>11</v>
      </c>
      <c r="B81" s="5"/>
    </row>
    <row r="82" spans="1:8" x14ac:dyDescent="0.2">
      <c r="A82" t="s">
        <v>1114</v>
      </c>
      <c r="B82" s="5"/>
    </row>
    <row r="83" spans="1:8" x14ac:dyDescent="0.2">
      <c r="A83" t="s">
        <v>1115</v>
      </c>
      <c r="B83" s="5"/>
    </row>
    <row r="84" spans="1:8" x14ac:dyDescent="0.2">
      <c r="A84" t="s">
        <v>497</v>
      </c>
      <c r="B84" s="79"/>
    </row>
    <row r="85" spans="1:8" x14ac:dyDescent="0.2">
      <c r="A85" t="s">
        <v>1121</v>
      </c>
      <c r="B85" s="29">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1119</v>
      </c>
      <c r="B88" s="3">
        <v>1</v>
      </c>
      <c r="C88" t="s">
        <v>572</v>
      </c>
      <c r="D88" t="s">
        <v>8</v>
      </c>
      <c r="F88" t="s">
        <v>17</v>
      </c>
      <c r="G88" t="s">
        <v>18</v>
      </c>
      <c r="H88" s="80" t="s">
        <v>1120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1122</v>
      </c>
      <c r="B94" s="3">
        <f>1.1*$B$85*(Parameters!B6/5728)</f>
        <v>4.190047102191276E-3</v>
      </c>
      <c r="C94" t="s">
        <v>26</v>
      </c>
      <c r="D94" t="s">
        <v>8</v>
      </c>
      <c r="F94" t="s">
        <v>20</v>
      </c>
      <c r="H94" t="s">
        <v>1123</v>
      </c>
    </row>
    <row r="95" spans="1:8" x14ac:dyDescent="0.2">
      <c r="A95" t="s">
        <v>1124</v>
      </c>
      <c r="B95" s="3">
        <f>6.8*$B$85*(Parameters!B6/5728)</f>
        <v>2.5902109359000614E-2</v>
      </c>
      <c r="C95" t="s">
        <v>26</v>
      </c>
      <c r="D95" t="s">
        <v>8</v>
      </c>
      <c r="F95" t="s">
        <v>20</v>
      </c>
      <c r="H95" t="s">
        <v>1125</v>
      </c>
    </row>
    <row r="96" spans="1:8" x14ac:dyDescent="0.2">
      <c r="A96" t="s">
        <v>1126</v>
      </c>
      <c r="B96" s="3">
        <f>0.00000102*$B$85*(Parameters!B6/5728)</f>
        <v>3.885316403850092E-9</v>
      </c>
      <c r="C96" t="s">
        <v>26</v>
      </c>
      <c r="D96" t="s">
        <v>7</v>
      </c>
      <c r="F96" t="s">
        <v>20</v>
      </c>
      <c r="H96" t="s">
        <v>1127</v>
      </c>
    </row>
    <row r="97" spans="1:8" x14ac:dyDescent="0.2">
      <c r="A97" t="s">
        <v>1128</v>
      </c>
      <c r="B97" s="3">
        <f>0.000000503*$B$85*(Parameters!B6/5728)</f>
        <v>1.9159942658201922E-9</v>
      </c>
      <c r="C97" t="s">
        <v>26</v>
      </c>
      <c r="D97" t="s">
        <v>7</v>
      </c>
      <c r="F97" t="s">
        <v>20</v>
      </c>
      <c r="H97" t="s">
        <v>1129</v>
      </c>
    </row>
    <row r="98" spans="1:8" x14ac:dyDescent="0.2">
      <c r="A98" t="s">
        <v>265</v>
      </c>
      <c r="B98" s="3">
        <f>('Cavalett &amp; Cherubini 2022'!B89*'Cozzolini 2018'!$B$566)-Parameters!$B$16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71" t="s">
        <v>1139</v>
      </c>
    </row>
    <row r="107" spans="1:8" x14ac:dyDescent="0.2">
      <c r="A107" t="s">
        <v>2</v>
      </c>
      <c r="B107" s="6" t="s">
        <v>572</v>
      </c>
    </row>
    <row r="108" spans="1:8" x14ac:dyDescent="0.2">
      <c r="A108" t="s">
        <v>3</v>
      </c>
      <c r="B108" s="5">
        <v>1</v>
      </c>
    </row>
    <row r="109" spans="1:8" ht="16" x14ac:dyDescent="0.2">
      <c r="A109" t="s">
        <v>4</v>
      </c>
      <c r="B109" s="80" t="s">
        <v>1120</v>
      </c>
    </row>
    <row r="110" spans="1:8" x14ac:dyDescent="0.2">
      <c r="A110" t="s">
        <v>5</v>
      </c>
      <c r="B110" s="5" t="s">
        <v>6</v>
      </c>
    </row>
    <row r="111" spans="1:8" x14ac:dyDescent="0.2">
      <c r="A111" t="s">
        <v>7</v>
      </c>
      <c r="B111" s="5" t="s">
        <v>8</v>
      </c>
    </row>
    <row r="112" spans="1:8" x14ac:dyDescent="0.2">
      <c r="A112" t="s">
        <v>9</v>
      </c>
      <c r="B112" s="6" t="s">
        <v>1137</v>
      </c>
    </row>
    <row r="113" spans="1:8" x14ac:dyDescent="0.2">
      <c r="A113" t="s">
        <v>11</v>
      </c>
      <c r="B113" s="5"/>
    </row>
    <row r="114" spans="1:8" x14ac:dyDescent="0.2">
      <c r="A114" t="s">
        <v>1114</v>
      </c>
      <c r="B114" s="5"/>
    </row>
    <row r="115" spans="1:8" x14ac:dyDescent="0.2">
      <c r="A115" t="s">
        <v>1115</v>
      </c>
      <c r="B115" s="5"/>
    </row>
    <row r="116" spans="1:8" x14ac:dyDescent="0.2">
      <c r="A116" t="s">
        <v>497</v>
      </c>
      <c r="B116" s="79"/>
    </row>
    <row r="117" spans="1:8" x14ac:dyDescent="0.2">
      <c r="A117" t="s">
        <v>1121</v>
      </c>
      <c r="B117" s="29">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1119</v>
      </c>
      <c r="B120" s="3">
        <v>1</v>
      </c>
      <c r="C120" t="s">
        <v>572</v>
      </c>
      <c r="D120" t="s">
        <v>8</v>
      </c>
      <c r="F120" t="s">
        <v>17</v>
      </c>
      <c r="G120" t="s">
        <v>18</v>
      </c>
      <c r="H120" s="80" t="s">
        <v>1120</v>
      </c>
    </row>
    <row r="121" spans="1:8" x14ac:dyDescent="0.2">
      <c r="A121" t="s">
        <v>1117</v>
      </c>
      <c r="B121" s="3">
        <f>1000*$B$117*(Parameters!B6/5728)</f>
        <v>3.8091337292647962</v>
      </c>
      <c r="C121" t="s">
        <v>572</v>
      </c>
      <c r="D121" t="s">
        <v>8</v>
      </c>
      <c r="F121" t="s">
        <v>20</v>
      </c>
      <c r="H121" t="s">
        <v>1118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1122</v>
      </c>
      <c r="B126" s="3">
        <f>1.1*$B$117*(Parameters!B6/5728)</f>
        <v>4.190047102191276E-3</v>
      </c>
      <c r="C126" t="s">
        <v>26</v>
      </c>
      <c r="D126" t="s">
        <v>8</v>
      </c>
      <c r="F126" t="s">
        <v>20</v>
      </c>
      <c r="H126" t="s">
        <v>1123</v>
      </c>
    </row>
    <row r="127" spans="1:8" x14ac:dyDescent="0.2">
      <c r="A127" t="s">
        <v>1124</v>
      </c>
      <c r="B127" s="3">
        <f>6.8*$B$117*(Parameters!B6/5728)</f>
        <v>2.5902109359000614E-2</v>
      </c>
      <c r="C127" t="s">
        <v>26</v>
      </c>
      <c r="D127" t="s">
        <v>8</v>
      </c>
      <c r="F127" t="s">
        <v>20</v>
      </c>
      <c r="H127" t="s">
        <v>1125</v>
      </c>
    </row>
    <row r="128" spans="1:8" x14ac:dyDescent="0.2">
      <c r="A128" t="s">
        <v>1126</v>
      </c>
      <c r="B128" s="3">
        <f>0.00000102*$B$117*(Parameters!B6/5728)</f>
        <v>3.885316403850092E-9</v>
      </c>
      <c r="C128" t="s">
        <v>26</v>
      </c>
      <c r="D128" t="s">
        <v>7</v>
      </c>
      <c r="F128" t="s">
        <v>20</v>
      </c>
      <c r="H128" t="s">
        <v>1127</v>
      </c>
    </row>
    <row r="129" spans="1:8" x14ac:dyDescent="0.2">
      <c r="A129" t="s">
        <v>1128</v>
      </c>
      <c r="B129" s="3">
        <f>0.000000503*$B$117*(Parameters!B6/5728)</f>
        <v>1.9159942658201922E-9</v>
      </c>
      <c r="C129" t="s">
        <v>26</v>
      </c>
      <c r="D129" t="s">
        <v>7</v>
      </c>
      <c r="F129" t="s">
        <v>20</v>
      </c>
      <c r="H129" t="s">
        <v>1129</v>
      </c>
    </row>
    <row r="130" spans="1:8" x14ac:dyDescent="0.2">
      <c r="A130" t="s">
        <v>265</v>
      </c>
      <c r="B130" s="3">
        <f>('Cavalett &amp; Cherubini 2022'!B121*'Cozzolini 2018'!$B$566)-Parameters!$B$16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71" t="s">
        <v>1131</v>
      </c>
    </row>
    <row r="140" spans="1:8" x14ac:dyDescent="0.2">
      <c r="A140" t="s">
        <v>2</v>
      </c>
      <c r="B140" s="6" t="s">
        <v>572</v>
      </c>
    </row>
    <row r="141" spans="1:8" x14ac:dyDescent="0.2">
      <c r="A141" t="s">
        <v>3</v>
      </c>
      <c r="B141" s="5">
        <v>1</v>
      </c>
    </row>
    <row r="142" spans="1:8" ht="16" x14ac:dyDescent="0.2">
      <c r="A142" t="s">
        <v>4</v>
      </c>
      <c r="B142" s="80" t="s">
        <v>1132</v>
      </c>
    </row>
    <row r="143" spans="1:8" x14ac:dyDescent="0.2">
      <c r="A143" t="s">
        <v>5</v>
      </c>
      <c r="B143" s="5" t="s">
        <v>6</v>
      </c>
    </row>
    <row r="144" spans="1:8" x14ac:dyDescent="0.2">
      <c r="A144" t="s">
        <v>7</v>
      </c>
      <c r="B144" s="5" t="s">
        <v>8</v>
      </c>
    </row>
    <row r="145" spans="1:8" x14ac:dyDescent="0.2">
      <c r="A145" t="s">
        <v>9</v>
      </c>
      <c r="B145" s="6" t="s">
        <v>1137</v>
      </c>
    </row>
    <row r="146" spans="1:8" x14ac:dyDescent="0.2">
      <c r="A146" t="s">
        <v>11</v>
      </c>
      <c r="B146" s="5" t="s">
        <v>1136</v>
      </c>
    </row>
    <row r="147" spans="1:8" x14ac:dyDescent="0.2">
      <c r="A147" t="s">
        <v>1114</v>
      </c>
      <c r="B147" s="5"/>
    </row>
    <row r="148" spans="1:8" x14ac:dyDescent="0.2">
      <c r="A148" t="s">
        <v>1115</v>
      </c>
      <c r="B148" s="5"/>
    </row>
    <row r="149" spans="1:8" x14ac:dyDescent="0.2">
      <c r="A149" t="s">
        <v>497</v>
      </c>
      <c r="B149" s="79"/>
    </row>
    <row r="150" spans="1:8" x14ac:dyDescent="0.2">
      <c r="A150" t="s">
        <v>1133</v>
      </c>
      <c r="B150" s="29">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1131</v>
      </c>
      <c r="B153" s="3">
        <v>1</v>
      </c>
      <c r="C153" t="s">
        <v>572</v>
      </c>
      <c r="D153" t="s">
        <v>8</v>
      </c>
      <c r="F153" t="s">
        <v>17</v>
      </c>
      <c r="G153" t="s">
        <v>18</v>
      </c>
      <c r="H153" s="80" t="s">
        <v>1132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1122</v>
      </c>
      <c r="B159" s="3">
        <f>1.1*$B$150*(Parameters!B7/5728)</f>
        <v>2.1341786062007398E-3</v>
      </c>
      <c r="C159" t="s">
        <v>26</v>
      </c>
      <c r="D159" t="s">
        <v>8</v>
      </c>
      <c r="F159" t="s">
        <v>20</v>
      </c>
      <c r="H159" t="s">
        <v>1123</v>
      </c>
    </row>
    <row r="160" spans="1:8" x14ac:dyDescent="0.2">
      <c r="A160" t="s">
        <v>1124</v>
      </c>
      <c r="B160" s="3">
        <f>6.8*$B$150*(Parameters!B7/5728)</f>
        <v>1.3193104111059116E-2</v>
      </c>
      <c r="C160" t="s">
        <v>26</v>
      </c>
      <c r="D160" t="s">
        <v>8</v>
      </c>
      <c r="F160" t="s">
        <v>20</v>
      </c>
      <c r="H160" t="s">
        <v>1125</v>
      </c>
    </row>
    <row r="161" spans="1:8" x14ac:dyDescent="0.2">
      <c r="A161" t="s">
        <v>1126</v>
      </c>
      <c r="B161" s="3">
        <f>0.00000102*$B$150*(Parameters!B7/5728)</f>
        <v>1.9789656166588675E-9</v>
      </c>
      <c r="C161" t="s">
        <v>26</v>
      </c>
      <c r="D161" t="s">
        <v>7</v>
      </c>
      <c r="F161" t="s">
        <v>20</v>
      </c>
      <c r="H161" t="s">
        <v>1127</v>
      </c>
    </row>
    <row r="162" spans="1:8" x14ac:dyDescent="0.2">
      <c r="A162" t="s">
        <v>1128</v>
      </c>
      <c r="B162" s="3">
        <f>0.000000503*$B$150*(Parameters!B7/5728)</f>
        <v>9.7590167174451989E-10</v>
      </c>
      <c r="C162" t="s">
        <v>26</v>
      </c>
      <c r="D162" t="s">
        <v>7</v>
      </c>
      <c r="F162" t="s">
        <v>20</v>
      </c>
      <c r="H162" t="s">
        <v>1129</v>
      </c>
    </row>
    <row r="163" spans="1:8" x14ac:dyDescent="0.2">
      <c r="A163" t="s">
        <v>265</v>
      </c>
      <c r="B163" s="3">
        <f>('Cavalett &amp; Cherubini 2022'!B154*'Cozzolini 2018'!$B$566)-Parameters!$B$17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71" t="s">
        <v>1135</v>
      </c>
    </row>
    <row r="172" spans="1:8" x14ac:dyDescent="0.2">
      <c r="A172" t="s">
        <v>2</v>
      </c>
      <c r="B172" s="6" t="s">
        <v>572</v>
      </c>
    </row>
    <row r="173" spans="1:8" x14ac:dyDescent="0.2">
      <c r="A173" t="s">
        <v>3</v>
      </c>
      <c r="B173" s="5">
        <v>1</v>
      </c>
    </row>
    <row r="174" spans="1:8" ht="16" x14ac:dyDescent="0.2">
      <c r="A174" t="s">
        <v>4</v>
      </c>
      <c r="B174" s="80" t="s">
        <v>1132</v>
      </c>
    </row>
    <row r="175" spans="1:8" x14ac:dyDescent="0.2">
      <c r="A175" t="s">
        <v>5</v>
      </c>
      <c r="B175" s="5" t="s">
        <v>6</v>
      </c>
    </row>
    <row r="176" spans="1:8" x14ac:dyDescent="0.2">
      <c r="A176" t="s">
        <v>7</v>
      </c>
      <c r="B176" s="5" t="s">
        <v>8</v>
      </c>
    </row>
    <row r="177" spans="1:8" x14ac:dyDescent="0.2">
      <c r="A177" t="s">
        <v>9</v>
      </c>
      <c r="B177" s="6" t="s">
        <v>1137</v>
      </c>
    </row>
    <row r="178" spans="1:8" x14ac:dyDescent="0.2">
      <c r="A178" t="s">
        <v>11</v>
      </c>
      <c r="B178" s="5"/>
    </row>
    <row r="179" spans="1:8" x14ac:dyDescent="0.2">
      <c r="A179" t="s">
        <v>1114</v>
      </c>
      <c r="B179" s="5"/>
    </row>
    <row r="180" spans="1:8" x14ac:dyDescent="0.2">
      <c r="A180" t="s">
        <v>1115</v>
      </c>
      <c r="B180" s="5"/>
    </row>
    <row r="181" spans="1:8" x14ac:dyDescent="0.2">
      <c r="A181" t="s">
        <v>497</v>
      </c>
      <c r="B181" s="79"/>
    </row>
    <row r="182" spans="1:8" x14ac:dyDescent="0.2">
      <c r="A182" t="s">
        <v>1133</v>
      </c>
      <c r="B182" s="29">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1135</v>
      </c>
      <c r="B185" s="3">
        <v>1</v>
      </c>
      <c r="C185" t="s">
        <v>572</v>
      </c>
      <c r="D185" t="s">
        <v>8</v>
      </c>
      <c r="F185" t="s">
        <v>17</v>
      </c>
      <c r="G185" t="s">
        <v>18</v>
      </c>
      <c r="H185" s="80" t="s">
        <v>1132</v>
      </c>
    </row>
    <row r="186" spans="1:8" x14ac:dyDescent="0.2">
      <c r="A186" t="s">
        <v>1117</v>
      </c>
      <c r="B186" s="3">
        <f>1000*$B$182*(Parameters!B7/5728)</f>
        <v>1.9401623692733996</v>
      </c>
      <c r="C186" t="s">
        <v>572</v>
      </c>
      <c r="D186" t="s">
        <v>8</v>
      </c>
      <c r="F186" t="s">
        <v>20</v>
      </c>
      <c r="H186" s="6" t="s">
        <v>1118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1122</v>
      </c>
      <c r="B191" s="3">
        <f>1.1*$B$182*(Parameters!B7/5728)</f>
        <v>2.1341786062007398E-3</v>
      </c>
      <c r="C191" t="s">
        <v>26</v>
      </c>
      <c r="D191" t="s">
        <v>8</v>
      </c>
      <c r="F191" t="s">
        <v>20</v>
      </c>
      <c r="H191" t="s">
        <v>1123</v>
      </c>
    </row>
    <row r="192" spans="1:8" x14ac:dyDescent="0.2">
      <c r="A192" t="s">
        <v>1124</v>
      </c>
      <c r="B192" s="3">
        <f>6.8*$B$182*(Parameters!B7/5728)</f>
        <v>1.3193104111059116E-2</v>
      </c>
      <c r="C192" t="s">
        <v>26</v>
      </c>
      <c r="D192" t="s">
        <v>8</v>
      </c>
      <c r="F192" t="s">
        <v>20</v>
      </c>
      <c r="H192" t="s">
        <v>1125</v>
      </c>
    </row>
    <row r="193" spans="1:8" x14ac:dyDescent="0.2">
      <c r="A193" t="s">
        <v>1126</v>
      </c>
      <c r="B193" s="3">
        <f>0.00000102*$B$182*(Parameters!B7/5728)</f>
        <v>1.9789656166588675E-9</v>
      </c>
      <c r="C193" t="s">
        <v>26</v>
      </c>
      <c r="D193" t="s">
        <v>7</v>
      </c>
      <c r="F193" t="s">
        <v>20</v>
      </c>
      <c r="H193" t="s">
        <v>1127</v>
      </c>
    </row>
    <row r="194" spans="1:8" x14ac:dyDescent="0.2">
      <c r="A194" t="s">
        <v>1128</v>
      </c>
      <c r="B194" s="3">
        <f>0.000000503*$B$182*(Parameters!B7/5728)</f>
        <v>9.7590167174451989E-10</v>
      </c>
      <c r="C194" t="s">
        <v>26</v>
      </c>
      <c r="D194" t="s">
        <v>7</v>
      </c>
      <c r="F194" t="s">
        <v>20</v>
      </c>
      <c r="H194" t="s">
        <v>1129</v>
      </c>
    </row>
    <row r="195" spans="1:8" x14ac:dyDescent="0.2">
      <c r="A195" t="s">
        <v>265</v>
      </c>
      <c r="B195" s="3">
        <f>('Cavalett &amp; Cherubini 2022'!B186*'Cozzolini 2018'!$B$566)-Parameters!$B$17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17" sqref="C1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1130</v>
      </c>
      <c r="B6">
        <v>37.200000000000003</v>
      </c>
    </row>
    <row r="7" spans="1:2" x14ac:dyDescent="0.2">
      <c r="A7" t="s">
        <v>1134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1141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5"/>
    </row>
    <row r="21" spans="1:10" x14ac:dyDescent="0.2">
      <c r="B21" s="14"/>
      <c r="C21" s="15" t="s">
        <v>233</v>
      </c>
      <c r="D21" s="16" t="s">
        <v>234</v>
      </c>
      <c r="E21" s="17" t="s">
        <v>235</v>
      </c>
      <c r="F21" s="17" t="s">
        <v>236</v>
      </c>
      <c r="G21" s="16" t="s">
        <v>237</v>
      </c>
      <c r="H21" s="26" t="s">
        <v>238</v>
      </c>
    </row>
    <row r="22" spans="1:10" x14ac:dyDescent="0.2">
      <c r="B22" s="18" t="s">
        <v>239</v>
      </c>
      <c r="C22" s="19">
        <v>1.7889999999999999</v>
      </c>
      <c r="D22" s="19">
        <v>1.7889999999999999</v>
      </c>
      <c r="E22" s="19">
        <v>1.7889999999999999</v>
      </c>
      <c r="F22" s="19">
        <v>1.7889999999999999</v>
      </c>
      <c r="G22" s="19">
        <v>1.7889999999999999</v>
      </c>
      <c r="H22" s="19">
        <v>1.7889999999999999</v>
      </c>
    </row>
    <row r="23" spans="1:10" x14ac:dyDescent="0.2">
      <c r="B23" s="18" t="s">
        <v>240</v>
      </c>
      <c r="C23" s="31">
        <v>80</v>
      </c>
      <c r="D23" s="33">
        <v>80</v>
      </c>
      <c r="E23" s="33">
        <v>80</v>
      </c>
      <c r="F23" s="33">
        <v>80</v>
      </c>
      <c r="G23" s="33">
        <v>80</v>
      </c>
      <c r="H23" s="33">
        <v>80</v>
      </c>
    </row>
    <row r="24" spans="1:10" x14ac:dyDescent="0.2">
      <c r="B24" s="48" t="s">
        <v>425</v>
      </c>
      <c r="C24" s="23">
        <f>8576/1000</f>
        <v>8.5760000000000005</v>
      </c>
      <c r="D24" s="23">
        <f>8823/1000</f>
        <v>8.8230000000000004</v>
      </c>
      <c r="E24" s="23">
        <f>7294/1000</f>
        <v>7.2939999999999996</v>
      </c>
      <c r="F24" s="23">
        <f>7451/1000</f>
        <v>7.4509999999999996</v>
      </c>
      <c r="G24" s="24">
        <f>7310/1000</f>
        <v>7.31</v>
      </c>
      <c r="H24" s="27">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8" t="s">
        <v>250</v>
      </c>
      <c r="F35" s="29">
        <f>D35/(D35+D36)</f>
        <v>0.86288984699852078</v>
      </c>
      <c r="G35" s="29">
        <f>(B35*$B$5)/((B35*$B$5)+(B36*3.6))</f>
        <v>0.93230283093081379</v>
      </c>
    </row>
    <row r="36" spans="1:8" x14ac:dyDescent="0.2">
      <c r="A36" t="s">
        <v>247</v>
      </c>
      <c r="B36" s="5">
        <f>C22/(B4*B12)</f>
        <v>0.59905604304899096</v>
      </c>
      <c r="C36" t="s">
        <v>248</v>
      </c>
      <c r="D36" s="5">
        <f>B36*$B$28</f>
        <v>6.4098996606242034E-2</v>
      </c>
      <c r="E36" s="28" t="s">
        <v>250</v>
      </c>
      <c r="F36" s="29">
        <f>D36/(D36+D35)</f>
        <v>0.13711015300147925</v>
      </c>
      <c r="G36" s="29">
        <f>1-G35</f>
        <v>6.7697169069186214E-2</v>
      </c>
    </row>
    <row r="39" spans="1:8" x14ac:dyDescent="0.2">
      <c r="B39" s="10"/>
      <c r="C39" s="11" t="s">
        <v>232</v>
      </c>
      <c r="D39" s="37"/>
      <c r="E39" s="38"/>
      <c r="F39" s="38"/>
      <c r="G39" s="38"/>
      <c r="H39" s="38"/>
    </row>
    <row r="40" spans="1:8" x14ac:dyDescent="0.2">
      <c r="B40" s="14"/>
      <c r="C40" s="15" t="s">
        <v>274</v>
      </c>
      <c r="D40" s="40"/>
      <c r="E40" s="41"/>
      <c r="F40" s="41"/>
      <c r="G40" s="38"/>
      <c r="H40" s="38"/>
    </row>
    <row r="41" spans="1:8" x14ac:dyDescent="0.2">
      <c r="B41" s="18" t="s">
        <v>239</v>
      </c>
      <c r="C41" s="77">
        <v>4.673</v>
      </c>
      <c r="D41" s="19"/>
      <c r="E41" s="20"/>
      <c r="F41" s="20"/>
      <c r="G41" s="21"/>
      <c r="H41" s="21"/>
    </row>
    <row r="42" spans="1:8" x14ac:dyDescent="0.2">
      <c r="B42" s="18" t="s">
        <v>410</v>
      </c>
      <c r="C42" s="31">
        <v>21.4</v>
      </c>
      <c r="D42" s="31"/>
      <c r="E42" s="33"/>
      <c r="F42" s="33"/>
      <c r="G42" s="39"/>
      <c r="H42" s="39"/>
    </row>
    <row r="43" spans="1:8" x14ac:dyDescent="0.2">
      <c r="B43" s="48" t="s">
        <v>425</v>
      </c>
      <c r="C43" s="49">
        <f>14776/1000</f>
        <v>14.776</v>
      </c>
      <c r="D43" s="33"/>
      <c r="E43" s="33"/>
      <c r="F43" s="33"/>
      <c r="G43" s="39"/>
      <c r="H43" s="39"/>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8" t="s">
        <v>250</v>
      </c>
      <c r="F50" s="29">
        <f>D50/(D50+D51)</f>
        <v>0.70668915382489195</v>
      </c>
      <c r="G50" s="29">
        <f>(B50*$B$5)/((B50*$B$5)+(B51*3.6))</f>
        <v>0.84056914053315945</v>
      </c>
    </row>
    <row r="51" spans="1:7" x14ac:dyDescent="0.2">
      <c r="A51" t="s">
        <v>247</v>
      </c>
      <c r="B51" s="5">
        <f>C41/(B4*B12)</f>
        <v>1.5647785853370233</v>
      </c>
      <c r="C51" t="s">
        <v>248</v>
      </c>
      <c r="D51" s="5">
        <f>B51*$B$28</f>
        <v>0.16743130863106148</v>
      </c>
      <c r="E51" s="28" t="s">
        <v>250</v>
      </c>
      <c r="F51" s="29">
        <f>D51/(D51+D50)</f>
        <v>0.29331084617510816</v>
      </c>
      <c r="G51" s="29">
        <f>1-G50</f>
        <v>0.15943085946684055</v>
      </c>
    </row>
    <row r="55" spans="1:7" x14ac:dyDescent="0.2">
      <c r="B55" s="10"/>
      <c r="C55" s="11" t="s">
        <v>232</v>
      </c>
      <c r="D55" s="45"/>
      <c r="E55" s="45"/>
      <c r="F55" s="46"/>
    </row>
    <row r="56" spans="1:7" x14ac:dyDescent="0.2">
      <c r="B56" s="14"/>
      <c r="C56" s="15" t="s">
        <v>421</v>
      </c>
      <c r="D56" t="s">
        <v>422</v>
      </c>
      <c r="E56" t="s">
        <v>423</v>
      </c>
      <c r="F56" s="47" t="s">
        <v>424</v>
      </c>
    </row>
    <row r="57" spans="1:7" x14ac:dyDescent="0.2">
      <c r="B57" s="18" t="s">
        <v>239</v>
      </c>
      <c r="C57" s="31">
        <v>0</v>
      </c>
      <c r="D57" s="45">
        <v>0</v>
      </c>
      <c r="E57" s="45">
        <v>13.59</v>
      </c>
      <c r="F57" s="46">
        <v>2.4900000000000002</v>
      </c>
    </row>
    <row r="58" spans="1:7" x14ac:dyDescent="0.2">
      <c r="B58" s="18" t="s">
        <v>410</v>
      </c>
      <c r="C58" s="32">
        <f>2.84/B10</f>
        <v>111.81079999999999</v>
      </c>
      <c r="D58" s="43">
        <f>2.81/B10</f>
        <v>110.62969999999999</v>
      </c>
      <c r="E58" s="5">
        <v>9.57</v>
      </c>
      <c r="F58" s="47">
        <v>17.21</v>
      </c>
    </row>
    <row r="59" spans="1:7" x14ac:dyDescent="0.2">
      <c r="B59" s="50" t="s">
        <v>523</v>
      </c>
      <c r="C59" s="51">
        <f>5.63*B8</f>
        <v>2.5537679999999998</v>
      </c>
      <c r="D59" s="52">
        <v>5.63</v>
      </c>
      <c r="E59" s="52">
        <v>0</v>
      </c>
      <c r="F59" s="47">
        <v>0</v>
      </c>
    </row>
    <row r="60" spans="1:7" x14ac:dyDescent="0.2">
      <c r="B60" s="65" t="s">
        <v>524</v>
      </c>
      <c r="C60" s="64"/>
      <c r="D60" s="52"/>
      <c r="E60" s="66">
        <v>16.3</v>
      </c>
      <c r="F60" s="47"/>
    </row>
    <row r="61" spans="1:7" x14ac:dyDescent="0.2">
      <c r="B61" s="65" t="s">
        <v>552</v>
      </c>
      <c r="C61" s="64">
        <v>0.54</v>
      </c>
      <c r="D61" s="52"/>
      <c r="E61" s="66"/>
      <c r="F61" s="47"/>
    </row>
    <row r="62" spans="1:7" x14ac:dyDescent="0.2">
      <c r="B62" s="48" t="s">
        <v>425</v>
      </c>
      <c r="C62" s="44">
        <v>2.36</v>
      </c>
      <c r="D62" s="44"/>
      <c r="E62" s="53">
        <f>25362/1000</f>
        <v>25.361999999999998</v>
      </c>
      <c r="F62" s="54">
        <f>11023/1000</f>
        <v>11.023</v>
      </c>
    </row>
    <row r="63" spans="1:7" x14ac:dyDescent="0.2">
      <c r="B63" s="55" t="s">
        <v>435</v>
      </c>
      <c r="C63" s="56">
        <v>0.84699999999999998</v>
      </c>
      <c r="D63" s="56">
        <v>0.80100000000000005</v>
      </c>
      <c r="E63" s="57">
        <v>0.98</v>
      </c>
      <c r="F63" s="58">
        <v>0.93500000000000005</v>
      </c>
    </row>
    <row r="64" spans="1:7" x14ac:dyDescent="0.2">
      <c r="B64" s="48" t="s">
        <v>436</v>
      </c>
      <c r="C64" s="59">
        <v>0.64400000000000002</v>
      </c>
      <c r="D64" s="59">
        <v>0.60899999999999999</v>
      </c>
      <c r="E64" s="60">
        <v>0.96799999999999997</v>
      </c>
      <c r="F64" s="6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8" t="s">
        <v>278</v>
      </c>
      <c r="C81" s="31">
        <v>26.1</v>
      </c>
      <c r="D81" s="33">
        <f>(0.13*B5/B12)/3.6</f>
        <v>1.3593155893536122</v>
      </c>
    </row>
    <row r="82" spans="1:7" x14ac:dyDescent="0.2">
      <c r="B82" s="14" t="s">
        <v>275</v>
      </c>
      <c r="C82" s="22">
        <v>85.2</v>
      </c>
      <c r="D82" s="23">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4">
        <f>C82*B12</f>
        <v>67.222800000000007</v>
      </c>
      <c r="C88" t="s">
        <v>107</v>
      </c>
      <c r="D88" s="5">
        <f>B88*(B27/B4*B12*B29)</f>
        <v>27.117745009204757</v>
      </c>
      <c r="E88" s="28" t="s">
        <v>250</v>
      </c>
      <c r="F88" s="29">
        <f>D88/(D88+D89)</f>
        <v>0.90663127883451533</v>
      </c>
      <c r="G88" s="29">
        <f>(B88*$B$5)/((B88*$B$5)+(B89*3.6))</f>
        <v>0.9550533238067046</v>
      </c>
    </row>
    <row r="89" spans="1:7" x14ac:dyDescent="0.2">
      <c r="A89" t="s">
        <v>283</v>
      </c>
      <c r="B89" s="34">
        <f>C81</f>
        <v>26.1</v>
      </c>
      <c r="C89" t="s">
        <v>248</v>
      </c>
      <c r="D89" s="5">
        <f>B89*B28</f>
        <v>2.7927</v>
      </c>
      <c r="E89" s="28" t="s">
        <v>250</v>
      </c>
      <c r="F89" s="29">
        <f>D89/(D89+D88)</f>
        <v>9.3368721165484614E-2</v>
      </c>
      <c r="G89" s="29">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4">
        <f>D82*1000</f>
        <v>2360.3049725507863</v>
      </c>
      <c r="C96" t="s">
        <v>107</v>
      </c>
      <c r="D96" s="5">
        <f>B96*(B27/B4*B12*B29)</f>
        <v>952.14939558587639</v>
      </c>
      <c r="E96" s="28" t="s">
        <v>250</v>
      </c>
      <c r="F96" s="29">
        <f>D96/(D96+D97)</f>
        <v>0.73499615836189169</v>
      </c>
      <c r="G96" s="29">
        <f>(B96*$B$5)/((B96*$B$5)+(B97*3.6))</f>
        <v>0.85854189336235043</v>
      </c>
    </row>
    <row r="97" spans="1:7" x14ac:dyDescent="0.2">
      <c r="A97" t="s">
        <v>283</v>
      </c>
      <c r="B97" s="34">
        <f>D81*B96</f>
        <v>3208.3993448171336</v>
      </c>
      <c r="C97" t="s">
        <v>248</v>
      </c>
      <c r="D97" s="5">
        <f>B97*B28</f>
        <v>343.29872989543327</v>
      </c>
      <c r="E97" s="28" t="s">
        <v>250</v>
      </c>
      <c r="F97" s="29">
        <f>D97/(D97+D96)</f>
        <v>0.26500384163810831</v>
      </c>
      <c r="G97" s="29">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2022-08-09T16:11:10Z</dcterms:modified>
</cp:coreProperties>
</file>