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romai\Documents\GitHub\premise\premise\data\additional_inventories\"/>
    </mc:Choice>
  </mc:AlternateContent>
  <xr:revisionPtr revIDLastSave="0" documentId="13_ncr:1_{190B4DB9-EE4C-4825-A49C-E944A373AC15}" xr6:coauthVersionLast="47" xr6:coauthVersionMax="47" xr10:uidLastSave="{00000000-0000-0000-0000-000000000000}"/>
  <bookViews>
    <workbookView xWindow="-110" yWindow="-110" windowWidth="25820" windowHeight="14020" xr2:uid="{00000000-000D-0000-FFFF-FFFF00000000}"/>
  </bookViews>
  <sheets>
    <sheet name="Summary" sheetId="4" r:id="rId1"/>
    <sheet name="GREET" sheetId="1" r:id="rId2"/>
    <sheet name="Pereira et al. 2019" sheetId="3" r:id="rId3"/>
    <sheet name="Gonzalez-Garcia et al. 2012" sheetId="5" r:id="rId4"/>
    <sheet name="Cozzolini 2018" sheetId="6" r:id="rId5"/>
    <sheet name="Allocation" sheetId="2" r:id="rId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85" i="4" l="1"/>
  <c r="P85" i="4" s="1"/>
  <c r="M85" i="4"/>
  <c r="L85" i="4"/>
  <c r="K85" i="4"/>
  <c r="J85" i="4"/>
  <c r="I85" i="4"/>
  <c r="H85" i="4"/>
  <c r="G85" i="4"/>
  <c r="F85" i="4"/>
  <c r="M57" i="4"/>
  <c r="L57" i="4"/>
  <c r="K57" i="4"/>
  <c r="I57" i="4"/>
  <c r="F57" i="4"/>
  <c r="G57" i="4" s="1"/>
  <c r="B718" i="6"/>
  <c r="R28" i="4"/>
  <c r="S28" i="4" s="1"/>
  <c r="B690" i="6"/>
  <c r="O28" i="4" s="1"/>
  <c r="L28" i="4"/>
  <c r="I28" i="4"/>
  <c r="J28" i="4" s="1"/>
  <c r="N84" i="4"/>
  <c r="J84" i="4"/>
  <c r="H84" i="4"/>
  <c r="K56" i="4"/>
  <c r="K84" i="4" s="1"/>
  <c r="I56" i="4"/>
  <c r="I84" i="4" s="1"/>
  <c r="R27" i="4"/>
  <c r="Q27" i="4"/>
  <c r="B564" i="6"/>
  <c r="N27" i="4" s="1"/>
  <c r="L27" i="4"/>
  <c r="B623" i="6"/>
  <c r="B585" i="6"/>
  <c r="B567" i="6"/>
  <c r="F27" i="4" s="1"/>
  <c r="J27" i="4" s="1"/>
  <c r="B583" i="6"/>
  <c r="B587" i="6"/>
  <c r="P27" i="4" s="1"/>
  <c r="B570" i="6"/>
  <c r="O27" i="4" s="1"/>
  <c r="N83" i="4"/>
  <c r="J83" i="4"/>
  <c r="H83" i="4"/>
  <c r="K55" i="4"/>
  <c r="K83" i="4" s="1"/>
  <c r="I55" i="4"/>
  <c r="B513" i="6"/>
  <c r="B478" i="6"/>
  <c r="Q26" i="4"/>
  <c r="B452" i="6"/>
  <c r="N26" i="4" s="1"/>
  <c r="L26" i="4"/>
  <c r="I26" i="4"/>
  <c r="H26" i="4"/>
  <c r="G26" i="4"/>
  <c r="B457" i="6"/>
  <c r="F26" i="4" s="1"/>
  <c r="B466" i="6"/>
  <c r="B465" i="6"/>
  <c r="B464" i="6"/>
  <c r="P26" i="4" s="1"/>
  <c r="B463" i="6"/>
  <c r="O26" i="4" s="1"/>
  <c r="B444" i="6"/>
  <c r="R26" i="4" s="1"/>
  <c r="N82" i="4"/>
  <c r="J82" i="4"/>
  <c r="I82" i="4"/>
  <c r="H82" i="4"/>
  <c r="K54" i="4"/>
  <c r="L54" i="4" s="1"/>
  <c r="L82" i="4" s="1"/>
  <c r="R25" i="4"/>
  <c r="S25" i="4" s="1"/>
  <c r="K25" i="4"/>
  <c r="I25" i="4"/>
  <c r="J25" i="4" s="1"/>
  <c r="B400" i="6"/>
  <c r="B388" i="6"/>
  <c r="O25" i="4" s="1"/>
  <c r="N81" i="4"/>
  <c r="J81" i="4"/>
  <c r="I81" i="4"/>
  <c r="H81" i="4"/>
  <c r="L137" i="4"/>
  <c r="L138" i="4"/>
  <c r="L141" i="4"/>
  <c r="L142" i="4"/>
  <c r="K53" i="4"/>
  <c r="L53" i="4" s="1"/>
  <c r="L81" i="4" s="1"/>
  <c r="B323" i="6"/>
  <c r="B337" i="6" s="1"/>
  <c r="Q24" i="4"/>
  <c r="R24" i="4"/>
  <c r="K24" i="4"/>
  <c r="J24" i="4"/>
  <c r="B324" i="6"/>
  <c r="O24" i="4" s="1"/>
  <c r="B27" i="6"/>
  <c r="O20" i="4" s="1"/>
  <c r="B97" i="6"/>
  <c r="O21" i="4" s="1"/>
  <c r="I63" i="4"/>
  <c r="J63" i="4"/>
  <c r="K63" i="4"/>
  <c r="N63" i="4"/>
  <c r="I64" i="4"/>
  <c r="J64" i="4"/>
  <c r="K64" i="4"/>
  <c r="N64" i="4"/>
  <c r="I65" i="4"/>
  <c r="J65" i="4"/>
  <c r="K65" i="4"/>
  <c r="N65" i="4"/>
  <c r="I66" i="4"/>
  <c r="J66" i="4"/>
  <c r="K66" i="4"/>
  <c r="N66" i="4"/>
  <c r="I67" i="4"/>
  <c r="J67" i="4"/>
  <c r="K67" i="4"/>
  <c r="N67" i="4"/>
  <c r="I68" i="4"/>
  <c r="J68" i="4"/>
  <c r="K68" i="4"/>
  <c r="N68" i="4"/>
  <c r="H69" i="4"/>
  <c r="J69" i="4"/>
  <c r="N69" i="4"/>
  <c r="H70" i="4"/>
  <c r="I70" i="4"/>
  <c r="J70" i="4"/>
  <c r="K70" i="4"/>
  <c r="N70" i="4"/>
  <c r="H71" i="4"/>
  <c r="I71" i="4"/>
  <c r="J71" i="4"/>
  <c r="K71" i="4"/>
  <c r="N71" i="4"/>
  <c r="H72" i="4"/>
  <c r="J72" i="4"/>
  <c r="N72" i="4"/>
  <c r="H73" i="4"/>
  <c r="J73" i="4"/>
  <c r="N73" i="4"/>
  <c r="I74" i="4"/>
  <c r="J74" i="4"/>
  <c r="K74" i="4"/>
  <c r="N74" i="4"/>
  <c r="H75" i="4"/>
  <c r="I75" i="4"/>
  <c r="J75" i="4"/>
  <c r="K75" i="4"/>
  <c r="N75" i="4"/>
  <c r="H76" i="4"/>
  <c r="I76" i="4"/>
  <c r="J76" i="4"/>
  <c r="K76" i="4"/>
  <c r="N76" i="4"/>
  <c r="H77" i="4"/>
  <c r="I77" i="4"/>
  <c r="J77" i="4"/>
  <c r="N77" i="4"/>
  <c r="H78" i="4"/>
  <c r="I78" i="4"/>
  <c r="J78" i="4"/>
  <c r="N78" i="4"/>
  <c r="H79" i="4"/>
  <c r="J79" i="4"/>
  <c r="N79" i="4"/>
  <c r="H80" i="4"/>
  <c r="J80" i="4"/>
  <c r="N80" i="4"/>
  <c r="N62" i="4"/>
  <c r="K62" i="4"/>
  <c r="J62" i="4"/>
  <c r="I62" i="4"/>
  <c r="K52" i="4"/>
  <c r="K80" i="4" s="1"/>
  <c r="I52" i="4"/>
  <c r="B26" i="6"/>
  <c r="B43" i="6" s="1"/>
  <c r="B93" i="6"/>
  <c r="B109" i="6" s="1"/>
  <c r="F50" i="4" s="1"/>
  <c r="F78" i="4" s="1"/>
  <c r="B176" i="6"/>
  <c r="B193" i="6" s="1"/>
  <c r="F51" i="4" s="1"/>
  <c r="F79" i="4" s="1"/>
  <c r="B177" i="6"/>
  <c r="O22" i="4" s="1"/>
  <c r="R23" i="4"/>
  <c r="Q23" i="4"/>
  <c r="B248" i="6"/>
  <c r="N23" i="4" s="1"/>
  <c r="L23" i="4"/>
  <c r="B263" i="6"/>
  <c r="B264" i="6"/>
  <c r="B262" i="6"/>
  <c r="P23" i="4" s="1"/>
  <c r="B261" i="6"/>
  <c r="O23" i="4" s="1"/>
  <c r="B260" i="6"/>
  <c r="K23" i="4" s="1"/>
  <c r="I23" i="4"/>
  <c r="B253" i="6"/>
  <c r="F23" i="4" s="1"/>
  <c r="B276" i="6"/>
  <c r="F52" i="4" s="1"/>
  <c r="F80" i="4" s="1"/>
  <c r="K50" i="4"/>
  <c r="L50" i="4" s="1"/>
  <c r="L78" i="4" s="1"/>
  <c r="R21" i="4"/>
  <c r="Q21" i="4"/>
  <c r="K21" i="4"/>
  <c r="F21" i="4"/>
  <c r="I21" i="4"/>
  <c r="B26" i="5"/>
  <c r="K51" i="4"/>
  <c r="K79" i="4" s="1"/>
  <c r="I51" i="4"/>
  <c r="I79" i="4" s="1"/>
  <c r="R22" i="4"/>
  <c r="Q22" i="4"/>
  <c r="B180" i="6"/>
  <c r="B179" i="6"/>
  <c r="B178" i="6"/>
  <c r="P22" i="4" s="1"/>
  <c r="B167" i="6"/>
  <c r="N22" i="4" s="1"/>
  <c r="L22" i="4"/>
  <c r="B175" i="6"/>
  <c r="K22" i="4" s="1"/>
  <c r="I22" i="4"/>
  <c r="H22" i="4"/>
  <c r="B171" i="6"/>
  <c r="F22" i="4" s="1"/>
  <c r="L99" i="4"/>
  <c r="L100" i="4"/>
  <c r="L104" i="4"/>
  <c r="L48" i="4"/>
  <c r="L76" i="4" s="1"/>
  <c r="K49" i="4"/>
  <c r="L49" i="4" s="1"/>
  <c r="L77" i="4" s="1"/>
  <c r="N20" i="4"/>
  <c r="P20" i="4"/>
  <c r="S20" i="4"/>
  <c r="L20" i="4"/>
  <c r="K20" i="4"/>
  <c r="F20" i="4"/>
  <c r="I20" i="4"/>
  <c r="H20" i="4"/>
  <c r="O85" i="4" l="1"/>
  <c r="P57" i="4"/>
  <c r="O57" i="4"/>
  <c r="B636" i="6"/>
  <c r="M56" i="4" s="1"/>
  <c r="M84" i="4" s="1"/>
  <c r="F56" i="4"/>
  <c r="F84" i="4" s="1"/>
  <c r="S27" i="4"/>
  <c r="L56" i="4"/>
  <c r="L84" i="4" s="1"/>
  <c r="L55" i="4"/>
  <c r="L83" i="4" s="1"/>
  <c r="I83" i="4"/>
  <c r="F55" i="4"/>
  <c r="F83" i="4" s="1"/>
  <c r="B527" i="6"/>
  <c r="M55" i="4" s="1"/>
  <c r="M83" i="4" s="1"/>
  <c r="S26" i="4"/>
  <c r="J26" i="4"/>
  <c r="B414" i="6"/>
  <c r="M54" i="4" s="1"/>
  <c r="M82" i="4" s="1"/>
  <c r="F54" i="4"/>
  <c r="F82" i="4" s="1"/>
  <c r="K82" i="4"/>
  <c r="B347" i="6"/>
  <c r="M53" i="4" s="1"/>
  <c r="M81" i="4" s="1"/>
  <c r="F53" i="4"/>
  <c r="F81" i="4" s="1"/>
  <c r="K81" i="4"/>
  <c r="S24" i="4"/>
  <c r="B56" i="6"/>
  <c r="M49" i="4" s="1"/>
  <c r="M77" i="4" s="1"/>
  <c r="L52" i="4"/>
  <c r="L80" i="4" s="1"/>
  <c r="B286" i="6"/>
  <c r="M52" i="4" s="1"/>
  <c r="M80" i="4" s="1"/>
  <c r="B210" i="6"/>
  <c r="M51" i="4" s="1"/>
  <c r="M79" i="4" s="1"/>
  <c r="K77" i="4"/>
  <c r="I80" i="4"/>
  <c r="K78" i="4"/>
  <c r="B125" i="6"/>
  <c r="M50" i="4" s="1"/>
  <c r="M78" i="4" s="1"/>
  <c r="J23" i="4"/>
  <c r="S23" i="4"/>
  <c r="G52" i="4" s="1"/>
  <c r="J21" i="4"/>
  <c r="S21" i="4"/>
  <c r="G50" i="4" s="1"/>
  <c r="P50" i="4" s="1"/>
  <c r="L51" i="4"/>
  <c r="L79" i="4" s="1"/>
  <c r="S22" i="4"/>
  <c r="G51" i="4" s="1"/>
  <c r="J22" i="4"/>
  <c r="F49" i="4"/>
  <c r="F77" i="4" s="1"/>
  <c r="J20" i="4"/>
  <c r="M48" i="4"/>
  <c r="M76" i="4" s="1"/>
  <c r="B87" i="5"/>
  <c r="B86" i="5"/>
  <c r="B85" i="5"/>
  <c r="B84" i="5"/>
  <c r="F48" i="4"/>
  <c r="F76" i="4" s="1"/>
  <c r="R19" i="4"/>
  <c r="S19" i="4" s="1"/>
  <c r="B16" i="5"/>
  <c r="F19" i="4" s="1"/>
  <c r="B81" i="5"/>
  <c r="B80" i="5"/>
  <c r="B79" i="5"/>
  <c r="B78" i="5"/>
  <c r="B77" i="5"/>
  <c r="B44" i="5"/>
  <c r="B43" i="5"/>
  <c r="B42" i="5"/>
  <c r="B22" i="5"/>
  <c r="M19" i="4" s="1"/>
  <c r="B18" i="5"/>
  <c r="K19" i="4" s="1"/>
  <c r="B25" i="5"/>
  <c r="P19" i="4"/>
  <c r="B28" i="5"/>
  <c r="B27" i="5"/>
  <c r="B1786" i="1"/>
  <c r="B1785" i="1"/>
  <c r="B24" i="5"/>
  <c r="O19" i="4" s="1"/>
  <c r="B21" i="5"/>
  <c r="B20" i="5"/>
  <c r="B19" i="5"/>
  <c r="B23" i="5"/>
  <c r="B17" i="5"/>
  <c r="I19" i="4" s="1"/>
  <c r="B1346" i="1"/>
  <c r="W157" i="4"/>
  <c r="U158" i="4"/>
  <c r="T158" i="4"/>
  <c r="S158" i="4"/>
  <c r="Q158" i="4"/>
  <c r="N158" i="4"/>
  <c r="J158" i="4"/>
  <c r="H158" i="4"/>
  <c r="I45" i="4"/>
  <c r="I73" i="4" s="1"/>
  <c r="N120" i="4"/>
  <c r="H120" i="4"/>
  <c r="J120" i="4"/>
  <c r="I102" i="4"/>
  <c r="B1937" i="1"/>
  <c r="B1915" i="1"/>
  <c r="B1848" i="1"/>
  <c r="B1967" i="1"/>
  <c r="B1965" i="1"/>
  <c r="B1964" i="1"/>
  <c r="B1963" i="1"/>
  <c r="B1962" i="1"/>
  <c r="B1961" i="1"/>
  <c r="B1959" i="1"/>
  <c r="I140" i="4" s="1"/>
  <c r="B1945" i="1"/>
  <c r="B1943" i="1"/>
  <c r="B1942" i="1"/>
  <c r="B1941" i="1"/>
  <c r="B1940" i="1"/>
  <c r="B1939" i="1"/>
  <c r="B1923" i="1"/>
  <c r="B1921" i="1"/>
  <c r="B1920" i="1"/>
  <c r="B1919" i="1"/>
  <c r="B1918" i="1"/>
  <c r="B1917" i="1"/>
  <c r="B1870" i="1"/>
  <c r="B1892" i="1"/>
  <c r="B1891" i="1"/>
  <c r="B1869" i="1"/>
  <c r="B1847" i="1"/>
  <c r="B1336" i="1"/>
  <c r="B1314" i="1"/>
  <c r="B1292" i="1"/>
  <c r="G56" i="4" l="1"/>
  <c r="G84" i="4" s="1"/>
  <c r="G55" i="4"/>
  <c r="G83" i="4" s="1"/>
  <c r="G54" i="4"/>
  <c r="G82" i="4" s="1"/>
  <c r="P82" i="4" s="1"/>
  <c r="G53" i="4"/>
  <c r="G81" i="4" s="1"/>
  <c r="G80" i="4"/>
  <c r="P80" i="4" s="1"/>
  <c r="O52" i="4"/>
  <c r="P52" i="4"/>
  <c r="G79" i="4"/>
  <c r="P79" i="4" s="1"/>
  <c r="P51" i="4"/>
  <c r="O50" i="4"/>
  <c r="G78" i="4"/>
  <c r="G49" i="4"/>
  <c r="P49" i="4" s="1"/>
  <c r="O51" i="4"/>
  <c r="G48" i="4"/>
  <c r="L19" i="4"/>
  <c r="J19" i="4"/>
  <c r="I158" i="4"/>
  <c r="I120" i="4"/>
  <c r="O56" i="4" l="1"/>
  <c r="P56" i="4"/>
  <c r="P84" i="4"/>
  <c r="O84" i="4"/>
  <c r="O55" i="4"/>
  <c r="P55" i="4"/>
  <c r="O83" i="4"/>
  <c r="P83" i="4"/>
  <c r="O82" i="4"/>
  <c r="O54" i="4"/>
  <c r="P54" i="4"/>
  <c r="G76" i="4"/>
  <c r="P76" i="4" s="1"/>
  <c r="P48" i="4"/>
  <c r="O80" i="4"/>
  <c r="O53" i="4"/>
  <c r="P53" i="4"/>
  <c r="O78" i="4"/>
  <c r="P78" i="4"/>
  <c r="O79" i="4"/>
  <c r="P81" i="4"/>
  <c r="O81" i="4"/>
  <c r="G77" i="4"/>
  <c r="O49" i="4"/>
  <c r="O48" i="4"/>
  <c r="B1069" i="1"/>
  <c r="B1070" i="1"/>
  <c r="B380" i="1"/>
  <c r="B186" i="1"/>
  <c r="B187" i="1"/>
  <c r="O77" i="4" l="1"/>
  <c r="P77" i="4"/>
  <c r="O76" i="4"/>
  <c r="R148" i="4"/>
  <c r="S148" i="4"/>
  <c r="T148" i="4"/>
  <c r="U148" i="4"/>
  <c r="R149" i="4"/>
  <c r="S149" i="4"/>
  <c r="T149" i="4"/>
  <c r="U149" i="4"/>
  <c r="R150" i="4"/>
  <c r="S150" i="4"/>
  <c r="T150" i="4"/>
  <c r="U150" i="4"/>
  <c r="R151" i="4"/>
  <c r="S151" i="4"/>
  <c r="T151" i="4"/>
  <c r="U151" i="4"/>
  <c r="R152" i="4"/>
  <c r="S152" i="4"/>
  <c r="T152" i="4"/>
  <c r="U152" i="4"/>
  <c r="R153" i="4"/>
  <c r="S153" i="4"/>
  <c r="T153" i="4"/>
  <c r="U153" i="4"/>
  <c r="S154" i="4"/>
  <c r="T154" i="4"/>
  <c r="U154" i="4"/>
  <c r="R155" i="4"/>
  <c r="R156" i="4"/>
  <c r="S156" i="4"/>
  <c r="T156" i="4"/>
  <c r="U156" i="4"/>
  <c r="Q157" i="4"/>
  <c r="S157" i="4"/>
  <c r="T157" i="4"/>
  <c r="U157" i="4"/>
  <c r="R159" i="4"/>
  <c r="S159" i="4"/>
  <c r="T159" i="4"/>
  <c r="U159" i="4"/>
  <c r="R160" i="4"/>
  <c r="S160" i="4"/>
  <c r="T160" i="4"/>
  <c r="U160" i="4"/>
  <c r="R147" i="4"/>
  <c r="S147" i="4"/>
  <c r="T147" i="4"/>
  <c r="U147" i="4"/>
  <c r="B189" i="3"/>
  <c r="F142" i="4" s="1"/>
  <c r="F160" i="4" s="1"/>
  <c r="N160" i="4"/>
  <c r="K160" i="4"/>
  <c r="J160" i="4"/>
  <c r="I160" i="4"/>
  <c r="H160" i="4"/>
  <c r="N159" i="4"/>
  <c r="K159" i="4"/>
  <c r="J159" i="4"/>
  <c r="I159" i="4"/>
  <c r="N157" i="4"/>
  <c r="H157" i="4"/>
  <c r="N156" i="4"/>
  <c r="K156" i="4"/>
  <c r="J156" i="4"/>
  <c r="I156" i="4"/>
  <c r="H156" i="4"/>
  <c r="N155" i="4"/>
  <c r="K155" i="4"/>
  <c r="J155" i="4"/>
  <c r="I155" i="4"/>
  <c r="H155" i="4"/>
  <c r="N154" i="4"/>
  <c r="J154" i="4"/>
  <c r="H154" i="4"/>
  <c r="N153" i="4"/>
  <c r="K153" i="4"/>
  <c r="J153" i="4"/>
  <c r="I153" i="4"/>
  <c r="N152" i="4"/>
  <c r="K152" i="4"/>
  <c r="J152" i="4"/>
  <c r="I152" i="4"/>
  <c r="N151" i="4"/>
  <c r="K151" i="4"/>
  <c r="J151" i="4"/>
  <c r="I151" i="4"/>
  <c r="N150" i="4"/>
  <c r="K150" i="4"/>
  <c r="J150" i="4"/>
  <c r="I150" i="4"/>
  <c r="N149" i="4"/>
  <c r="K149" i="4"/>
  <c r="J149" i="4"/>
  <c r="I149" i="4"/>
  <c r="N148" i="4"/>
  <c r="K148" i="4"/>
  <c r="J148" i="4"/>
  <c r="I148" i="4"/>
  <c r="N147" i="4"/>
  <c r="K147" i="4"/>
  <c r="J147" i="4"/>
  <c r="I147" i="4"/>
  <c r="L160" i="4"/>
  <c r="L159" i="4"/>
  <c r="L156" i="4"/>
  <c r="L155" i="4"/>
  <c r="B196" i="3"/>
  <c r="Q142" i="4" s="1"/>
  <c r="Q160" i="4" s="1"/>
  <c r="B194" i="3"/>
  <c r="B193" i="3"/>
  <c r="B192" i="3"/>
  <c r="B191" i="3"/>
  <c r="B190" i="3"/>
  <c r="B131" i="3"/>
  <c r="B138" i="3" s="1"/>
  <c r="Q141" i="4" s="1"/>
  <c r="Q159" i="4" s="1"/>
  <c r="B130" i="3"/>
  <c r="B1897" i="1"/>
  <c r="B1896" i="1"/>
  <c r="B1895" i="1"/>
  <c r="B1894" i="1"/>
  <c r="B1893" i="1"/>
  <c r="K139" i="4"/>
  <c r="K157" i="4" s="1"/>
  <c r="J157" i="4"/>
  <c r="I139" i="4"/>
  <c r="B1899" i="1"/>
  <c r="B1681" i="1"/>
  <c r="Q138" i="4" s="1"/>
  <c r="Q156" i="4" s="1"/>
  <c r="B1678" i="1"/>
  <c r="B1677" i="1"/>
  <c r="B1676" i="1"/>
  <c r="B1675" i="1"/>
  <c r="B1674" i="1"/>
  <c r="B1655" i="1"/>
  <c r="B1680" i="1"/>
  <c r="B1521" i="1"/>
  <c r="U137" i="4" s="1"/>
  <c r="U155" i="4" s="1"/>
  <c r="B1520" i="1"/>
  <c r="T137" i="4" s="1"/>
  <c r="T155" i="4" s="1"/>
  <c r="B1519" i="1"/>
  <c r="S137" i="4" s="1"/>
  <c r="S155" i="4" s="1"/>
  <c r="R136" i="4"/>
  <c r="R154" i="4" s="1"/>
  <c r="B1518" i="1"/>
  <c r="Q137" i="4" s="1"/>
  <c r="Q155" i="4" s="1"/>
  <c r="B1515" i="1"/>
  <c r="B1514" i="1"/>
  <c r="F137" i="4" s="1"/>
  <c r="B1498" i="1"/>
  <c r="B1517" i="1"/>
  <c r="B1345" i="1"/>
  <c r="Q136" i="4" s="1"/>
  <c r="Q154" i="4" s="1"/>
  <c r="B1342" i="1"/>
  <c r="B1341" i="1"/>
  <c r="B1340" i="1"/>
  <c r="B1339" i="1"/>
  <c r="B1338" i="1"/>
  <c r="B1337" i="1"/>
  <c r="K136" i="4" s="1"/>
  <c r="K154" i="4" s="1"/>
  <c r="I136" i="4"/>
  <c r="B1344" i="1"/>
  <c r="B1154" i="1"/>
  <c r="Q135" i="4" s="1"/>
  <c r="Q153" i="4" s="1"/>
  <c r="B1151" i="1"/>
  <c r="B1150" i="1"/>
  <c r="H135" i="4" s="1"/>
  <c r="B1149" i="1"/>
  <c r="B1153" i="1"/>
  <c r="B978" i="1"/>
  <c r="Q134" i="4" s="1"/>
  <c r="Q152" i="4" s="1"/>
  <c r="B975" i="1"/>
  <c r="B974" i="1"/>
  <c r="B973" i="1"/>
  <c r="B972" i="1"/>
  <c r="B971" i="1"/>
  <c r="B970" i="1"/>
  <c r="B969" i="1"/>
  <c r="B968" i="1"/>
  <c r="H134" i="4" s="1"/>
  <c r="B967" i="1"/>
  <c r="F134" i="4" s="1"/>
  <c r="B977" i="1"/>
  <c r="B819" i="1"/>
  <c r="Q133" i="4" s="1"/>
  <c r="Q151" i="4" s="1"/>
  <c r="B816" i="1"/>
  <c r="B815" i="1"/>
  <c r="B814" i="1"/>
  <c r="B813" i="1"/>
  <c r="B812" i="1"/>
  <c r="B811" i="1"/>
  <c r="B810" i="1"/>
  <c r="B809" i="1"/>
  <c r="H133" i="4" s="1"/>
  <c r="B808" i="1"/>
  <c r="B818" i="1"/>
  <c r="B622" i="1"/>
  <c r="Q132" i="4" s="1"/>
  <c r="Q150" i="4" s="1"/>
  <c r="B619" i="1"/>
  <c r="B618" i="1"/>
  <c r="H132" i="4" s="1"/>
  <c r="B617" i="1"/>
  <c r="B620" i="1"/>
  <c r="B484" i="1"/>
  <c r="Q131" i="4" s="1"/>
  <c r="Q149" i="4" s="1"/>
  <c r="B481" i="1"/>
  <c r="B480" i="1"/>
  <c r="B479" i="1"/>
  <c r="B478" i="1"/>
  <c r="B477" i="1"/>
  <c r="B476" i="1"/>
  <c r="H131" i="4" s="1"/>
  <c r="B475" i="1"/>
  <c r="B483" i="1"/>
  <c r="B98" i="1"/>
  <c r="Q129" i="4" s="1"/>
  <c r="Q147" i="4" s="1"/>
  <c r="B292" i="1"/>
  <c r="Q130" i="4" s="1"/>
  <c r="Q148" i="4" s="1"/>
  <c r="B286" i="1"/>
  <c r="B285" i="1"/>
  <c r="B284" i="1"/>
  <c r="B283" i="1"/>
  <c r="B282" i="1"/>
  <c r="H130" i="4" s="1"/>
  <c r="L130" i="4" s="1"/>
  <c r="B281" i="1"/>
  <c r="F130" i="4" s="1"/>
  <c r="B291" i="1"/>
  <c r="B289" i="1"/>
  <c r="B288" i="1"/>
  <c r="B287" i="1"/>
  <c r="B95" i="1"/>
  <c r="B94" i="1"/>
  <c r="B93" i="1"/>
  <c r="B92" i="1"/>
  <c r="B91" i="1"/>
  <c r="B90" i="1"/>
  <c r="B89" i="1"/>
  <c r="B88" i="1"/>
  <c r="H129" i="4" s="1"/>
  <c r="B87" i="1"/>
  <c r="F129" i="4" s="1"/>
  <c r="B97" i="1"/>
  <c r="B1877" i="1"/>
  <c r="B1855" i="1"/>
  <c r="B1661" i="1"/>
  <c r="B1642" i="1"/>
  <c r="B1501" i="1"/>
  <c r="B1485" i="1"/>
  <c r="B1322" i="1"/>
  <c r="B1300" i="1"/>
  <c r="B1136" i="1"/>
  <c r="B1119" i="1"/>
  <c r="B954" i="1"/>
  <c r="B931" i="1"/>
  <c r="B795" i="1"/>
  <c r="B772" i="1"/>
  <c r="B603" i="1"/>
  <c r="B587" i="1"/>
  <c r="B462" i="1"/>
  <c r="B441" i="1"/>
  <c r="B268" i="1"/>
  <c r="B247" i="1"/>
  <c r="B74" i="1"/>
  <c r="B50" i="1"/>
  <c r="B90" i="3"/>
  <c r="L47" i="4"/>
  <c r="L75" i="4" s="1"/>
  <c r="H46" i="4"/>
  <c r="H74" i="4" s="1"/>
  <c r="L43" i="4"/>
  <c r="L71" i="4" s="1"/>
  <c r="L42" i="4"/>
  <c r="L70" i="4" s="1"/>
  <c r="L139" i="4" l="1"/>
  <c r="H150" i="4"/>
  <c r="L132" i="4"/>
  <c r="L150" i="4" s="1"/>
  <c r="L134" i="4"/>
  <c r="L152" i="4" s="1"/>
  <c r="H147" i="4"/>
  <c r="L129" i="4"/>
  <c r="H151" i="4"/>
  <c r="L133" i="4"/>
  <c r="L131" i="4"/>
  <c r="L149" i="4" s="1"/>
  <c r="L135" i="4"/>
  <c r="L153" i="4" s="1"/>
  <c r="I154" i="4"/>
  <c r="L136" i="4"/>
  <c r="L154" i="4" s="1"/>
  <c r="L46" i="4"/>
  <c r="L74" i="4" s="1"/>
  <c r="I157" i="4"/>
  <c r="L157" i="4"/>
  <c r="F155" i="4"/>
  <c r="F141" i="4"/>
  <c r="F159" i="4" s="1"/>
  <c r="H148" i="4"/>
  <c r="L148" i="4"/>
  <c r="F138" i="4"/>
  <c r="F131" i="4"/>
  <c r="F132" i="4"/>
  <c r="F133" i="4"/>
  <c r="F135" i="4"/>
  <c r="H153" i="4"/>
  <c r="F152" i="4"/>
  <c r="F148" i="4"/>
  <c r="L147" i="4"/>
  <c r="F147" i="4"/>
  <c r="H149" i="4"/>
  <c r="H152" i="4"/>
  <c r="H159" i="4"/>
  <c r="S7" i="4"/>
  <c r="G130" i="4" s="1"/>
  <c r="P130" i="4" s="1"/>
  <c r="S8" i="4"/>
  <c r="S9" i="4"/>
  <c r="S10" i="4"/>
  <c r="S11" i="4"/>
  <c r="G134" i="4" s="1"/>
  <c r="S12" i="4"/>
  <c r="S13" i="4"/>
  <c r="S14" i="4"/>
  <c r="G137" i="4" s="1"/>
  <c r="P137" i="4" s="1"/>
  <c r="S15" i="4"/>
  <c r="S16" i="4"/>
  <c r="S17" i="4"/>
  <c r="S18" i="4"/>
  <c r="S6" i="4"/>
  <c r="G129" i="4" s="1"/>
  <c r="P129" i="4" s="1"/>
  <c r="B1293" i="1"/>
  <c r="K98" i="4" s="1"/>
  <c r="K116" i="4" s="1"/>
  <c r="E7" i="2"/>
  <c r="E8" i="2"/>
  <c r="I109" i="4"/>
  <c r="J109" i="4"/>
  <c r="K109" i="4"/>
  <c r="N109" i="4"/>
  <c r="I110" i="4"/>
  <c r="J110" i="4"/>
  <c r="K110" i="4"/>
  <c r="N110" i="4"/>
  <c r="I111" i="4"/>
  <c r="J111" i="4"/>
  <c r="K111" i="4"/>
  <c r="N111" i="4"/>
  <c r="I112" i="4"/>
  <c r="J112" i="4"/>
  <c r="K112" i="4"/>
  <c r="N112" i="4"/>
  <c r="I113" i="4"/>
  <c r="J113" i="4"/>
  <c r="K113" i="4"/>
  <c r="N113" i="4"/>
  <c r="I114" i="4"/>
  <c r="J114" i="4"/>
  <c r="K114" i="4"/>
  <c r="N114" i="4"/>
  <c r="I115" i="4"/>
  <c r="J115" i="4"/>
  <c r="K115" i="4"/>
  <c r="N115" i="4"/>
  <c r="H116" i="4"/>
  <c r="J116" i="4"/>
  <c r="N116" i="4"/>
  <c r="H117" i="4"/>
  <c r="I117" i="4"/>
  <c r="J117" i="4"/>
  <c r="K117" i="4"/>
  <c r="N117" i="4"/>
  <c r="H118" i="4"/>
  <c r="I118" i="4"/>
  <c r="J118" i="4"/>
  <c r="K118" i="4"/>
  <c r="N118" i="4"/>
  <c r="H119" i="4"/>
  <c r="N119" i="4"/>
  <c r="I121" i="4"/>
  <c r="J121" i="4"/>
  <c r="K121" i="4"/>
  <c r="N121" i="4"/>
  <c r="H122" i="4"/>
  <c r="I122" i="4"/>
  <c r="J122" i="4"/>
  <c r="K122" i="4"/>
  <c r="N122" i="4"/>
  <c r="L117" i="4"/>
  <c r="L118" i="4"/>
  <c r="L122" i="4"/>
  <c r="B73" i="3"/>
  <c r="B907" i="1"/>
  <c r="B1270" i="1"/>
  <c r="O13" i="4" s="1"/>
  <c r="B1461" i="1"/>
  <c r="O14" i="4" s="1"/>
  <c r="B1615" i="1"/>
  <c r="B196" i="1"/>
  <c r="B23" i="1"/>
  <c r="B1583" i="1"/>
  <c r="B1431" i="1"/>
  <c r="B1239" i="1"/>
  <c r="B1063" i="1"/>
  <c r="B705" i="1"/>
  <c r="P18" i="4"/>
  <c r="O18" i="4"/>
  <c r="P17" i="4"/>
  <c r="O17" i="4"/>
  <c r="O16" i="4"/>
  <c r="P15" i="4"/>
  <c r="O15" i="4"/>
  <c r="P14" i="4"/>
  <c r="P13" i="4"/>
  <c r="P12" i="4"/>
  <c r="O12" i="4"/>
  <c r="P10" i="4"/>
  <c r="O10" i="4"/>
  <c r="O9" i="4"/>
  <c r="P8" i="4"/>
  <c r="O8" i="4"/>
  <c r="P7" i="4"/>
  <c r="B25" i="1"/>
  <c r="P6" i="4" s="1"/>
  <c r="P134" i="4" l="1"/>
  <c r="L151" i="4"/>
  <c r="G147" i="4"/>
  <c r="P147" i="4" s="1"/>
  <c r="O129" i="4"/>
  <c r="O134" i="4"/>
  <c r="G152" i="4"/>
  <c r="O152" i="4" s="1"/>
  <c r="G148" i="4"/>
  <c r="P148" i="4" s="1"/>
  <c r="G132" i="4"/>
  <c r="G142" i="4"/>
  <c r="G141" i="4"/>
  <c r="P141" i="4" s="1"/>
  <c r="G155" i="4"/>
  <c r="P155" i="4" s="1"/>
  <c r="F150" i="4"/>
  <c r="O130" i="4"/>
  <c r="O137" i="4"/>
  <c r="F151" i="4"/>
  <c r="G133" i="4"/>
  <c r="P133" i="4" s="1"/>
  <c r="G135" i="4"/>
  <c r="P135" i="4" s="1"/>
  <c r="F153" i="4"/>
  <c r="F149" i="4"/>
  <c r="G131" i="4"/>
  <c r="P131" i="4" s="1"/>
  <c r="F156" i="4"/>
  <c r="G138" i="4"/>
  <c r="P138" i="4" s="1"/>
  <c r="I98" i="4"/>
  <c r="B1659" i="1"/>
  <c r="B1658" i="1"/>
  <c r="B1657" i="1"/>
  <c r="B1656" i="1"/>
  <c r="B1636" i="1"/>
  <c r="B1637" i="1"/>
  <c r="B1638" i="1"/>
  <c r="B1639" i="1"/>
  <c r="B1640" i="1"/>
  <c r="B1499" i="1"/>
  <c r="B1483" i="1"/>
  <c r="B1482" i="1"/>
  <c r="B1320" i="1"/>
  <c r="B1319" i="1"/>
  <c r="B1318" i="1"/>
  <c r="B1317" i="1"/>
  <c r="B1316" i="1"/>
  <c r="B1315" i="1"/>
  <c r="K41" i="4" s="1"/>
  <c r="K69" i="4" s="1"/>
  <c r="I41" i="4"/>
  <c r="I69" i="4" s="1"/>
  <c r="B1298" i="1"/>
  <c r="B1297" i="1"/>
  <c r="B1296" i="1"/>
  <c r="B1295" i="1"/>
  <c r="B1294" i="1"/>
  <c r="B1875" i="1"/>
  <c r="B1874" i="1"/>
  <c r="B1873" i="1"/>
  <c r="B1872" i="1"/>
  <c r="B1871" i="1"/>
  <c r="K44" i="4"/>
  <c r="K72" i="4" s="1"/>
  <c r="I44" i="4"/>
  <c r="I72" i="4" s="1"/>
  <c r="I101" i="4"/>
  <c r="K101" i="4"/>
  <c r="K119" i="4" s="1"/>
  <c r="B1849" i="1"/>
  <c r="B1850" i="1"/>
  <c r="B1851" i="1"/>
  <c r="B1852" i="1"/>
  <c r="B1853" i="1"/>
  <c r="O142" i="4" l="1"/>
  <c r="P142" i="4"/>
  <c r="O132" i="4"/>
  <c r="P132" i="4"/>
  <c r="O147" i="4"/>
  <c r="L101" i="4"/>
  <c r="L119" i="4" s="1"/>
  <c r="I116" i="4"/>
  <c r="L98" i="4"/>
  <c r="L116" i="4" s="1"/>
  <c r="O155" i="4"/>
  <c r="P152" i="4"/>
  <c r="G150" i="4"/>
  <c r="O150" i="4" s="1"/>
  <c r="G149" i="4"/>
  <c r="O149" i="4" s="1"/>
  <c r="O148" i="4"/>
  <c r="O131" i="4"/>
  <c r="G159" i="4"/>
  <c r="O141" i="4"/>
  <c r="G160" i="4"/>
  <c r="P160" i="4" s="1"/>
  <c r="O135" i="4"/>
  <c r="G153" i="4"/>
  <c r="P153" i="4" s="1"/>
  <c r="G156" i="4"/>
  <c r="O138" i="4"/>
  <c r="G151" i="4"/>
  <c r="O133" i="4"/>
  <c r="I119" i="4"/>
  <c r="L41" i="4"/>
  <c r="L69" i="4" s="1"/>
  <c r="B1641" i="1"/>
  <c r="M100" i="4" s="1"/>
  <c r="M118" i="4" s="1"/>
  <c r="F100" i="4"/>
  <c r="L44" i="4"/>
  <c r="L72" i="4" s="1"/>
  <c r="B1484" i="1"/>
  <c r="M99" i="4" s="1"/>
  <c r="M117" i="4" s="1"/>
  <c r="F99" i="4"/>
  <c r="B1660" i="1"/>
  <c r="M43" i="4" s="1"/>
  <c r="M71" i="4" s="1"/>
  <c r="F43" i="4"/>
  <c r="F71" i="4" s="1"/>
  <c r="B1500" i="1"/>
  <c r="M42" i="4" s="1"/>
  <c r="M70" i="4" s="1"/>
  <c r="F42" i="4"/>
  <c r="F70" i="4" s="1"/>
  <c r="B13" i="2"/>
  <c r="F59" i="2"/>
  <c r="E59" i="2"/>
  <c r="H21" i="2"/>
  <c r="G21" i="2"/>
  <c r="F21" i="2"/>
  <c r="E21" i="2"/>
  <c r="D21" i="2"/>
  <c r="C21" i="2"/>
  <c r="C40" i="2"/>
  <c r="C56" i="2"/>
  <c r="B1900" i="1" l="1"/>
  <c r="R139" i="4" s="1"/>
  <c r="R157" i="4" s="1"/>
  <c r="B1968" i="1"/>
  <c r="R140" i="4" s="1"/>
  <c r="R158" i="4" s="1"/>
  <c r="B482" i="1"/>
  <c r="M131" i="4" s="1"/>
  <c r="M149" i="4" s="1"/>
  <c r="B1152" i="1"/>
  <c r="M135" i="4" s="1"/>
  <c r="M153" i="4" s="1"/>
  <c r="B621" i="1"/>
  <c r="M132" i="4" s="1"/>
  <c r="M150" i="4" s="1"/>
  <c r="B137" i="3"/>
  <c r="M141" i="4" s="1"/>
  <c r="M159" i="4" s="1"/>
  <c r="B817" i="1"/>
  <c r="M133" i="4" s="1"/>
  <c r="M151" i="4" s="1"/>
  <c r="B1679" i="1"/>
  <c r="M138" i="4" s="1"/>
  <c r="M156" i="4" s="1"/>
  <c r="B290" i="1"/>
  <c r="M130" i="4" s="1"/>
  <c r="M148" i="4" s="1"/>
  <c r="B195" i="3"/>
  <c r="M142" i="4" s="1"/>
  <c r="M160" i="4" s="1"/>
  <c r="B976" i="1"/>
  <c r="M134" i="4" s="1"/>
  <c r="M152" i="4" s="1"/>
  <c r="B96" i="1"/>
  <c r="M129" i="4" s="1"/>
  <c r="M147" i="4" s="1"/>
  <c r="B1516" i="1"/>
  <c r="M137" i="4" s="1"/>
  <c r="M155" i="4" s="1"/>
  <c r="O160" i="4"/>
  <c r="P150" i="4"/>
  <c r="P149" i="4"/>
  <c r="O159" i="4"/>
  <c r="P159" i="4"/>
  <c r="O153" i="4"/>
  <c r="P151" i="4"/>
  <c r="O151" i="4"/>
  <c r="P156" i="4"/>
  <c r="O156" i="4"/>
  <c r="F117" i="4"/>
  <c r="G99" i="4"/>
  <c r="P99" i="4" s="1"/>
  <c r="G42" i="4"/>
  <c r="F118" i="4"/>
  <c r="G100" i="4"/>
  <c r="P100" i="4" s="1"/>
  <c r="G43" i="4"/>
  <c r="D47" i="2"/>
  <c r="D32" i="2"/>
  <c r="B48" i="2"/>
  <c r="D48" i="2" s="1"/>
  <c r="B45" i="2"/>
  <c r="G70" i="4" l="1"/>
  <c r="P70" i="4" s="1"/>
  <c r="P42" i="4"/>
  <c r="P43" i="4"/>
  <c r="G71" i="4"/>
  <c r="P71" i="4" s="1"/>
  <c r="G118" i="4"/>
  <c r="P118" i="4" s="1"/>
  <c r="O100" i="4"/>
  <c r="O42" i="4"/>
  <c r="O99" i="4"/>
  <c r="G117" i="4"/>
  <c r="P117" i="4" s="1"/>
  <c r="O43" i="4"/>
  <c r="F48" i="2"/>
  <c r="F47" i="2"/>
  <c r="G47" i="2"/>
  <c r="B1132" i="1" s="1"/>
  <c r="O118" i="4" l="1"/>
  <c r="O70" i="4"/>
  <c r="O71" i="4"/>
  <c r="O117" i="4"/>
  <c r="G48" i="2"/>
  <c r="B1134" i="1"/>
  <c r="B1133" i="1"/>
  <c r="H40" i="4" s="1"/>
  <c r="H68" i="4" s="1"/>
  <c r="B1117" i="1"/>
  <c r="B1115" i="1"/>
  <c r="B1116" i="1"/>
  <c r="H97" i="4" s="1"/>
  <c r="L97" i="4" s="1"/>
  <c r="B205" i="1"/>
  <c r="O6" i="4"/>
  <c r="O7" i="4"/>
  <c r="O11" i="4"/>
  <c r="H115" i="4" l="1"/>
  <c r="L115" i="4"/>
  <c r="B1135" i="1"/>
  <c r="M40" i="4" s="1"/>
  <c r="M68" i="4" s="1"/>
  <c r="F40" i="4"/>
  <c r="F68" i="4" s="1"/>
  <c r="B1118" i="1"/>
  <c r="M97" i="4" s="1"/>
  <c r="M115" i="4" s="1"/>
  <c r="F97" i="4"/>
  <c r="L40" i="4"/>
  <c r="L68" i="4" s="1"/>
  <c r="B171" i="3"/>
  <c r="B20" i="3"/>
  <c r="B21" i="3"/>
  <c r="B22" i="3"/>
  <c r="B110" i="3"/>
  <c r="B152" i="3"/>
  <c r="B85" i="2"/>
  <c r="G85" i="2" s="1"/>
  <c r="B111" i="3" s="1"/>
  <c r="B86" i="2"/>
  <c r="D86" i="2" s="1"/>
  <c r="D78" i="2"/>
  <c r="D79" i="2"/>
  <c r="B93" i="2" s="1"/>
  <c r="B72" i="3"/>
  <c r="K18" i="4" s="1"/>
  <c r="B71" i="3"/>
  <c r="B70" i="3"/>
  <c r="B23" i="3"/>
  <c r="B19" i="3"/>
  <c r="K17" i="4" s="1"/>
  <c r="B18" i="3"/>
  <c r="F17" i="4" s="1"/>
  <c r="J17" i="4" s="1"/>
  <c r="B17" i="3"/>
  <c r="M17" i="4" s="1"/>
  <c r="B16" i="3"/>
  <c r="N17" i="4" s="1"/>
  <c r="B15" i="3"/>
  <c r="B14" i="3"/>
  <c r="B13" i="3"/>
  <c r="B12" i="3"/>
  <c r="L17" i="4" s="1"/>
  <c r="H103" i="4" l="1"/>
  <c r="L103" i="4" s="1"/>
  <c r="F18" i="4"/>
  <c r="J18" i="4" s="1"/>
  <c r="B94" i="2"/>
  <c r="D94" i="2" s="1"/>
  <c r="G40" i="4"/>
  <c r="F115" i="4"/>
  <c r="G97" i="4"/>
  <c r="P97" i="4" s="1"/>
  <c r="G86" i="2"/>
  <c r="B116" i="3"/>
  <c r="B112" i="3"/>
  <c r="B114" i="3"/>
  <c r="B113" i="3"/>
  <c r="B115" i="3"/>
  <c r="F86" i="2"/>
  <c r="G93" i="2"/>
  <c r="D93" i="2"/>
  <c r="F93" i="2" s="1"/>
  <c r="D85" i="2"/>
  <c r="F85" i="2" s="1"/>
  <c r="B33" i="2"/>
  <c r="B30" i="2"/>
  <c r="B27" i="1"/>
  <c r="B26" i="1"/>
  <c r="P16" i="4"/>
  <c r="G68" i="4" l="1"/>
  <c r="P68" i="4" s="1"/>
  <c r="P40" i="4"/>
  <c r="B154" i="3"/>
  <c r="B151" i="3"/>
  <c r="F104" i="4" s="1"/>
  <c r="B156" i="3"/>
  <c r="B170" i="3"/>
  <c r="B175" i="3"/>
  <c r="B173" i="3"/>
  <c r="B133" i="3"/>
  <c r="B135" i="3"/>
  <c r="B134" i="3"/>
  <c r="B136" i="3"/>
  <c r="B132" i="3"/>
  <c r="L121" i="4"/>
  <c r="H121" i="4"/>
  <c r="G115" i="4"/>
  <c r="P115" i="4" s="1"/>
  <c r="O97" i="4"/>
  <c r="O40" i="4"/>
  <c r="B117" i="3"/>
  <c r="M46" i="4" s="1"/>
  <c r="M74" i="4" s="1"/>
  <c r="F46" i="4"/>
  <c r="F74" i="4" s="1"/>
  <c r="D33" i="2"/>
  <c r="G32" i="2"/>
  <c r="B157" i="3"/>
  <c r="M104" i="4" s="1"/>
  <c r="M122" i="4" s="1"/>
  <c r="B155" i="3"/>
  <c r="B153" i="3"/>
  <c r="B95" i="3"/>
  <c r="B94" i="3"/>
  <c r="B96" i="3"/>
  <c r="B92" i="3"/>
  <c r="B93" i="3"/>
  <c r="B91" i="3"/>
  <c r="G94" i="2"/>
  <c r="B174" i="3"/>
  <c r="B172" i="3"/>
  <c r="F94" i="2"/>
  <c r="B15" i="1"/>
  <c r="I6" i="4" s="1"/>
  <c r="B375" i="1"/>
  <c r="I8" i="4" s="1"/>
  <c r="B1775" i="1"/>
  <c r="M16" i="4" s="1"/>
  <c r="B1774" i="1"/>
  <c r="N16" i="4" s="1"/>
  <c r="B1769" i="1"/>
  <c r="B1768" i="1"/>
  <c r="B1767" i="1"/>
  <c r="B8" i="2"/>
  <c r="B1589" i="1"/>
  <c r="M15" i="4" s="1"/>
  <c r="B1588" i="1"/>
  <c r="B1587" i="1"/>
  <c r="B1586" i="1"/>
  <c r="B1585" i="1"/>
  <c r="I15" i="4"/>
  <c r="B1582" i="1"/>
  <c r="H15" i="4" s="1"/>
  <c r="B1581" i="1"/>
  <c r="G15" i="4" s="1"/>
  <c r="B1580" i="1"/>
  <c r="F15" i="4" s="1"/>
  <c r="B1584" i="1"/>
  <c r="K15" i="4" s="1"/>
  <c r="B1435" i="1"/>
  <c r="M14" i="4" s="1"/>
  <c r="B1434" i="1"/>
  <c r="B1433" i="1"/>
  <c r="L14" i="4" s="1"/>
  <c r="I14" i="4"/>
  <c r="B1430" i="1"/>
  <c r="H14" i="4" s="1"/>
  <c r="B1429" i="1"/>
  <c r="G14" i="4" s="1"/>
  <c r="B1428" i="1"/>
  <c r="F14" i="4" s="1"/>
  <c r="B1432" i="1"/>
  <c r="K14" i="4" s="1"/>
  <c r="B1240" i="1"/>
  <c r="K13" i="4" s="1"/>
  <c r="I13" i="4"/>
  <c r="B1064" i="1"/>
  <c r="K12" i="4" s="1"/>
  <c r="M12" i="4"/>
  <c r="N12" i="4"/>
  <c r="B1068" i="1"/>
  <c r="B1067" i="1"/>
  <c r="B1066" i="1"/>
  <c r="B1065" i="1"/>
  <c r="I12" i="4"/>
  <c r="B1062" i="1"/>
  <c r="H12" i="4" s="1"/>
  <c r="B1061" i="1"/>
  <c r="G12" i="4" s="1"/>
  <c r="B1060" i="1"/>
  <c r="F12" i="4" s="1"/>
  <c r="B1071" i="1"/>
  <c r="B567" i="1"/>
  <c r="K9" i="4" s="1"/>
  <c r="B902" i="1"/>
  <c r="K11" i="4" s="1"/>
  <c r="B706" i="1"/>
  <c r="K10" i="4" s="1"/>
  <c r="B376" i="1"/>
  <c r="K8" i="4" s="1"/>
  <c r="B181" i="1"/>
  <c r="K7" i="4" s="1"/>
  <c r="B16" i="1"/>
  <c r="K6" i="4" s="1"/>
  <c r="B566" i="1"/>
  <c r="F9" i="4" s="1"/>
  <c r="J9" i="4" s="1"/>
  <c r="B905" i="1"/>
  <c r="B904" i="1"/>
  <c r="B903" i="1"/>
  <c r="B901" i="1"/>
  <c r="F11" i="4" s="1"/>
  <c r="J11" i="4" s="1"/>
  <c r="B906" i="1"/>
  <c r="B712" i="1"/>
  <c r="B711" i="1"/>
  <c r="M10" i="4" s="1"/>
  <c r="B710" i="1"/>
  <c r="B709" i="1"/>
  <c r="B708" i="1"/>
  <c r="B707" i="1"/>
  <c r="I10" i="4"/>
  <c r="B704" i="1"/>
  <c r="F10" i="4" s="1"/>
  <c r="M8" i="4"/>
  <c r="B379" i="1"/>
  <c r="B378" i="1"/>
  <c r="B377" i="1"/>
  <c r="B374" i="1"/>
  <c r="F8" i="4" s="1"/>
  <c r="B22" i="1"/>
  <c r="B14" i="1"/>
  <c r="F6" i="4" s="1"/>
  <c r="M7" i="4"/>
  <c r="N7" i="4"/>
  <c r="B185" i="1"/>
  <c r="B184" i="1"/>
  <c r="B183" i="1"/>
  <c r="B182" i="1"/>
  <c r="B180" i="1"/>
  <c r="F7" i="4" s="1"/>
  <c r="J7" i="4" s="1"/>
  <c r="B21" i="1"/>
  <c r="M6" i="4" s="1"/>
  <c r="B20" i="1"/>
  <c r="B19" i="1"/>
  <c r="B18" i="1"/>
  <c r="B17" i="1"/>
  <c r="J6" i="4" l="1"/>
  <c r="J8" i="4"/>
  <c r="J10" i="4"/>
  <c r="J12" i="4"/>
  <c r="J14" i="4"/>
  <c r="J15" i="4"/>
  <c r="B944" i="1"/>
  <c r="B785" i="1"/>
  <c r="B264" i="1"/>
  <c r="B262" i="1"/>
  <c r="B260" i="1"/>
  <c r="B454" i="1"/>
  <c r="B263" i="1"/>
  <c r="B455" i="1"/>
  <c r="H36" i="4" s="1"/>
  <c r="H64" i="4" s="1"/>
  <c r="B265" i="1"/>
  <c r="B261" i="1"/>
  <c r="B600" i="1"/>
  <c r="F47" i="4"/>
  <c r="F75" i="4" s="1"/>
  <c r="B176" i="3"/>
  <c r="M47" i="4" s="1"/>
  <c r="M75" i="4" s="1"/>
  <c r="B1241" i="1"/>
  <c r="B1766" i="1"/>
  <c r="I16" i="4" s="1"/>
  <c r="B1236" i="1"/>
  <c r="F13" i="4" s="1"/>
  <c r="B1243" i="1"/>
  <c r="B1770" i="1"/>
  <c r="B1238" i="1"/>
  <c r="H13" i="4" s="1"/>
  <c r="B1242" i="1"/>
  <c r="B1772" i="1"/>
  <c r="B1237" i="1"/>
  <c r="G13" i="4" s="1"/>
  <c r="B1244" i="1"/>
  <c r="M13" i="4" s="1"/>
  <c r="B1771" i="1"/>
  <c r="D55" i="2"/>
  <c r="C55" i="2"/>
  <c r="F122" i="4"/>
  <c r="G104" i="4"/>
  <c r="P104" i="4" s="1"/>
  <c r="B1765" i="1"/>
  <c r="H16" i="4" s="1"/>
  <c r="L12" i="4"/>
  <c r="L10" i="4"/>
  <c r="L11" i="4"/>
  <c r="L6" i="4"/>
  <c r="G46" i="4"/>
  <c r="O68" i="4"/>
  <c r="O115" i="4"/>
  <c r="B97" i="3"/>
  <c r="M103" i="4" s="1"/>
  <c r="F103" i="4"/>
  <c r="L16" i="4"/>
  <c r="L15" i="4"/>
  <c r="K16" i="4"/>
  <c r="L7" i="4"/>
  <c r="L8" i="4"/>
  <c r="F33" i="2"/>
  <c r="F32" i="2"/>
  <c r="B1763" i="1"/>
  <c r="F16" i="4" s="1"/>
  <c r="B949" i="1"/>
  <c r="B945" i="1"/>
  <c r="H39" i="4" s="1"/>
  <c r="H67" i="4" s="1"/>
  <c r="B948" i="1"/>
  <c r="B946" i="1"/>
  <c r="B952" i="1"/>
  <c r="B951" i="1"/>
  <c r="B947" i="1"/>
  <c r="B950" i="1"/>
  <c r="B792" i="1"/>
  <c r="B602" i="1"/>
  <c r="B789" i="1"/>
  <c r="B266" i="1"/>
  <c r="B70" i="1"/>
  <c r="B459" i="1"/>
  <c r="B787" i="1"/>
  <c r="B68" i="1"/>
  <c r="H35" i="4"/>
  <c r="H63" i="4" s="1"/>
  <c r="B791" i="1"/>
  <c r="B65" i="1"/>
  <c r="H34" i="4" s="1"/>
  <c r="H62" i="4" s="1"/>
  <c r="B71" i="1"/>
  <c r="B788" i="1"/>
  <c r="B69" i="1"/>
  <c r="B786" i="1"/>
  <c r="H38" i="4" s="1"/>
  <c r="H66" i="4" s="1"/>
  <c r="B64" i="1"/>
  <c r="B457" i="1"/>
  <c r="B601" i="1"/>
  <c r="H37" i="4" s="1"/>
  <c r="H65" i="4" s="1"/>
  <c r="B456" i="1"/>
  <c r="B790" i="1"/>
  <c r="B72" i="1"/>
  <c r="B460" i="1"/>
  <c r="B458" i="1"/>
  <c r="B793" i="1"/>
  <c r="B66" i="1"/>
  <c r="B67" i="1"/>
  <c r="G33" i="2"/>
  <c r="B1764" i="1"/>
  <c r="G16" i="4" s="1"/>
  <c r="B1773" i="1"/>
  <c r="P46" i="4" l="1"/>
  <c r="G74" i="4"/>
  <c r="P74" i="4" s="1"/>
  <c r="J13" i="4"/>
  <c r="J16" i="4"/>
  <c r="G47" i="4"/>
  <c r="B1313" i="1"/>
  <c r="B1335" i="1"/>
  <c r="B1291" i="1"/>
  <c r="G122" i="4"/>
  <c r="P122" i="4" s="1"/>
  <c r="O104" i="4"/>
  <c r="L13" i="4"/>
  <c r="B1958" i="1"/>
  <c r="B1936" i="1"/>
  <c r="B1914" i="1"/>
  <c r="B1890" i="1"/>
  <c r="B1868" i="1"/>
  <c r="B1846" i="1"/>
  <c r="M121" i="4"/>
  <c r="O46" i="4"/>
  <c r="F121" i="4"/>
  <c r="G103" i="4"/>
  <c r="P103" i="4" s="1"/>
  <c r="L36" i="4"/>
  <c r="L64" i="4" s="1"/>
  <c r="B267" i="1"/>
  <c r="M35" i="4" s="1"/>
  <c r="M63" i="4" s="1"/>
  <c r="F35" i="4"/>
  <c r="F63" i="4" s="1"/>
  <c r="L37" i="4"/>
  <c r="L65" i="4" s="1"/>
  <c r="L34" i="4"/>
  <c r="L62" i="4" s="1"/>
  <c r="B953" i="1"/>
  <c r="M39" i="4" s="1"/>
  <c r="M67" i="4" s="1"/>
  <c r="F39" i="4"/>
  <c r="F67" i="4" s="1"/>
  <c r="B604" i="1"/>
  <c r="M37" i="4" s="1"/>
  <c r="M65" i="4" s="1"/>
  <c r="F37" i="4"/>
  <c r="F65" i="4" s="1"/>
  <c r="B794" i="1"/>
  <c r="M38" i="4" s="1"/>
  <c r="M66" i="4" s="1"/>
  <c r="F38" i="4"/>
  <c r="F66" i="4" s="1"/>
  <c r="B73" i="1"/>
  <c r="M34" i="4" s="1"/>
  <c r="M62" i="4" s="1"/>
  <c r="F34" i="4"/>
  <c r="F62" i="4" s="1"/>
  <c r="L39" i="4"/>
  <c r="L67" i="4" s="1"/>
  <c r="B461" i="1"/>
  <c r="M36" i="4" s="1"/>
  <c r="M64" i="4" s="1"/>
  <c r="F36" i="4"/>
  <c r="F64" i="4" s="1"/>
  <c r="L38" i="4"/>
  <c r="L66" i="4" s="1"/>
  <c r="L35" i="4"/>
  <c r="L63" i="4" s="1"/>
  <c r="B923" i="1"/>
  <c r="B925" i="1"/>
  <c r="B921" i="1"/>
  <c r="B926" i="1"/>
  <c r="B924" i="1"/>
  <c r="B929" i="1"/>
  <c r="B927" i="1"/>
  <c r="B922" i="1"/>
  <c r="H96" i="4" s="1"/>
  <c r="L96" i="4" s="1"/>
  <c r="B928" i="1"/>
  <c r="B762" i="1"/>
  <c r="B765" i="1"/>
  <c r="B43" i="1"/>
  <c r="B241" i="1"/>
  <c r="B435" i="1"/>
  <c r="B768" i="1"/>
  <c r="B767" i="1"/>
  <c r="B47" i="1"/>
  <c r="B45" i="1"/>
  <c r="B436" i="1"/>
  <c r="B583" i="1"/>
  <c r="B763" i="1"/>
  <c r="H95" i="4" s="1"/>
  <c r="L95" i="4" s="1"/>
  <c r="B585" i="1"/>
  <c r="B42" i="1"/>
  <c r="B439" i="1"/>
  <c r="B434" i="1"/>
  <c r="H93" i="4" s="1"/>
  <c r="L93" i="4" s="1"/>
  <c r="B244" i="1"/>
  <c r="B41" i="1"/>
  <c r="H91" i="4" s="1"/>
  <c r="L91" i="4" s="1"/>
  <c r="B242" i="1"/>
  <c r="B766" i="1"/>
  <c r="B245" i="1"/>
  <c r="B584" i="1"/>
  <c r="H94" i="4" s="1"/>
  <c r="L94" i="4" s="1"/>
  <c r="B40" i="1"/>
  <c r="B240" i="1"/>
  <c r="H92" i="4" s="1"/>
  <c r="L92" i="4" s="1"/>
  <c r="B44" i="1"/>
  <c r="B243" i="1"/>
  <c r="B48" i="1"/>
  <c r="B433" i="1"/>
  <c r="B437" i="1"/>
  <c r="B46" i="1"/>
  <c r="B764" i="1"/>
  <c r="B770" i="1"/>
  <c r="B239" i="1"/>
  <c r="B438" i="1"/>
  <c r="B769" i="1"/>
  <c r="G75" i="4" l="1"/>
  <c r="P75" i="4" s="1"/>
  <c r="P47" i="4"/>
  <c r="F45" i="4"/>
  <c r="F73" i="4" s="1"/>
  <c r="B1944" i="1"/>
  <c r="M45" i="4" s="1"/>
  <c r="M73" i="4" s="1"/>
  <c r="B1938" i="1"/>
  <c r="K45" i="4" s="1"/>
  <c r="K73" i="4" s="1"/>
  <c r="F44" i="4"/>
  <c r="F72" i="4" s="1"/>
  <c r="B1876" i="1"/>
  <c r="M44" i="4" s="1"/>
  <c r="M72" i="4" s="1"/>
  <c r="B1966" i="1"/>
  <c r="M140" i="4" s="1"/>
  <c r="M158" i="4" s="1"/>
  <c r="F140" i="4"/>
  <c r="B1970" i="1"/>
  <c r="W140" i="4" s="1"/>
  <c r="W158" i="4" s="1"/>
  <c r="B1960" i="1"/>
  <c r="K140" i="4" s="1"/>
  <c r="L140" i="4" s="1"/>
  <c r="O122" i="4"/>
  <c r="O47" i="4"/>
  <c r="B1922" i="1"/>
  <c r="M102" i="4" s="1"/>
  <c r="M120" i="4" s="1"/>
  <c r="F102" i="4"/>
  <c r="B1916" i="1"/>
  <c r="K102" i="4" s="1"/>
  <c r="L102" i="4" s="1"/>
  <c r="F136" i="4"/>
  <c r="B1343" i="1"/>
  <c r="M136" i="4" s="1"/>
  <c r="M154" i="4" s="1"/>
  <c r="B1854" i="1"/>
  <c r="M101" i="4" s="1"/>
  <c r="M119" i="4" s="1"/>
  <c r="F101" i="4"/>
  <c r="F41" i="4"/>
  <c r="F69" i="4" s="1"/>
  <c r="B1321" i="1"/>
  <c r="M41" i="4" s="1"/>
  <c r="M69" i="4" s="1"/>
  <c r="B1898" i="1"/>
  <c r="M139" i="4" s="1"/>
  <c r="M157" i="4" s="1"/>
  <c r="F139" i="4"/>
  <c r="B1969" i="1"/>
  <c r="V140" i="4" s="1"/>
  <c r="V158" i="4" s="1"/>
  <c r="B1901" i="1"/>
  <c r="V139" i="4" s="1"/>
  <c r="V157" i="4" s="1"/>
  <c r="B1299" i="1"/>
  <c r="M98" i="4" s="1"/>
  <c r="M116" i="4" s="1"/>
  <c r="F98" i="4"/>
  <c r="O74" i="4"/>
  <c r="L110" i="4"/>
  <c r="H110" i="4"/>
  <c r="G39" i="4"/>
  <c r="G37" i="4"/>
  <c r="B930" i="1"/>
  <c r="M96" i="4" s="1"/>
  <c r="M114" i="4" s="1"/>
  <c r="F96" i="4"/>
  <c r="G35" i="4"/>
  <c r="H111" i="4"/>
  <c r="L111" i="4"/>
  <c r="B586" i="1"/>
  <c r="M94" i="4" s="1"/>
  <c r="M112" i="4" s="1"/>
  <c r="F94" i="4"/>
  <c r="H109" i="4"/>
  <c r="L109" i="4"/>
  <c r="B49" i="1"/>
  <c r="M91" i="4" s="1"/>
  <c r="M109" i="4" s="1"/>
  <c r="F91" i="4"/>
  <c r="G121" i="4"/>
  <c r="P121" i="4" s="1"/>
  <c r="O103" i="4"/>
  <c r="G36" i="4"/>
  <c r="B771" i="1"/>
  <c r="M95" i="4" s="1"/>
  <c r="M113" i="4" s="1"/>
  <c r="F95" i="4"/>
  <c r="G34" i="4"/>
  <c r="G38" i="4"/>
  <c r="B246" i="1"/>
  <c r="M92" i="4" s="1"/>
  <c r="M110" i="4" s="1"/>
  <c r="F92" i="4"/>
  <c r="L114" i="4"/>
  <c r="H114" i="4"/>
  <c r="L112" i="4"/>
  <c r="H112" i="4"/>
  <c r="B440" i="1"/>
  <c r="M93" i="4" s="1"/>
  <c r="M111" i="4" s="1"/>
  <c r="F93" i="4"/>
  <c r="H113" i="4"/>
  <c r="L113" i="4"/>
  <c r="G67" i="4" l="1"/>
  <c r="P67" i="4" s="1"/>
  <c r="P39" i="4"/>
  <c r="G64" i="4"/>
  <c r="P64" i="4" s="1"/>
  <c r="P36" i="4"/>
  <c r="P35" i="4"/>
  <c r="G63" i="4"/>
  <c r="P63" i="4" s="1"/>
  <c r="P34" i="4"/>
  <c r="G62" i="4"/>
  <c r="P62" i="4" s="1"/>
  <c r="P38" i="4"/>
  <c r="G66" i="4"/>
  <c r="P66" i="4" s="1"/>
  <c r="P37" i="4"/>
  <c r="G65" i="4"/>
  <c r="P65" i="4" s="1"/>
  <c r="L45" i="4"/>
  <c r="L73" i="4" s="1"/>
  <c r="G41" i="4"/>
  <c r="F154" i="4"/>
  <c r="G136" i="4"/>
  <c r="P136" i="4" s="1"/>
  <c r="O75" i="4"/>
  <c r="F120" i="4"/>
  <c r="G102" i="4"/>
  <c r="P102" i="4" s="1"/>
  <c r="G44" i="4"/>
  <c r="F158" i="4"/>
  <c r="G140" i="4"/>
  <c r="P140" i="4" s="1"/>
  <c r="F116" i="4"/>
  <c r="G98" i="4"/>
  <c r="P98" i="4" s="1"/>
  <c r="F157" i="4"/>
  <c r="G139" i="4"/>
  <c r="P139" i="4" s="1"/>
  <c r="G101" i="4"/>
  <c r="P101" i="4" s="1"/>
  <c r="F119" i="4"/>
  <c r="K120" i="4"/>
  <c r="L120" i="4"/>
  <c r="K158" i="4"/>
  <c r="L158" i="4"/>
  <c r="G45" i="4"/>
  <c r="F114" i="4"/>
  <c r="G96" i="4"/>
  <c r="P96" i="4" s="1"/>
  <c r="F110" i="4"/>
  <c r="G92" i="4"/>
  <c r="P92" i="4" s="1"/>
  <c r="O36" i="4"/>
  <c r="O121" i="4"/>
  <c r="O39" i="4"/>
  <c r="G94" i="4"/>
  <c r="P94" i="4" s="1"/>
  <c r="F112" i="4"/>
  <c r="O37" i="4"/>
  <c r="O38" i="4"/>
  <c r="F109" i="4"/>
  <c r="G91" i="4"/>
  <c r="P91" i="4" s="1"/>
  <c r="F111" i="4"/>
  <c r="G93" i="4"/>
  <c r="P93" i="4" s="1"/>
  <c r="O34" i="4"/>
  <c r="G95" i="4"/>
  <c r="P95" i="4" s="1"/>
  <c r="F113" i="4"/>
  <c r="O35" i="4"/>
  <c r="G72" i="4" l="1"/>
  <c r="P72" i="4" s="1"/>
  <c r="P44" i="4"/>
  <c r="P41" i="4"/>
  <c r="G69" i="4"/>
  <c r="P69" i="4" s="1"/>
  <c r="P45" i="4"/>
  <c r="G73" i="4"/>
  <c r="P73" i="4" s="1"/>
  <c r="O98" i="4"/>
  <c r="G116" i="4"/>
  <c r="P116" i="4" s="1"/>
  <c r="O101" i="4"/>
  <c r="G119" i="4"/>
  <c r="P119" i="4" s="1"/>
  <c r="O45" i="4"/>
  <c r="O139" i="4"/>
  <c r="G157" i="4"/>
  <c r="G158" i="4"/>
  <c r="O140" i="4"/>
  <c r="G120" i="4"/>
  <c r="P120" i="4" s="1"/>
  <c r="O102" i="4"/>
  <c r="O136" i="4"/>
  <c r="G154" i="4"/>
  <c r="O44" i="4"/>
  <c r="O41" i="4"/>
  <c r="G112" i="4"/>
  <c r="P112" i="4" s="1"/>
  <c r="O94" i="4"/>
  <c r="O92" i="4"/>
  <c r="G110" i="4"/>
  <c r="P110" i="4" s="1"/>
  <c r="G111" i="4"/>
  <c r="P111" i="4" s="1"/>
  <c r="O93" i="4"/>
  <c r="O63" i="4"/>
  <c r="O91" i="4"/>
  <c r="G109" i="4"/>
  <c r="P109" i="4" s="1"/>
  <c r="O64" i="4"/>
  <c r="G113" i="4"/>
  <c r="P113" i="4" s="1"/>
  <c r="O95" i="4"/>
  <c r="O62" i="4"/>
  <c r="O67" i="4"/>
  <c r="O66" i="4"/>
  <c r="O96" i="4"/>
  <c r="G114" i="4"/>
  <c r="P114" i="4" s="1"/>
  <c r="O65" i="4"/>
  <c r="P157" i="4" l="1"/>
  <c r="O157" i="4"/>
  <c r="O73" i="4"/>
  <c r="O116" i="4"/>
  <c r="O72" i="4"/>
  <c r="O119" i="4"/>
  <c r="O120" i="4"/>
  <c r="O69" i="4"/>
  <c r="P154" i="4"/>
  <c r="O154" i="4"/>
  <c r="P158" i="4"/>
  <c r="O158" i="4"/>
  <c r="O111" i="4"/>
  <c r="O109" i="4"/>
  <c r="O114" i="4"/>
  <c r="O112" i="4"/>
  <c r="O110" i="4"/>
  <c r="O1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Q17" authorId="0" shapeId="0" xr:uid="{00000000-0006-0000-0000-000005000000}">
      <text>
        <r>
          <rPr>
            <b/>
            <sz val="9"/>
            <color indexed="81"/>
            <rFont val="Tahoma"/>
            <family val="2"/>
          </rPr>
          <t>Sacchi Romain:</t>
        </r>
        <r>
          <rPr>
            <sz val="9"/>
            <color indexed="81"/>
            <rFont val="Tahoma"/>
            <family val="2"/>
          </rPr>
          <t xml:space="preserve">
Used same as GREET, since not specified in Pereira et al. 2019</t>
        </r>
      </text>
    </comment>
    <comment ref="L41" authorId="0" shapeId="0" xr:uid="{00000000-0006-0000-0000-00000A000000}">
      <text>
        <r>
          <rPr>
            <b/>
            <sz val="9"/>
            <color indexed="81"/>
            <rFont val="Tahoma"/>
            <family val="2"/>
          </rPr>
          <t>Sacchi Romain:</t>
        </r>
        <r>
          <rPr>
            <sz val="9"/>
            <color indexed="81"/>
            <rFont val="Tahoma"/>
            <family val="2"/>
          </rPr>
          <t xml:space="preserve">
Extremely high comparatively. But GREET indicates 15827 Btu/gallon.</t>
        </r>
      </text>
    </comment>
    <comment ref="L44" authorId="0" shapeId="0" xr:uid="{00000000-0006-0000-0000-00000B000000}">
      <text>
        <r>
          <rPr>
            <b/>
            <sz val="9"/>
            <color indexed="81"/>
            <rFont val="Tahoma"/>
            <family val="2"/>
          </rPr>
          <t>Sacchi Romain:</t>
        </r>
        <r>
          <rPr>
            <sz val="9"/>
            <color indexed="81"/>
            <rFont val="Tahoma"/>
            <family val="2"/>
          </rPr>
          <t xml:space="preserve">
Extremely high comparatively. But GREET indicates 22378 Btu/gallon.</t>
        </r>
      </text>
    </comment>
    <comment ref="L45" authorId="0" shapeId="0" xr:uid="{00000000-0006-0000-0000-00000C000000}">
      <text>
        <r>
          <rPr>
            <b/>
            <sz val="9"/>
            <color indexed="81"/>
            <rFont val="Tahoma"/>
            <family val="2"/>
          </rPr>
          <t>Sacchi Romain:</t>
        </r>
        <r>
          <rPr>
            <sz val="9"/>
            <color indexed="81"/>
            <rFont val="Tahoma"/>
            <family val="2"/>
          </rPr>
          <t xml:space="preserve">
Extremely high comparatively. But GREET indicates 22378 Btu/gallon.</t>
        </r>
      </text>
    </comment>
    <comment ref="M91" authorId="0" shapeId="0" xr:uid="{00000000-0006-0000-0000-000006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98" authorId="0" shapeId="0" xr:uid="{00000000-0006-0000-0000-000007000000}">
      <text>
        <r>
          <rPr>
            <b/>
            <sz val="9"/>
            <color indexed="81"/>
            <rFont val="Tahoma"/>
            <family val="2"/>
          </rPr>
          <t>Sacchi Romain:</t>
        </r>
        <r>
          <rPr>
            <sz val="9"/>
            <color indexed="81"/>
            <rFont val="Tahoma"/>
            <family val="2"/>
          </rPr>
          <t xml:space="preserve">
Extremely high comparatively. But GREET indicates 15827 Btu/gallon.</t>
        </r>
      </text>
    </comment>
    <comment ref="L101" authorId="0" shapeId="0" xr:uid="{00000000-0006-0000-0000-000008000000}">
      <text>
        <r>
          <rPr>
            <b/>
            <sz val="9"/>
            <color indexed="81"/>
            <rFont val="Tahoma"/>
            <family val="2"/>
          </rPr>
          <t>Sacchi Romain:</t>
        </r>
        <r>
          <rPr>
            <sz val="9"/>
            <color indexed="81"/>
            <rFont val="Tahoma"/>
            <family val="2"/>
          </rPr>
          <t xml:space="preserve">
Extremely high comparatively. But GREET indicates 22378 Btu/gallon.</t>
        </r>
      </text>
    </comment>
    <comment ref="L102" authorId="0" shapeId="0" xr:uid="{00000000-0006-0000-0000-000009000000}">
      <text>
        <r>
          <rPr>
            <b/>
            <sz val="9"/>
            <color indexed="81"/>
            <rFont val="Tahoma"/>
            <family val="2"/>
          </rPr>
          <t>Sacchi Romain:</t>
        </r>
        <r>
          <rPr>
            <sz val="9"/>
            <color indexed="81"/>
            <rFont val="Tahoma"/>
            <family val="2"/>
          </rPr>
          <t xml:space="preserve">
Extremely high comparatively. But GREET indicates 22378 Btu/gallon.</t>
        </r>
      </text>
    </comment>
    <comment ref="L136"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39"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40"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<sst xmlns="http://schemas.openxmlformats.org/spreadsheetml/2006/main" count="14484" uniqueCount="983">
  <si>
    <t>Database</t>
  </si>
  <si>
    <t>Activity</t>
  </si>
  <si>
    <t>location</t>
  </si>
  <si>
    <t>US</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</si>
  <si>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</si>
  <si>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</si>
  <si>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</si>
  <si>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</si>
  <si>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</si>
  <si>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</si>
  <si>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</si>
  <si>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</si>
  <si>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</si>
  <si>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</si>
  <si>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</si>
  <si>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</si>
  <si>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</si>
  <si>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</si>
  <si>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</si>
  <si>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</si>
  <si>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</si>
  <si>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</si>
  <si>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</si>
  <si>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</si>
  <si>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</si>
  <si>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</si>
  <si>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</si>
  <si>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</si>
  <si>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remark</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</si>
  <si>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</si>
  <si>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</si>
  <si>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</si>
  <si>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</si>
  <si>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</si>
  <si>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</si>
  <si>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</si>
  <si>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</si>
  <si>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</si>
  <si>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</si>
  <si>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</si>
  <si>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</si>
  <si>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</si>
  <si>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</si>
  <si>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market for transport, freight, lorry 16-32 metric ton, EURO6</t>
  </si>
  <si>
    <t>transport, freight, lorry 16-32 metric ton, EURO6</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</si>
  <si>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</si>
  <si>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</si>
  <si>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</si>
  <si>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</si>
  <si>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</si>
  <si>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</si>
  <si>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</si>
  <si>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</si>
  <si>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</si>
  <si>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</si>
  <si>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</si>
  <si>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</si>
  <si>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</si>
  <si>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</si>
  <si>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</si>
  <si>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</si>
  <si>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</si>
  <si>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</si>
  <si>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</si>
  <si>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</si>
  <si>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</si>
  <si>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</si>
  <si>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</si>
  <si>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</si>
  <si>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</si>
  <si>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</si>
  <si>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</si>
  <si>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</si>
  <si>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</si>
  <si>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</si>
  <si>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</si>
  <si>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</si>
  <si>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</si>
  <si>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</si>
  <si>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</si>
  <si>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</si>
  <si>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</si>
  <si>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</si>
  <si>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</si>
  <si>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</si>
  <si>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</si>
  <si>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</si>
  <si>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</si>
  <si>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</si>
  <si>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</si>
  <si>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Grain Sorghum, harvested, at ethanol plant</t>
  </si>
  <si>
    <t>20 miles</t>
  </si>
  <si>
    <t>Farming and supply of Sweet Sorghum</t>
  </si>
  <si>
    <t>Sweet Sorghum, harvested, at ethanol plant</t>
  </si>
  <si>
    <t>21387 Btu per ton for natural gas, 18701 Btu for LPG</t>
  </si>
  <si>
    <t>12235 Btu per ton</t>
  </si>
  <si>
    <t>38099 Btu per ton</t>
  </si>
  <si>
    <t>Farming and supply of Forage Sorghum</t>
  </si>
  <si>
    <t>Forage Sorghum, harvested, at ethanol plant</t>
  </si>
  <si>
    <t>24068 Btu per ton</t>
  </si>
  <si>
    <t>7729 Btu per ton</t>
  </si>
  <si>
    <t>13511 Btu per ton for natural gas, 11814 Btu for LPG</t>
  </si>
  <si>
    <t>bushel to ton</t>
  </si>
  <si>
    <t>Farming and supply of corn</t>
  </si>
  <si>
    <t>Corn, harvested, at ethanol plant</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</si>
  <si>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</si>
  <si>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</si>
  <si>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</si>
  <si>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</si>
  <si>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</si>
  <si>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</si>
  <si>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</si>
  <si>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</si>
  <si>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</si>
  <si>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</si>
  <si>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</si>
  <si>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</si>
  <si>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</si>
  <si>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</si>
  <si>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</si>
  <si>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Carbon dioxide, to soil or biomass stock</t>
  </si>
  <si>
    <t>soil</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</si>
  <si>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</si>
  <si>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</si>
  <si>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</si>
  <si>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</si>
  <si>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</si>
  <si>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</si>
  <si>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</si>
  <si>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</si>
  <si>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</si>
  <si>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</si>
  <si>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</si>
  <si>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</si>
  <si>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</si>
  <si>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</si>
  <si>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</si>
  <si>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</si>
  <si>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</si>
  <si>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</si>
  <si>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</si>
  <si>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</si>
  <si>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</si>
  <si>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</si>
  <si>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</si>
  <si>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</si>
  <si>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</si>
  <si>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</si>
  <si>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</si>
  <si>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</si>
  <si>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</si>
  <si>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</si>
  <si>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</si>
  <si>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</si>
  <si>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</si>
  <si>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</si>
  <si>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</si>
  <si>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</si>
  <si>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</si>
  <si>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</si>
  <si>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</si>
  <si>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</si>
  <si>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</si>
  <si>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</si>
  <si>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</si>
  <si>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</si>
  <si>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</si>
  <si>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</si>
  <si>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</si>
  <si>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</si>
  <si>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</si>
  <si>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</si>
  <si>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</si>
  <si>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</si>
  <si>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</si>
  <si>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</si>
  <si>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</si>
  <si>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</si>
  <si>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</si>
  <si>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</si>
  <si>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</si>
  <si>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</si>
  <si>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</si>
  <si>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</si>
  <si>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</si>
  <si>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</si>
  <si>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</si>
  <si>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</si>
  <si>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</si>
  <si>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</si>
  <si>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</si>
  <si>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</si>
  <si>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</si>
  <si>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</si>
  <si>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</si>
  <si>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</si>
  <si>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</si>
  <si>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</si>
  <si>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</si>
  <si>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</si>
  <si>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</si>
  <si>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dioxide, from soil or biomass stock</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</si>
  <si>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</si>
  <si>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</si>
  <si>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</si>
  <si>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</si>
  <si>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</si>
  <si>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</si>
  <si>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</si>
  <si>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</si>
  <si>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</si>
  <si>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</si>
  <si>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</si>
  <si>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</si>
  <si>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</si>
  <si>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</si>
  <si>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</si>
  <si>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</si>
  <si>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</si>
  <si>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</si>
  <si>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</si>
  <si>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</si>
  <si>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</si>
  <si>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</si>
  <si>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</si>
  <si>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</si>
  <si>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</si>
  <si>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</si>
  <si>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</si>
  <si>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</si>
  <si>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</si>
  <si>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</si>
  <si>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</si>
  <si>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</si>
  <si>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</si>
  <si>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</si>
  <si>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</si>
  <si>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</si>
  <si>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</si>
  <si>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</si>
  <si>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</si>
  <si>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</si>
  <si>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</si>
  <si>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</si>
  <si>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</si>
  <si>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</si>
  <si>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</si>
  <si>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</si>
  <si>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</si>
  <si>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</si>
  <si>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</si>
  <si>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</si>
  <si>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</si>
  <si>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</si>
  <si>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</si>
  <si>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</si>
  <si>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</si>
  <si>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</si>
  <si>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</si>
  <si>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</si>
  <si>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</si>
  <si>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</si>
  <si>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</si>
  <si>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</si>
  <si>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</si>
  <si>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</si>
  <si>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</si>
  <si>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</si>
  <si>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</si>
  <si>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</si>
  <si>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</si>
  <si>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</si>
  <si>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</si>
  <si>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</si>
  <si>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Diesel for machinery</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</si>
  <si>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</si>
  <si>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</si>
  <si>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</si>
  <si>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</si>
  <si>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</si>
  <si>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</si>
  <si>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Diesel for machinery: 5.53L per ton</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</si>
  <si>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</si>
  <si>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</si>
  <si>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</si>
  <si>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</si>
  <si>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</si>
  <si>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</si>
  <si>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</si>
  <si>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</si>
  <si>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</si>
  <si>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</si>
  <si>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</si>
  <si>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</si>
  <si>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</si>
  <si>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</si>
  <si>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</si>
  <si>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</si>
  <si>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</si>
  <si>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</si>
  <si>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</si>
  <si>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</si>
  <si>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</si>
  <si>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</si>
  <si>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</si>
  <si>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</si>
  <si>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</si>
  <si>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</si>
  <si>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</si>
  <si>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</si>
  <si>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</si>
  <si>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</si>
  <si>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</si>
  <si>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</si>
  <si>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</si>
  <si>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</si>
  <si>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</si>
  <si>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</si>
  <si>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</si>
  <si>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</si>
  <si>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</si>
  <si>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</si>
  <si>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</si>
  <si>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</si>
  <si>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</si>
  <si>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</si>
  <si>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</si>
  <si>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</si>
  <si>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</si>
  <si>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</si>
  <si>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</si>
  <si>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</si>
  <si>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</si>
  <si>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</si>
  <si>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</si>
  <si>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</si>
  <si>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</si>
  <si>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</si>
  <si>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</si>
  <si>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</si>
  <si>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</si>
  <si>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</si>
  <si>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</si>
  <si>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</si>
  <si>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</si>
  <si>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</si>
  <si>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</si>
  <si>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</si>
  <si>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</si>
  <si>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</si>
  <si>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</si>
  <si>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</si>
  <si>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</si>
  <si>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</si>
  <si>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</si>
  <si>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</si>
  <si>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</si>
  <si>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</si>
  <si>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</si>
  <si>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</si>
  <si>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</si>
  <si>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</si>
  <si>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</si>
  <si>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</si>
  <si>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</si>
  <si>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</si>
  <si>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</si>
  <si>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</si>
  <si>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</si>
  <si>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</si>
  <si>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</si>
  <si>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</si>
  <si>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</si>
  <si>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</si>
  <si>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</si>
  <si>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</si>
  <si>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</si>
  <si>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</si>
  <si>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</si>
  <si>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</si>
  <si>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</si>
  <si>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</si>
  <si>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</si>
  <si>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</si>
  <si>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</si>
  <si>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</si>
  <si>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</si>
  <si>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</si>
  <si>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</si>
  <si>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</si>
  <si>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</si>
  <si>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</si>
  <si>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</si>
  <si>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</si>
  <si>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</si>
  <si>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</si>
  <si>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</si>
  <si>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</si>
  <si>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</si>
  <si>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</si>
  <si>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</si>
  <si>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</si>
  <si>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</si>
  <si>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</si>
  <si>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</si>
  <si>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</si>
  <si>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</si>
  <si>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</si>
  <si>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</si>
  <si>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</si>
  <si>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</si>
  <si>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</si>
  <si>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</si>
  <si>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</si>
  <si>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</si>
  <si>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</si>
  <si>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</si>
  <si>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</si>
  <si>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</si>
  <si>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</si>
  <si>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</si>
  <si>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</si>
  <si>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</si>
  <si>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</si>
  <si>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</si>
  <si>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</si>
  <si>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</si>
  <si>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</si>
  <si>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</si>
  <si>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</si>
  <si>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</si>
  <si>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</si>
  <si>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</si>
  <si>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</si>
  <si>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</si>
  <si>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</si>
  <si>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</si>
  <si>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</si>
  <si>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</si>
  <si>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</si>
  <si>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</si>
  <si>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</si>
  <si>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</si>
  <si>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</si>
  <si>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</si>
  <si>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</si>
  <si>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</si>
  <si>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</si>
  <si>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</si>
  <si>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</si>
  <si>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</si>
  <si>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</si>
  <si>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</si>
  <si>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</si>
  <si>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</si>
  <si>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Farming and supply of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</si>
  <si>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</si>
  <si>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</si>
  <si>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</si>
  <si>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</si>
  <si>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</si>
  <si>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</si>
  <si>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Farming and supply of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</si>
  <si>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</si>
  <si>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</si>
  <si>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</si>
  <si>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</si>
  <si>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</si>
  <si>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</si>
  <si>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Farming and supply of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</si>
  <si>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</si>
  <si>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</si>
  <si>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</si>
  <si>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</si>
  <si>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</si>
  <si>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</si>
  <si>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</si>
  <si>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</si>
  <si>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</si>
  <si>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</si>
  <si>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</si>
  <si>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</si>
  <si>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</si>
  <si>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CO2 sequestration</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</si>
  <si>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</si>
  <si>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</si>
  <si>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</si>
  <si>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</si>
  <si>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</si>
  <si>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</si>
  <si>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</si>
  <si>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</si>
  <si>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</si>
  <si>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</si>
  <si>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</si>
  <si>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</si>
  <si>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</si>
  <si>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</si>
  <si>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</si>
  <si>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</si>
  <si>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</si>
  <si>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</si>
  <si>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</si>
  <si>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</si>
  <si>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</si>
  <si>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</si>
  <si>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</si>
  <si>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</si>
  <si>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</si>
  <si>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</si>
  <si>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</si>
  <si>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</si>
  <si>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t>Gross energy content [HHV]</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</si>
  <si>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</si>
  <si>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</si>
  <si>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</si>
  <si>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</si>
  <si>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</si>
  <si>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</si>
  <si>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</si>
  <si>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</si>
  <si>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</si>
  <si>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</si>
  <si>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</si>
  <si>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</si>
  <si>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</si>
  <si>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</si>
  <si>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</si>
  <si>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</si>
  <si>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</si>
  <si>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</si>
  <si>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</si>
  <si>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</si>
  <si>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</si>
  <si>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</si>
  <si>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</si>
  <si>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</si>
  <si>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</si>
  <si>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</si>
  <si>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</si>
  <si>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</si>
  <si>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</si>
  <si>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</si>
  <si>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</si>
  <si>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</si>
  <si>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</si>
  <si>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</si>
  <si>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</si>
  <si>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</si>
  <si>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</si>
  <si>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</si>
  <si>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</si>
  <si>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</si>
  <si>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</si>
  <si>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</si>
  <si>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</si>
  <si>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</si>
  <si>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</si>
  <si>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</si>
  <si>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</si>
  <si>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</si>
  <si>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</si>
  <si>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</si>
  <si>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</si>
  <si>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</si>
  <si>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</si>
  <si>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</si>
  <si>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</si>
  <si>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</si>
  <si>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</si>
  <si>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</si>
  <si>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</si>
  <si>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</si>
  <si>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Co-production of corn oil (0.54 lbs pe rbushel of corn). Displaces vegetal oil. Substitution ratio used: 1:1.</t>
  </si>
  <si>
    <t>Displaced vegetbale oil</t>
  </si>
  <si>
    <t>Ethanol production, via fermentation, from corn, with carbon capture, economic allocation</t>
  </si>
  <si>
    <t>Ethanol production, via fermentation, from corn, with carbon capture, energy allocation</t>
  </si>
  <si>
    <t>Ethanol production, via fermentation, from corn, with carbon capture, system expansion</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</si>
  <si>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</si>
  <si>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</si>
  <si>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</si>
  <si>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allocaiton key is given by GREET as being 83% for ethanol.</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</si>
  <si>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61% for ethanol.</t>
  </si>
  <si>
    <t>There is a net co-production of electricity (0.8 kWh per kg of ethanol produced). In this case, the carbon from fermentation CO2 is captured, by using additional electricity (180 kWh/t CO2). The captured CO2 becomes a co-product. It displaces demand for liquid carbon dioxide used in the chemical  industry. System expansion performed, giving an allocation factor of 91% for ethanol and 9% for electricity.</t>
  </si>
  <si>
    <t>market for carbon dioxide, in chemical industry</t>
  </si>
  <si>
    <t>Co-production of CO2</t>
  </si>
  <si>
    <t>carbon dioxide, in chemical industry</t>
  </si>
  <si>
    <t>Ethanol, from corn, with carbon capture, economic allocation, at fuelling station</t>
  </si>
  <si>
    <t>Ethanol, from corn, with carbon capture, energy allocation, at fuelling station</t>
  </si>
  <si>
    <t>Ethanol, from corn, with carbon capture, system expansion, at fuelling station</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</si>
  <si>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</si>
  <si>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</si>
  <si>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</si>
  <si>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</si>
  <si>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</si>
  <si>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</si>
  <si>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</si>
  <si>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</si>
  <si>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</si>
  <si>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</si>
  <si>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</si>
  <si>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</si>
  <si>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</si>
  <si>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</si>
  <si>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</si>
  <si>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</si>
  <si>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</si>
  <si>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</si>
  <si>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</si>
  <si>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</si>
  <si>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</si>
  <si>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Lower heating Value [MJ/kg dry]</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</si>
  <si>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</si>
  <si>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</si>
  <si>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</si>
  <si>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</si>
  <si>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</si>
  <si>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</si>
  <si>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</si>
  <si>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</si>
  <si>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</si>
  <si>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phosphate fertiliser, as P2O5</t>
  </si>
  <si>
    <t>market for phosphate fertiliser, as P2O5</t>
  </si>
  <si>
    <t>ammonium sulfate, as N</t>
  </si>
  <si>
    <t>market for ammonium sulfate, as N</t>
  </si>
  <si>
    <t>urea, as N</t>
  </si>
  <si>
    <t>market for urea, as N</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</si>
  <si>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</si>
  <si>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</si>
  <si>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</si>
  <si>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</si>
  <si>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</si>
  <si>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</si>
  <si>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</si>
  <si>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</si>
  <si>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</si>
  <si>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</si>
  <si>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</si>
  <si>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</si>
  <si>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</si>
  <si>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</si>
  <si>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</si>
  <si>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</si>
  <si>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</si>
  <si>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</si>
  <si>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air - non-urban air or from high stacks</t>
  </si>
  <si>
    <t>water - ground-</t>
  </si>
  <si>
    <t>soil - agricultural</t>
  </si>
  <si>
    <t>water - surface water</t>
  </si>
  <si>
    <t>soil - forestry</t>
  </si>
  <si>
    <t>Flumioxazin</t>
  </si>
  <si>
    <t>Ethanol production, via fermentation, from eucalyptus</t>
  </si>
  <si>
    <t>ethanol, from eucalyptus</t>
  </si>
  <si>
    <t>The original inventories do not include loss on fiels and during transport. But we do here to be consistent: a 14% loss (from handling and during transport). The final biomass has a moisture contentn of 40%. The dry density of eucalyptus roundwood is 549 kg/m3 and the bark content is 16% (by volume). Annual production is 11.4 m3/ha.</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</si>
  <si>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</si>
  <si>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</si>
  <si>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</si>
  <si>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</si>
  <si>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</si>
  <si>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</si>
  <si>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</si>
  <si>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</si>
  <si>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</si>
  <si>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</si>
  <si>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</si>
  <si>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</si>
  <si>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</si>
  <si>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</si>
  <si>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</si>
  <si>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air::unspecified</t>
  </si>
  <si>
    <t>Methane, fossil</t>
  </si>
  <si>
    <t>Sulfuric acid</t>
  </si>
  <si>
    <t>Allocation in co-production instances based on energy content of co-products. LHV 26.8 MJ/kg.</t>
  </si>
  <si>
    <t>CH</t>
  </si>
  <si>
    <t>Life Cycle Assessment of Biofuels in EU/CH, F. Cozzolini 2018, PSI</t>
  </si>
  <si>
    <t>product</t>
  </si>
  <si>
    <t>Materials/fuels</t>
  </si>
  <si>
    <t>market for ammonia, liquid</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</si>
  <si>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</si>
  <si>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ammonia, liquid</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</si>
  <si>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</si>
  <si>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</si>
  <si>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</si>
  <si>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</si>
  <si>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</si>
  <si>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</si>
  <si>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</si>
  <si>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</si>
  <si>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</si>
  <si>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</si>
  <si>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</si>
  <si>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market for transport, freight, lorry &gt;32 metric ton, EURO6</t>
  </si>
  <si>
    <t>transport, freight, lorry &gt;32 metric ton, EURO6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</si>
  <si>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</si>
  <si>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</si>
  <si>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market for transport, freight, sea, transoceanic tanker</t>
  </si>
  <si>
    <t>Maritime transport of Ethanol via product tanker over a distance of 1118 km. 31.6% of the Ethanol produced is transported this way.Source: IMO, 2009</t>
  </si>
  <si>
    <t>transport, freight, sea, transoceanic tanker</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</si>
  <si>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</si>
  <si>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</si>
  <si>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</si>
  <si>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</si>
  <si>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</si>
  <si>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</si>
  <si>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</si>
  <si>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</si>
  <si>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Ethanol from sugarbeet</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</si>
  <si>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</si>
  <si>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</si>
  <si>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</si>
  <si>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</si>
  <si>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</si>
  <si>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</si>
  <si>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</si>
  <si>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</si>
  <si>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</si>
  <si>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</si>
  <si>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freight, lorry &gt;32 metric ton, EURO6 {GLO}| market for | Alloc Rec, U</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</si>
  <si>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</si>
  <si>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</si>
  <si>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Transport, freight, sea, transoceanic tanker {GLO}| market for | Alloc Rec, U</t>
  </si>
  <si>
    <t>Electricity, medium voltage {Europe without Switzerland}| market group for | Alloc Rec, U</t>
  </si>
  <si>
    <t>Electricity ethanol depot = 0.00084 MJ/ MJ EtOHElectricity ethanol filling station = 0.0034 MJ/ MJ EtOHSource: Dautrebande, O., TotalFinaElf, January 2002</t>
  </si>
  <si>
    <t>Ethanol from wheat grains</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</si>
  <si>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</si>
  <si>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</si>
  <si>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</si>
  <si>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</si>
  <si>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Ammonia, liquid {RER}| market for | Alloc Rec, U</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</si>
  <si>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</si>
  <si>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</si>
  <si>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</si>
  <si>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</si>
  <si>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</si>
  <si>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</si>
  <si>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Ethanol from forest residues</t>
  </si>
  <si>
    <t>Francesco TH::BioDiesel::Forest Residue to BioD</t>
  </si>
  <si>
    <t>market for dolomite</t>
  </si>
  <si>
    <t>dolomite</t>
  </si>
  <si>
    <t>transport woodchips</t>
  </si>
  <si>
    <t>Ethanol, from wheat straw pellets, at fuelling station</t>
  </si>
  <si>
    <t>Ethanol from wheat straw pellets</t>
  </si>
  <si>
    <t>Francesco TH::BioEthanol::Straw to Ethanol</t>
  </si>
  <si>
    <t>Ammonium sulfate, as N {GLO}| market for | Alloc Rec, U</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</si>
  <si>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</si>
  <si>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</si>
  <si>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</si>
  <si>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</si>
  <si>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</si>
  <si>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</si>
  <si>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</si>
  <si>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</si>
  <si>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</si>
  <si>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</si>
  <si>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</si>
  <si>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</si>
  <si>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</si>
  <si>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</si>
  <si>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</si>
  <si>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Biodiesel from cooking oil</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</si>
  <si>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</si>
  <si>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</si>
  <si>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</si>
  <si>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</si>
  <si>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</si>
  <si>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</si>
  <si>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natural gas, from medium pressure network (0.1-1 bar), at service station</t>
  </si>
  <si>
    <t>natural gas, from medium pressure network (0.1-1 bar), at service station</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</si>
  <si>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</si>
  <si>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</si>
  <si>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</si>
  <si>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</si>
  <si>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</si>
  <si>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market for potassium sulfate, as K2O</t>
  </si>
  <si>
    <t>potassium sulfate, as K2O</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</si>
  <si>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</si>
  <si>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</si>
  <si>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</si>
  <si>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</si>
  <si>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</si>
  <si>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</si>
  <si>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Biodiesel from rapeseed oil</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</si>
  <si>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</si>
  <si>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</si>
  <si>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</si>
  <si>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</si>
  <si>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</si>
  <si>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</si>
  <si>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</si>
  <si>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</si>
  <si>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</si>
  <si>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</si>
  <si>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</si>
  <si>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</si>
  <si>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</si>
  <si>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</si>
  <si>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</si>
  <si>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</si>
  <si>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</si>
  <si>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</si>
  <si>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</si>
  <si>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Biodiesel from palm oil</t>
  </si>
  <si>
    <t>Francesco TH::BioDiesel::Palm Oil to BioD</t>
  </si>
  <si>
    <t>Refining of vegetable oil from oil palm</t>
  </si>
  <si>
    <t>to blending depot</t>
  </si>
  <si>
    <t>to filling station</t>
  </si>
  <si>
    <t>fame depot</t>
  </si>
  <si>
    <t>fame filling station</t>
  </si>
  <si>
    <t>Biodiesel, from algae, at fuelling station</t>
  </si>
  <si>
    <t>Biodiesel from algae</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</si>
  <si>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</si>
  <si>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</si>
  <si>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</si>
  <si>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</si>
  <si>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</si>
  <si>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</si>
  <si>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market for water, completely softened, from decarbonised water, at user</t>
  </si>
  <si>
    <t>water, completely softened, from decarbonised water, at user</t>
  </si>
  <si>
    <t>Crude Palm Oil extraction from FFBs at oil mill</t>
  </si>
  <si>
    <t>Fresh Fruit Bunches (FFBs) production</t>
  </si>
  <si>
    <t>market for transport, freight, lorry 7.5-16 metric ton, EURO6</t>
  </si>
  <si>
    <t>transport ffb</t>
  </si>
  <si>
    <t>transport, freight, lorry 7.5-16 metric ton, EURO6</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</si>
  <si>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</si>
  <si>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</si>
  <si>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</si>
  <si>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</si>
  <si>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</si>
  <si>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</si>
  <si>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</si>
  <si>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</si>
  <si>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</si>
  <si>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</si>
  <si>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To account for rimary energy in oil</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</si>
  <si>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</si>
  <si>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</si>
  <si>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</si>
  <si>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</si>
  <si>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market for nitrogen fertiliser, as N</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</si>
  <si>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</si>
  <si>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nitrogen fertiliser, as N</t>
  </si>
  <si>
    <t>Nitrogen fertiliser, as N {GLO}| market for | Alloc Rec, U</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</si>
  <si>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</si>
  <si>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</si>
  <si>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Phosphate fertiliser, as P2O5 {GLO}| market for | Alloc Rec, U</t>
  </si>
  <si>
    <t>market for potassium fertiliser, as K2O</t>
  </si>
  <si>
    <t>4.8 kg K / ton wet biomassInternational fertilizer Association: fertilizer use by crop http://www.fertilizer.org/ifa/Home-Page/STATISTICS acessed 2013</t>
  </si>
  <si>
    <t>potassium fertiliser, as K2O</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</si>
  <si>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</si>
  <si>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</si>
  <si>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</si>
  <si>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</si>
  <si>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</si>
  <si>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</si>
  <si>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</si>
  <si>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</si>
  <si>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</si>
  <si>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</si>
  <si>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</si>
  <si>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</si>
  <si>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</si>
  <si>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</si>
  <si>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</si>
  <si>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</si>
  <si>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</si>
  <si>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</si>
  <si>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</si>
  <si>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</si>
  <si>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</si>
  <si>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</si>
  <si>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</si>
  <si>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</si>
  <si>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</si>
  <si>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</si>
  <si>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</si>
  <si>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</si>
  <si>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</si>
  <si>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</si>
  <si>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</si>
  <si>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</si>
  <si>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</si>
  <si>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</si>
  <si>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</si>
  <si>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</si>
  <si>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</si>
  <si>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</si>
  <si>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</si>
  <si>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</si>
  <si>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</si>
  <si>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</si>
  <si>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</si>
  <si>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</si>
  <si>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</si>
  <si>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</si>
  <si>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</si>
  <si>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</si>
  <si>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</si>
  <si>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</si>
  <si>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algae broth production</t>
  </si>
  <si>
    <t>glass fibre reinforced plastic production, polyester resin, hand lay-up</t>
  </si>
  <si>
    <t>glass fibre reinforced plastic, polyester resin, hand lay-up</t>
  </si>
  <si>
    <t>Glass fibre reinforced plastic, polyester resin, hand lay-up {RER}| production | Alloc Rec, U</t>
  </si>
  <si>
    <t>market for cast iron</t>
  </si>
  <si>
    <t>cast iron</t>
  </si>
  <si>
    <t>Cast iron {GLO}| market for | Alloc Rec, U</t>
  </si>
  <si>
    <t>market for concrete block</t>
  </si>
  <si>
    <t>concrete block</t>
  </si>
  <si>
    <t>Concrete block {GLO}| market for | Alloc Rec, U</t>
  </si>
  <si>
    <t>market for steel, unalloyed</t>
  </si>
  <si>
    <t>steel, unalloyed</t>
  </si>
  <si>
    <t>Steel, unalloyed {GLO}| market for | Alloc Rec, U</t>
  </si>
  <si>
    <t>Urea, as N {GLO}| market for | Alloc Rec, U</t>
  </si>
  <si>
    <t>market for water, decarbonised, at user</t>
  </si>
  <si>
    <t>water, decarbonised, at user</t>
  </si>
  <si>
    <t>Water, decarbonised, at user {GLO}| market for | Alloc Rec, U</t>
  </si>
  <si>
    <t>ethanol without biogas</t>
  </si>
  <si>
    <t>Francesco TH::BioEthanol::Forest Residue to EtOH</t>
  </si>
  <si>
    <t>Ethanol, from corn starch, at fuelling station</t>
  </si>
  <si>
    <t>Ethanol from corn starch</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</si>
  <si>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</si>
  <si>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</si>
  <si>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corn cultivation, drying and storage</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</si>
  <si>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</si>
  <si>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</si>
  <si>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</si>
  <si>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market for corn seed, for sowing</t>
  </si>
  <si>
    <t>corn seed, for sowing</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</si>
  <si>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</si>
  <si>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</si>
  <si>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</si>
  <si>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</si>
  <si>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</si>
  <si>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</si>
  <si>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</si>
  <si>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</si>
  <si>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</si>
  <si>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</si>
  <si>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</si>
  <si>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</si>
  <si>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</si>
  <si>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</si>
  <si>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</si>
  <si>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LHV [MJ/kg wet]</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</si>
  <si>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</si>
  <si>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</si>
  <si>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</si>
  <si>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</si>
  <si>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</si>
  <si>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</si>
  <si>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</si>
  <si>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</si>
  <si>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</si>
  <si>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</si>
  <si>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</si>
  <si>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</si>
  <si>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14% loss.</t>
  </si>
  <si>
    <t>Ethanol production, via fermentation, from sugarbeet, energy allocation</t>
  </si>
  <si>
    <t>Ethanol production, via fermentation, from sugarbeet</t>
  </si>
  <si>
    <t>Represents  14% loss</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</si>
  <si>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</si>
  <si>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</si>
  <si>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</si>
  <si>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</si>
  <si>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</si>
  <si>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</si>
  <si>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</si>
  <si>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</si>
  <si>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</si>
  <si>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</si>
  <si>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</si>
  <si>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</si>
  <si>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</si>
  <si>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</si>
  <si>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 Assumes 1-year rotation.</t>
  </si>
  <si>
    <t>Based on an annual production of 3 t/ha</t>
  </si>
  <si>
    <t>Biodiesel production, via transesterification, from rapeseed oil, energy allocation</t>
  </si>
  <si>
    <t>Biodiesel production, via transesterification, from rapeseed oil</t>
  </si>
  <si>
    <t>Farming and supply of Fresh Fruit Bunches (FFBs)</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</si>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</sst>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00"/>
    <numFmt numFmtId="165" formatCode="0.0000"/>
    <numFmt numFmtId="166" formatCode="0.000"/>
    <numFmt numFmtId="167" formatCode="#,##0.000"/>
    <numFmt numFmtId="168" formatCode="#,##0.0"/>
    <numFmt numFmtId="169" formatCode="[$€-2]\ #,##0;[Red]\-[$€-2]\ #,##0"/>
    <numFmt numFmtId="170" formatCode="0.00000"/>
    <numFmt numFmtId="171" formatCode="0.0"/>
  </numFmts>
  <fonts count="11"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79">
    <xf numFmtId="0" fontId="0" fillId="0" borderId="0" xfId="0"/>
    <xf numFmtId="0" fontId="2" fillId="0" borderId="0" xfId="0" applyFont="1"/>
    <xf numFmtId="0" fontId="3" fillId="0" borderId="0" xfId="0" applyFont="1"/>
    <xf numFmtId="164" fontId="0" fillId="0" borderId="0" xfId="0" applyNumberFormat="1"/>
    <xf numFmtId="165" fontId="0" fillId="0" borderId="0" xfId="0" applyNumberFormat="1"/>
    <xf numFmtId="166"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4" fillId="0" borderId="0" xfId="2"/>
    <xf numFmtId="0" fontId="5" fillId="0" borderId="0" xfId="0" applyFont="1"/>
    <xf numFmtId="0" fontId="0" fillId="0" borderId="1" xfId="0" applyNumberFormat="1" applyFont="1" applyFill="1" applyBorder="1" applyAlignment="1"/>
    <xf numFmtId="0" fontId="0" fillId="0" borderId="1" xfId="0" applyNumberFormat="1" applyFont="1" applyFill="1" applyBorder="1" applyAlignment="1">
      <alignment horizontal="right"/>
    </xf>
    <xf numFmtId="0" fontId="0" fillId="0" borderId="2" xfId="0" applyNumberFormat="1" applyFont="1" applyBorder="1" applyAlignment="1"/>
    <xf numFmtId="0" fontId="0" fillId="0" borderId="2" xfId="0" applyNumberFormat="1" applyFont="1" applyFill="1" applyBorder="1" applyAlignment="1">
      <alignment horizontal="right"/>
    </xf>
    <xf numFmtId="0" fontId="0" fillId="0" borderId="3" xfId="0" applyNumberFormat="1" applyFont="1" applyFill="1" applyBorder="1" applyAlignment="1"/>
    <xf numFmtId="0" fontId="0" fillId="0" borderId="3" xfId="0" applyNumberFormat="1" applyFont="1" applyFill="1" applyBorder="1" applyAlignment="1">
      <alignment horizontal="right"/>
    </xf>
    <xf numFmtId="0" fontId="0" fillId="0" borderId="4" xfId="0" applyNumberFormat="1" applyFont="1" applyFill="1" applyBorder="1" applyAlignment="1">
      <alignment horizontal="right"/>
    </xf>
    <xf numFmtId="0" fontId="0" fillId="0" borderId="4" xfId="0" applyNumberFormat="1" applyFill="1" applyBorder="1" applyAlignment="1">
      <alignment horizontal="right"/>
    </xf>
    <xf numFmtId="0" fontId="0" fillId="0" borderId="5" xfId="0" applyNumberFormat="1" applyFont="1" applyFill="1" applyBorder="1" applyAlignment="1"/>
    <xf numFmtId="167" fontId="6" fillId="0" borderId="5" xfId="1" applyNumberFormat="1" applyFont="1" applyFill="1" applyBorder="1" applyAlignment="1"/>
    <xf numFmtId="167" fontId="6" fillId="0" borderId="0" xfId="1" applyNumberFormat="1" applyFont="1" applyFill="1" applyBorder="1" applyAlignment="1"/>
    <xf numFmtId="167" fontId="0" fillId="0" borderId="0" xfId="0" applyNumberFormat="1" applyFont="1" applyFill="1" applyBorder="1" applyAlignment="1"/>
    <xf numFmtId="168" fontId="6" fillId="0" borderId="3" xfId="1" applyNumberFormat="1" applyFont="1" applyFill="1" applyBorder="1" applyAlignment="1"/>
    <xf numFmtId="168" fontId="6" fillId="0" borderId="4" xfId="1" applyNumberFormat="1" applyFont="1" applyFill="1" applyBorder="1" applyAlignment="1"/>
    <xf numFmtId="168" fontId="0" fillId="0" borderId="4" xfId="0" applyNumberFormat="1" applyFont="1" applyFill="1" applyBorder="1" applyAlignment="1"/>
    <xf numFmtId="0" fontId="0" fillId="0" borderId="6" xfId="0" applyNumberFormat="1" applyFont="1" applyFill="1" applyBorder="1" applyAlignment="1">
      <alignment horizontal="right"/>
    </xf>
    <xf numFmtId="0" fontId="0" fillId="0" borderId="7" xfId="0" applyNumberFormat="1" applyFont="1" applyFill="1" applyBorder="1" applyAlignment="1">
      <alignment horizontal="right"/>
    </xf>
    <xf numFmtId="167" fontId="0" fillId="0" borderId="8" xfId="0" applyNumberFormat="1" applyFont="1" applyFill="1" applyBorder="1" applyAlignment="1"/>
    <xf numFmtId="168" fontId="0" fillId="0" borderId="7" xfId="0" applyNumberFormat="1" applyFont="1" applyFill="1" applyBorder="1" applyAlignment="1"/>
    <xf numFmtId="169" fontId="0" fillId="0" borderId="0" xfId="0" applyNumberFormat="1"/>
    <xf numFmtId="9" fontId="0" fillId="0" borderId="0" xfId="1" applyFont="1"/>
    <xf numFmtId="0" fontId="0" fillId="0" borderId="0" xfId="0" applyAlignment="1"/>
    <xf numFmtId="168" fontId="6" fillId="0" borderId="5" xfId="1" applyNumberFormat="1" applyFont="1" applyFill="1" applyBorder="1" applyAlignment="1"/>
    <xf numFmtId="3" fontId="6" fillId="0" borderId="5" xfId="1" applyNumberFormat="1" applyFont="1" applyFill="1" applyBorder="1" applyAlignment="1"/>
    <xf numFmtId="168" fontId="6" fillId="0" borderId="0" xfId="1" applyNumberFormat="1" applyFont="1" applyFill="1" applyBorder="1" applyAlignment="1"/>
    <xf numFmtId="168" fontId="0" fillId="0" borderId="0" xfId="0" applyNumberFormat="1"/>
    <xf numFmtId="170" fontId="0" fillId="0" borderId="0" xfId="0" applyNumberFormat="1"/>
    <xf numFmtId="0" fontId="0" fillId="0" borderId="0" xfId="0" applyFont="1"/>
    <xf numFmtId="11" fontId="0" fillId="0" borderId="0" xfId="0" applyNumberFormat="1" applyFont="1"/>
    <xf numFmtId="0" fontId="0" fillId="0" borderId="5" xfId="0" applyNumberFormat="1" applyFont="1" applyBorder="1" applyAlignment="1"/>
    <xf numFmtId="0" fontId="0" fillId="0" borderId="0" xfId="0" applyNumberFormat="1" applyFont="1" applyFill="1" applyBorder="1" applyAlignment="1">
      <alignment horizontal="right"/>
    </xf>
    <xf numFmtId="168" fontId="0" fillId="0" borderId="0" xfId="0" applyNumberFormat="1" applyFont="1" applyFill="1" applyBorder="1" applyAlignment="1"/>
    <xf numFmtId="0" fontId="0" fillId="0" borderId="5" xfId="0" applyNumberFormat="1" applyFont="1" applyFill="1" applyBorder="1" applyAlignment="1">
      <alignment horizontal="right"/>
    </xf>
    <xf numFmtId="0" fontId="0" fillId="0" borderId="0" xfId="0" applyNumberFormat="1" applyFill="1" applyBorder="1" applyAlignment="1">
      <alignment horizontal="right"/>
    </xf>
    <xf numFmtId="171" fontId="0" fillId="0" borderId="0" xfId="0" applyNumberFormat="1"/>
    <xf numFmtId="1" fontId="0" fillId="0" borderId="0" xfId="0" applyNumberFormat="1"/>
    <xf numFmtId="0" fontId="0" fillId="0" borderId="4" xfId="0" applyBorder="1"/>
    <xf numFmtId="0" fontId="0" fillId="0" borderId="2" xfId="0" applyBorder="1"/>
    <xf numFmtId="0" fontId="0" fillId="0" borderId="6" xfId="0" applyBorder="1"/>
    <xf numFmtId="0" fontId="0" fillId="0" borderId="8" xfId="0" applyBorder="1"/>
    <xf numFmtId="168" fontId="0" fillId="0" borderId="8" xfId="0" applyNumberFormat="1" applyFont="1" applyFill="1" applyBorder="1" applyAlignment="1"/>
    <xf numFmtId="0" fontId="0" fillId="0" borderId="9" xfId="0" applyNumberFormat="1" applyFont="1" applyFill="1" applyBorder="1" applyAlignment="1"/>
    <xf numFmtId="168" fontId="6" fillId="0" borderId="9" xfId="1" applyNumberFormat="1" applyFont="1" applyFill="1" applyBorder="1" applyAlignment="1"/>
    <xf numFmtId="0" fontId="0" fillId="0" borderId="5" xfId="0" applyBorder="1"/>
    <xf numFmtId="2" fontId="0" fillId="0" borderId="5" xfId="0" applyNumberFormat="1" applyBorder="1"/>
    <xf numFmtId="0" fontId="0" fillId="0" borderId="0" xfId="0" applyBorder="1"/>
    <xf numFmtId="171" fontId="0" fillId="0" borderId="4" xfId="0" applyNumberFormat="1" applyBorder="1"/>
    <xf numFmtId="171" fontId="0" fillId="0" borderId="7" xfId="0" applyNumberFormat="1" applyBorder="1"/>
    <xf numFmtId="0" fontId="0" fillId="0" borderId="10" xfId="0" applyNumberFormat="1" applyFont="1" applyFill="1" applyBorder="1" applyAlignment="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9" fillId="2" borderId="0" xfId="0" applyFont="1" applyFill="1"/>
    <xf numFmtId="0" fontId="0" fillId="2" borderId="0" xfId="0" applyFill="1"/>
    <xf numFmtId="2" fontId="0" fillId="0" borderId="0" xfId="0" applyNumberFormat="1" applyFont="1"/>
    <xf numFmtId="2" fontId="0" fillId="0" borderId="0" xfId="0" applyNumberFormat="1" applyBorder="1"/>
    <xf numFmtId="0" fontId="0" fillId="0" borderId="11" xfId="0" applyBorder="1"/>
    <xf numFmtId="0" fontId="0" fillId="0" borderId="0" xfId="0" applyFill="1" applyBorder="1"/>
    <xf numFmtId="165" fontId="0" fillId="0" borderId="0" xfId="0" applyNumberFormat="1" applyFont="1"/>
    <xf numFmtId="0" fontId="0" fillId="0" borderId="0" xfId="0" applyFill="1"/>
    <xf numFmtId="0" fontId="10" fillId="0" borderId="12" xfId="0" applyFont="1" applyBorder="1" applyAlignment="1">
      <alignment vertical="center" wrapText="1"/>
    </xf>
    <xf numFmtId="0" fontId="10" fillId="0" borderId="0" xfId="0" applyFont="1" applyAlignment="1">
      <alignment horizontal="left" vertical="center" wrapText="1"/>
    </xf>
    <xf numFmtId="0" fontId="10" fillId="0" borderId="0" xfId="0" applyFont="1" applyAlignment="1">
      <alignment vertical="center" wrapText="1"/>
    </xf>
    <xf numFmtId="0" fontId="10" fillId="0" borderId="0" xfId="0" applyFont="1" applyAlignment="1">
      <alignment horizontal="left" vertical="center"/>
    </xf>
    <xf numFmtId="9"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hyllis.nl/Biomass/View/329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0"/>
  <sheetViews>
    <sheetView showZeros="0" tabSelected="1" topLeftCell="B25" zoomScale="85" zoomScaleNormal="85" workbookViewId="0">
      <selection activeCell="I56" sqref="I56"/>
    </sheetView>
  </sheetViews>
  <sheetFormatPr defaultRowHeight="14.5" x14ac:dyDescent="0.35"/>
  <cols>
    <col min="1" max="1" width="4.08984375" bestFit="1" customWidth="1"/>
    <col min="2" max="2" width="60.36328125" bestFit="1" customWidth="1"/>
    <col min="3" max="3" width="8.08984375" bestFit="1" customWidth="1"/>
    <col min="4" max="4" width="23.7265625" bestFit="1" customWidth="1"/>
    <col min="5" max="5" width="15" customWidth="1"/>
    <col min="6" max="7" width="12.36328125" bestFit="1" customWidth="1"/>
    <col min="8" max="8" width="10.1796875" bestFit="1" customWidth="1"/>
    <col min="9" max="9" width="10.6328125" customWidth="1"/>
    <col min="10" max="10" width="12.54296875" bestFit="1" customWidth="1"/>
    <col min="11" max="11" width="11.36328125" customWidth="1"/>
    <col min="12" max="12" width="14.81640625" bestFit="1" customWidth="1"/>
    <col min="13" max="13" width="16.54296875" customWidth="1"/>
    <col min="14" max="14" width="13" bestFit="1" customWidth="1"/>
    <col min="15" max="15" width="27.54296875" bestFit="1" customWidth="1"/>
    <col min="16" max="16" width="13.08984375" bestFit="1" customWidth="1"/>
    <col min="17" max="17" width="19.36328125" bestFit="1" customWidth="1"/>
    <col min="18" max="18" width="25.1796875" bestFit="1" customWidth="1"/>
    <col min="19" max="19" width="18.453125" customWidth="1"/>
    <col min="20" max="21" width="15.54296875" bestFit="1" customWidth="1"/>
    <col min="22" max="22" width="21" bestFit="1" customWidth="1"/>
  </cols>
  <sheetData>
    <row r="1" spans="1:19" x14ac:dyDescent="0.35">
      <c r="A1" t="s">
        <v>25</v>
      </c>
    </row>
    <row r="3" spans="1:19" x14ac:dyDescent="0.35">
      <c r="B3" s="10" t="s">
        <v>491</v>
      </c>
    </row>
    <row r="4" spans="1:19" x14ac:dyDescent="0.35">
      <c r="B4" t="s">
        <v>1</v>
      </c>
      <c r="C4" t="s">
        <v>475</v>
      </c>
      <c r="D4" t="s">
        <v>476</v>
      </c>
      <c r="E4" t="s">
        <v>477</v>
      </c>
      <c r="F4" t="s">
        <v>478</v>
      </c>
      <c r="G4" t="s">
        <v>487</v>
      </c>
      <c r="H4" t="s">
        <v>488</v>
      </c>
      <c r="I4" t="s">
        <v>258</v>
      </c>
      <c r="J4" t="s">
        <v>489</v>
      </c>
      <c r="K4" t="s">
        <v>275</v>
      </c>
      <c r="L4" t="s">
        <v>490</v>
      </c>
      <c r="M4" t="s">
        <v>481</v>
      </c>
      <c r="N4" t="s">
        <v>482</v>
      </c>
      <c r="O4" t="s">
        <v>483</v>
      </c>
      <c r="P4" t="s">
        <v>484</v>
      </c>
      <c r="Q4" t="s">
        <v>492</v>
      </c>
      <c r="R4" t="s">
        <v>512</v>
      </c>
      <c r="S4" t="s">
        <v>512</v>
      </c>
    </row>
    <row r="5" spans="1:19" x14ac:dyDescent="0.35">
      <c r="B5" t="s">
        <v>8</v>
      </c>
      <c r="E5" t="s">
        <v>566</v>
      </c>
      <c r="F5" t="s">
        <v>479</v>
      </c>
      <c r="G5" t="s">
        <v>479</v>
      </c>
      <c r="H5" t="s">
        <v>479</v>
      </c>
      <c r="I5" t="s">
        <v>259</v>
      </c>
      <c r="J5" t="s">
        <v>479</v>
      </c>
      <c r="K5" t="s">
        <v>480</v>
      </c>
      <c r="L5" t="s">
        <v>568</v>
      </c>
      <c r="M5" t="s">
        <v>567</v>
      </c>
      <c r="N5" t="s">
        <v>567</v>
      </c>
      <c r="O5" t="s">
        <v>115</v>
      </c>
      <c r="P5" t="s">
        <v>485</v>
      </c>
      <c r="Q5" t="s">
        <v>493</v>
      </c>
      <c r="R5" t="s">
        <v>513</v>
      </c>
      <c r="S5" t="s">
        <v>519</v>
      </c>
    </row>
    <row r="6" spans="1:19" x14ac:dyDescent="0.35">
      <c r="B6" t="s">
        <v>67</v>
      </c>
      <c r="C6" t="s">
        <v>3</v>
      </c>
      <c r="D6" t="s">
        <v>22</v>
      </c>
      <c r="E6">
        <v>1</v>
      </c>
      <c r="F6" s="5">
        <f>GREET!B14</f>
        <v>6.606549034619999E-2</v>
      </c>
      <c r="G6" s="5"/>
      <c r="H6" s="5"/>
      <c r="I6" s="4">
        <f>GREET!B15</f>
        <v>1.4237393228333332E-3</v>
      </c>
      <c r="J6" s="6">
        <f>SUM(F6:H6)+(I6*3.6)</f>
        <v>7.1190951908399996E-2</v>
      </c>
      <c r="K6" s="5">
        <f>GREET!B16</f>
        <v>8.5330000000000003E-2</v>
      </c>
      <c r="L6" s="46">
        <f>SUM(GREET!B17:B19)*1000</f>
        <v>10.383999999999999</v>
      </c>
      <c r="M6" s="46">
        <f>SUM(GREET!B21)*1000000</f>
        <v>53.1</v>
      </c>
      <c r="N6" s="45"/>
      <c r="O6" s="6">
        <f>GREET!B23</f>
        <v>1.4523666666666668</v>
      </c>
      <c r="P6" s="6">
        <f>GREET!B25</f>
        <v>1.0117499999999999</v>
      </c>
      <c r="Q6" s="31">
        <v>0.12</v>
      </c>
      <c r="R6">
        <v>16.399999999999999</v>
      </c>
      <c r="S6" s="45">
        <f>R6*(1-Q6)</f>
        <v>14.431999999999999</v>
      </c>
    </row>
    <row r="7" spans="1:19" x14ac:dyDescent="0.35">
      <c r="B7" t="s">
        <v>68</v>
      </c>
      <c r="C7" t="s">
        <v>3</v>
      </c>
      <c r="D7" t="s">
        <v>22</v>
      </c>
      <c r="E7">
        <v>1</v>
      </c>
      <c r="F7" s="5">
        <f>GREET!B180</f>
        <v>0.28338484957229998</v>
      </c>
      <c r="G7" s="5"/>
      <c r="H7" s="5"/>
      <c r="I7" s="4"/>
      <c r="J7" s="6">
        <f t="shared" ref="J7:J28" si="0">SUM(F7:H7)+(I7*3.6)</f>
        <v>0.28338484957229998</v>
      </c>
      <c r="K7" s="5">
        <f>GREET!B181</f>
        <v>8.0500000000000002E-2</v>
      </c>
      <c r="L7" s="46">
        <f>SUM(GREET!B182:B184)*1000</f>
        <v>3.0834999999999999</v>
      </c>
      <c r="M7" s="46">
        <f>GREET!B187*1000000</f>
        <v>70.338000000000008</v>
      </c>
      <c r="N7" s="45">
        <f>GREET!B186*1000000</f>
        <v>13.406399999999998</v>
      </c>
      <c r="O7" s="6">
        <f>GREET!B196</f>
        <v>1.56145</v>
      </c>
      <c r="P7" s="6">
        <f>GREET!B218</f>
        <v>0.92522000000000004</v>
      </c>
      <c r="Q7" s="31">
        <v>0.12</v>
      </c>
      <c r="R7">
        <v>18</v>
      </c>
      <c r="S7" s="45">
        <f t="shared" ref="S7:S28" si="1">R7*(1-Q7)</f>
        <v>15.84</v>
      </c>
    </row>
    <row r="8" spans="1:19" x14ac:dyDescent="0.35">
      <c r="B8" t="s">
        <v>69</v>
      </c>
      <c r="C8" t="s">
        <v>3</v>
      </c>
      <c r="D8" t="s">
        <v>22</v>
      </c>
      <c r="E8">
        <v>1</v>
      </c>
      <c r="F8" s="5">
        <f>GREET!B374</f>
        <v>0.1951853415</v>
      </c>
      <c r="G8" s="5"/>
      <c r="H8" s="5"/>
      <c r="I8" s="4">
        <f>GREET!B375</f>
        <v>1.2162449958333332E-4</v>
      </c>
      <c r="J8" s="6">
        <f t="shared" si="0"/>
        <v>0.19562318969850001</v>
      </c>
      <c r="K8" s="5">
        <f>GREET!B376</f>
        <v>8.0500000000000002E-2</v>
      </c>
      <c r="L8" s="46">
        <f>SUM(GREET!B377:B379)*1000</f>
        <v>3.1140000000000003</v>
      </c>
      <c r="M8" s="46">
        <f>GREET!B380*1000000</f>
        <v>18.331199999999995</v>
      </c>
      <c r="N8" s="45"/>
      <c r="O8" s="6">
        <f>GREET!B390</f>
        <v>1.758866488192</v>
      </c>
      <c r="P8" s="6">
        <f>GREET!B412</f>
        <v>0.92522000000000004</v>
      </c>
      <c r="Q8" s="31">
        <v>0.12</v>
      </c>
      <c r="R8">
        <v>17.399999999999999</v>
      </c>
      <c r="S8" s="45">
        <f t="shared" si="1"/>
        <v>15.311999999999999</v>
      </c>
    </row>
    <row r="9" spans="1:19" x14ac:dyDescent="0.35">
      <c r="B9" t="s">
        <v>73</v>
      </c>
      <c r="C9" t="s">
        <v>3</v>
      </c>
      <c r="D9" t="s">
        <v>22</v>
      </c>
      <c r="E9">
        <v>1</v>
      </c>
      <c r="F9" s="5">
        <f>GREET!B566</f>
        <v>0.13945728886199998</v>
      </c>
      <c r="G9" s="5"/>
      <c r="H9" s="5"/>
      <c r="I9" s="4"/>
      <c r="J9" s="6">
        <f t="shared" si="0"/>
        <v>0.13945728886199998</v>
      </c>
      <c r="K9" s="5">
        <f>GREET!B567</f>
        <v>0.1449</v>
      </c>
      <c r="L9" s="46"/>
      <c r="M9" s="46"/>
      <c r="N9" s="45"/>
      <c r="O9" s="6">
        <f>GREET!B568</f>
        <v>1.81</v>
      </c>
      <c r="P9" s="6"/>
      <c r="Q9" s="31">
        <v>0</v>
      </c>
      <c r="R9">
        <v>18.899999999999999</v>
      </c>
      <c r="S9" s="45">
        <f t="shared" si="1"/>
        <v>18.899999999999999</v>
      </c>
    </row>
    <row r="10" spans="1:19" x14ac:dyDescent="0.35">
      <c r="B10" t="s">
        <v>70</v>
      </c>
      <c r="C10" t="s">
        <v>3</v>
      </c>
      <c r="D10" t="s">
        <v>22</v>
      </c>
      <c r="E10">
        <v>1</v>
      </c>
      <c r="F10" s="5">
        <f>GREET!B704</f>
        <v>5.0564609063399997E-2</v>
      </c>
      <c r="G10" s="5"/>
      <c r="H10" s="5"/>
      <c r="I10" s="4">
        <f>GREET!B705</f>
        <v>1.0896382878333333E-3</v>
      </c>
      <c r="J10" s="6">
        <f t="shared" si="0"/>
        <v>5.4487306899599998E-2</v>
      </c>
      <c r="K10" s="5">
        <f>GREET!B706</f>
        <v>5.9569999999999998E-2</v>
      </c>
      <c r="L10" s="46">
        <f>SUM(GREET!B707:B709)*1000</f>
        <v>8.5560000000000009</v>
      </c>
      <c r="M10" s="46">
        <f>GREET!B711*1000000</f>
        <v>28.72</v>
      </c>
      <c r="N10" s="45"/>
      <c r="O10" s="6">
        <f>GREET!B721</f>
        <v>1.7590123356145999</v>
      </c>
      <c r="P10" s="6">
        <f>GREET!B741</f>
        <v>0.64656000000000002</v>
      </c>
      <c r="Q10" s="31">
        <v>0</v>
      </c>
      <c r="R10">
        <v>17.3</v>
      </c>
      <c r="S10" s="45">
        <f t="shared" si="1"/>
        <v>17.3</v>
      </c>
    </row>
    <row r="11" spans="1:19" x14ac:dyDescent="0.35">
      <c r="B11" t="s">
        <v>71</v>
      </c>
      <c r="C11" t="s">
        <v>3</v>
      </c>
      <c r="D11" t="s">
        <v>22</v>
      </c>
      <c r="E11">
        <v>1</v>
      </c>
      <c r="F11" s="5">
        <f>GREET!B901</f>
        <v>0.23590205879279999</v>
      </c>
      <c r="G11" s="5"/>
      <c r="H11" s="5"/>
      <c r="I11" s="4"/>
      <c r="J11" s="6">
        <f t="shared" si="0"/>
        <v>0.23590205879279999</v>
      </c>
      <c r="K11" s="5">
        <f>GREET!B902</f>
        <v>8.5330000000000003E-2</v>
      </c>
      <c r="L11" s="46">
        <f>SUM(GREET!B903:B905)*1000</f>
        <v>19.096999999999998</v>
      </c>
      <c r="M11" s="46"/>
      <c r="N11" s="45"/>
      <c r="O11" s="6">
        <f>GREET!B907</f>
        <v>1.7167333333333332</v>
      </c>
      <c r="P11" s="6"/>
      <c r="Q11" s="31">
        <v>0.12</v>
      </c>
      <c r="R11">
        <v>16.600000000000001</v>
      </c>
      <c r="S11" s="45">
        <f t="shared" si="1"/>
        <v>14.608000000000001</v>
      </c>
    </row>
    <row r="12" spans="1:19" x14ac:dyDescent="0.35">
      <c r="B12" t="s">
        <v>80</v>
      </c>
      <c r="C12" t="s">
        <v>3</v>
      </c>
      <c r="D12" t="s">
        <v>22</v>
      </c>
      <c r="E12">
        <v>1</v>
      </c>
      <c r="F12" s="5">
        <f>GREET!B1060</f>
        <v>3.8388208921499994E-2</v>
      </c>
      <c r="G12" s="5">
        <f>GREET!B1061</f>
        <v>1.2328328191499999E-2</v>
      </c>
      <c r="H12" s="5">
        <f>GREET!B1062</f>
        <v>4.0392815131500004E-2</v>
      </c>
      <c r="I12" s="4">
        <f>GREET!B1063</f>
        <v>2.5057577624999997E-3</v>
      </c>
      <c r="J12" s="6">
        <f t="shared" si="0"/>
        <v>0.1001300801895</v>
      </c>
      <c r="K12" s="5">
        <f>GREET!B1064</f>
        <v>1.932E-2</v>
      </c>
      <c r="L12" s="46">
        <f>SUM(GREET!B1065:B1067)*1000</f>
        <v>2.8113000000000001</v>
      </c>
      <c r="M12" s="46">
        <f>GREET!B1070*1000000</f>
        <v>51.3</v>
      </c>
      <c r="N12" s="45">
        <f>GREET!B1069*1000000</f>
        <v>2.8499999999999996</v>
      </c>
      <c r="O12" s="6">
        <f>GREET!B1080</f>
        <v>0.44</v>
      </c>
      <c r="P12" s="6">
        <f>GREET!B1093</f>
        <v>0.13575000000000001</v>
      </c>
      <c r="Q12" s="31">
        <v>0.75</v>
      </c>
      <c r="R12">
        <v>14.8</v>
      </c>
      <c r="S12" s="45">
        <f t="shared" si="1"/>
        <v>3.7</v>
      </c>
    </row>
    <row r="13" spans="1:19" x14ac:dyDescent="0.35">
      <c r="B13" t="s">
        <v>89</v>
      </c>
      <c r="C13" t="s">
        <v>3</v>
      </c>
      <c r="D13" t="s">
        <v>22</v>
      </c>
      <c r="E13">
        <v>1</v>
      </c>
      <c r="F13" s="5">
        <f>GREET!B1236</f>
        <v>0.24851916633468898</v>
      </c>
      <c r="G13" s="5">
        <f>GREET!B1237</f>
        <v>0.12876640742729997</v>
      </c>
      <c r="H13" s="5">
        <f>GREET!B1238</f>
        <v>0.31759611328681792</v>
      </c>
      <c r="I13" s="4">
        <f>GREET!B1239</f>
        <v>4.1029951666666666E-6</v>
      </c>
      <c r="J13" s="6">
        <f t="shared" si="0"/>
        <v>0.69489645783140686</v>
      </c>
      <c r="K13" s="5">
        <f>GREET!B1240</f>
        <v>3.2199999999999999E-2</v>
      </c>
      <c r="L13" s="46">
        <f>SUM(GREET!B1241:B1243)*1000</f>
        <v>26.177112999999995</v>
      </c>
      <c r="M13" s="46">
        <f>GREET!B1244*1000000</f>
        <v>1128.7379000000001</v>
      </c>
      <c r="N13" s="45"/>
      <c r="O13" s="6">
        <f>GREET!B1270</f>
        <v>1.4410000000000001</v>
      </c>
      <c r="P13" s="6">
        <f>GREET!B1276</f>
        <v>0.64451037545981105</v>
      </c>
      <c r="Q13" s="31">
        <v>0</v>
      </c>
      <c r="R13">
        <v>14.9</v>
      </c>
      <c r="S13" s="45">
        <f t="shared" si="1"/>
        <v>14.9</v>
      </c>
    </row>
    <row r="14" spans="1:19" x14ac:dyDescent="0.35">
      <c r="B14" t="s">
        <v>92</v>
      </c>
      <c r="C14" t="s">
        <v>3</v>
      </c>
      <c r="D14" t="s">
        <v>22</v>
      </c>
      <c r="E14">
        <v>1</v>
      </c>
      <c r="F14" s="5">
        <f>GREET!B1428</f>
        <v>4.0196574734099995E-2</v>
      </c>
      <c r="G14" s="5">
        <f>GREET!B1429</f>
        <v>1.2908608936499999E-2</v>
      </c>
      <c r="H14" s="5">
        <f>GREET!B1430</f>
        <v>4.22950809192E-2</v>
      </c>
      <c r="I14" s="4">
        <f>GREET!B1431</f>
        <v>2.6238654090833331E-3</v>
      </c>
      <c r="J14" s="6">
        <f t="shared" si="0"/>
        <v>0.1048461800625</v>
      </c>
      <c r="K14" s="5">
        <f>GREET!B1432</f>
        <v>3.2199999999999999E-2</v>
      </c>
      <c r="L14" s="46">
        <f>SUM(GREET!B1433:B1434)*1000</f>
        <v>1.6589999999999998</v>
      </c>
      <c r="M14" s="46">
        <f>GREET!B1435*1000000</f>
        <v>71.910000000000011</v>
      </c>
      <c r="N14" s="45"/>
      <c r="O14" s="6">
        <f>GREET!B1461</f>
        <v>0.43120000000000003</v>
      </c>
      <c r="P14" s="6">
        <f>GREET!B1467</f>
        <v>6.9244916371715204E-2</v>
      </c>
      <c r="Q14" s="31">
        <v>0.72</v>
      </c>
      <c r="R14">
        <v>16.100000000000001</v>
      </c>
      <c r="S14" s="45">
        <f t="shared" si="1"/>
        <v>4.5080000000000009</v>
      </c>
    </row>
    <row r="15" spans="1:19" x14ac:dyDescent="0.35">
      <c r="B15" t="s">
        <v>97</v>
      </c>
      <c r="C15" t="s">
        <v>3</v>
      </c>
      <c r="D15" t="s">
        <v>22</v>
      </c>
      <c r="E15">
        <v>1</v>
      </c>
      <c r="F15" s="5">
        <f>GREET!B1580</f>
        <v>2.5393085401199996E-2</v>
      </c>
      <c r="G15" s="5">
        <f>GREET!B1581</f>
        <v>8.1545270510999992E-3</v>
      </c>
      <c r="H15" s="5">
        <f>GREET!B1582</f>
        <v>2.6719290667499996E-2</v>
      </c>
      <c r="I15" s="4">
        <f>GREET!B1583</f>
        <v>1.6576100473333331E-3</v>
      </c>
      <c r="J15" s="6">
        <f t="shared" si="0"/>
        <v>6.6234299290199986E-2</v>
      </c>
      <c r="K15" s="5">
        <f>GREET!B1584</f>
        <v>3.2199999999999999E-2</v>
      </c>
      <c r="L15" s="46">
        <f>SUM(GREET!B1585:B1587)*1000</f>
        <v>2.9289999999999998</v>
      </c>
      <c r="M15" s="46">
        <f>GREET!B1589*1000000</f>
        <v>23.96</v>
      </c>
      <c r="N15" s="45"/>
      <c r="O15" s="6">
        <f>GREET!B1615</f>
        <v>0.4158</v>
      </c>
      <c r="P15" s="6">
        <f>GREET!B1621</f>
        <v>6.9244916371715204E-2</v>
      </c>
      <c r="Q15" s="31">
        <v>0.73</v>
      </c>
      <c r="R15">
        <v>16.600000000000001</v>
      </c>
      <c r="S15" s="45">
        <f t="shared" si="1"/>
        <v>4.4820000000000011</v>
      </c>
    </row>
    <row r="16" spans="1:19" x14ac:dyDescent="0.35">
      <c r="B16" t="s">
        <v>103</v>
      </c>
      <c r="C16" t="s">
        <v>3</v>
      </c>
      <c r="D16" t="s">
        <v>22</v>
      </c>
      <c r="E16">
        <v>1</v>
      </c>
      <c r="F16" s="5">
        <f>GREET!B1763</f>
        <v>0.14160151061924697</v>
      </c>
      <c r="G16" s="5">
        <f>GREET!B1764</f>
        <v>4.2285226697093996E-2</v>
      </c>
      <c r="H16" s="5">
        <f>GREET!B1765</f>
        <v>9.0551860706939991E-2</v>
      </c>
      <c r="I16" s="4">
        <f>GREET!B1766</f>
        <v>3.6691503191649999E-3</v>
      </c>
      <c r="J16" s="6">
        <f t="shared" si="0"/>
        <v>0.28764753917227498</v>
      </c>
      <c r="K16" s="5">
        <f>SUM(GREET!B1767:B1769)</f>
        <v>1.288</v>
      </c>
      <c r="L16" s="46">
        <f>SUM(GREET!B1770:B1772)*1000</f>
        <v>26.299159999999997</v>
      </c>
      <c r="M16" s="46">
        <f>GREET!B1775*1000000</f>
        <v>230.31449999999995</v>
      </c>
      <c r="N16" s="45">
        <f>GREET!B1774*1000000</f>
        <v>0.39369999999999994</v>
      </c>
      <c r="O16" s="6">
        <f>GREET!B1779</f>
        <v>1.4762999999999999</v>
      </c>
      <c r="P16" s="6">
        <f>GREET!B1787</f>
        <v>0.95982162650602398</v>
      </c>
      <c r="Q16" s="31">
        <v>0.14000000000000001</v>
      </c>
      <c r="R16">
        <v>16.100000000000001</v>
      </c>
      <c r="S16" s="45">
        <f t="shared" si="1"/>
        <v>13.846000000000002</v>
      </c>
    </row>
    <row r="17" spans="2:19" x14ac:dyDescent="0.35">
      <c r="B17" t="s">
        <v>80</v>
      </c>
      <c r="C17" t="s">
        <v>276</v>
      </c>
      <c r="D17" t="s">
        <v>486</v>
      </c>
      <c r="E17">
        <v>1</v>
      </c>
      <c r="F17" s="5">
        <f>'Pereira et al. 2019'!B18</f>
        <v>6.7500000000000004E-2</v>
      </c>
      <c r="G17" s="5"/>
      <c r="H17" s="5"/>
      <c r="I17" s="4"/>
      <c r="J17" s="6">
        <f t="shared" si="0"/>
        <v>6.7500000000000004E-2</v>
      </c>
      <c r="K17" s="5">
        <f>'Pereira et al. 2019'!B19</f>
        <v>2.7300000000000001E-2</v>
      </c>
      <c r="L17" s="46">
        <f>SUM('Pereira et al. 2019'!B12:B14)*1000</f>
        <v>2.68</v>
      </c>
      <c r="M17" s="46">
        <f>'Pereira et al. 2019'!B17*1000000</f>
        <v>14.027999999999999</v>
      </c>
      <c r="N17" s="45">
        <f>'Pereira et al. 2019'!B16*1000000</f>
        <v>2.6720000000000002</v>
      </c>
      <c r="O17" s="6">
        <f>'Pereira et al. 2019'!B52</f>
        <v>0.49888461538461598</v>
      </c>
      <c r="P17" s="6">
        <f>'Pereira et al. 2019'!B33</f>
        <v>0.18014772113132799</v>
      </c>
      <c r="Q17" s="31">
        <v>0.75</v>
      </c>
      <c r="R17">
        <v>14.8</v>
      </c>
      <c r="S17" s="45">
        <f t="shared" si="1"/>
        <v>3.7</v>
      </c>
    </row>
    <row r="18" spans="2:19" x14ac:dyDescent="0.35">
      <c r="B18" t="s">
        <v>278</v>
      </c>
      <c r="C18" t="s">
        <v>276</v>
      </c>
      <c r="D18" t="s">
        <v>486</v>
      </c>
      <c r="E18">
        <v>1</v>
      </c>
      <c r="F18" s="5">
        <f>'Pereira et al. 2019'!B70</f>
        <v>0.19930119999999998</v>
      </c>
      <c r="G18" s="5"/>
      <c r="H18" s="5"/>
      <c r="I18" s="4"/>
      <c r="J18" s="6">
        <f t="shared" si="0"/>
        <v>0.19930119999999998</v>
      </c>
      <c r="K18" s="5">
        <f>'Pereira et al. 2019'!B72</f>
        <v>4.4999999999999998E-2</v>
      </c>
      <c r="L18" s="46"/>
      <c r="M18" s="46"/>
      <c r="N18" s="45"/>
      <c r="O18" s="6">
        <f>'Pereira et al. 2019'!B73</f>
        <v>1.4320899999999999</v>
      </c>
      <c r="P18" s="6">
        <f>'Pereira et al. 2019'!B75</f>
        <v>1.6930220883534137</v>
      </c>
      <c r="Q18" s="31">
        <v>0.06</v>
      </c>
      <c r="R18">
        <v>16.600000000000001</v>
      </c>
      <c r="S18" s="45">
        <f t="shared" si="1"/>
        <v>15.604000000000001</v>
      </c>
    </row>
    <row r="19" spans="2:19" x14ac:dyDescent="0.35">
      <c r="B19" t="s">
        <v>595</v>
      </c>
      <c r="C19" t="s">
        <v>596</v>
      </c>
      <c r="D19" t="s">
        <v>662</v>
      </c>
      <c r="E19">
        <v>1</v>
      </c>
      <c r="F19" s="5">
        <f>'Gonzalez-Garcia et al. 2012'!B16</f>
        <v>0.71379999999999999</v>
      </c>
      <c r="I19" s="4">
        <f>'Gonzalez-Garcia et al. 2012'!B17</f>
        <v>1.4237393228333332E-3</v>
      </c>
      <c r="J19" s="6">
        <f t="shared" si="0"/>
        <v>0.71892546156219994</v>
      </c>
      <c r="K19" s="5">
        <f>'Gonzalez-Garcia et al. 2012'!B18</f>
        <v>0.05</v>
      </c>
      <c r="L19" s="46">
        <f>SUM('Gonzalez-Garcia et al. 2012'!B19:B21)*1000</f>
        <v>4.2699999999999996</v>
      </c>
      <c r="M19" s="46">
        <f>'Gonzalez-Garcia et al. 2012'!B22*1000000</f>
        <v>346.2</v>
      </c>
      <c r="O19" s="6">
        <f>'Gonzalez-Garcia et al. 2012'!B24</f>
        <v>1.0980000000000001</v>
      </c>
      <c r="P19" s="6">
        <f>'Gonzalez-Garcia et al. 2012'!B26</f>
        <v>5.7692307692307683</v>
      </c>
      <c r="Q19" s="31">
        <v>0.4</v>
      </c>
      <c r="R19" s="45">
        <f>'Gonzalez-Garcia et al. 2012'!B9</f>
        <v>18.850000000000001</v>
      </c>
      <c r="S19" s="45">
        <f t="shared" si="1"/>
        <v>11.31</v>
      </c>
    </row>
    <row r="20" spans="2:19" x14ac:dyDescent="0.35">
      <c r="B20" t="s">
        <v>933</v>
      </c>
      <c r="C20" t="s">
        <v>600</v>
      </c>
      <c r="D20" t="s">
        <v>935</v>
      </c>
      <c r="E20">
        <v>1</v>
      </c>
      <c r="F20" s="5">
        <f>'Cozzolini 2018'!B22</f>
        <v>0.50208228675</v>
      </c>
      <c r="H20" s="5">
        <f>'Cozzolini 2018'!B15*50</f>
        <v>8.0594212500000005E-3</v>
      </c>
      <c r="I20" s="4">
        <f>SUM('Cozzolini 2018'!B23:B24)</f>
        <v>1.5976904952750002E-3</v>
      </c>
      <c r="J20" s="6">
        <f t="shared" si="0"/>
        <v>0.51589339378299004</v>
      </c>
      <c r="K20" s="5">
        <f>'Cozzolini 2018'!B25</f>
        <v>4.3250000000000004E-2</v>
      </c>
      <c r="L20" s="46">
        <f>SUM('Cozzolini 2018'!B16,'Cozzolini 2018'!B18:B19)*1000</f>
        <v>23.588550000000001</v>
      </c>
      <c r="M20" s="46"/>
      <c r="N20" s="45">
        <f>'Cozzolini 2018'!B17*1000000</f>
        <v>0.88036915646023683</v>
      </c>
      <c r="O20" s="6">
        <f>'Cozzolini 2018'!B27</f>
        <v>1.4526233333333334</v>
      </c>
      <c r="P20" s="6">
        <f>'Cozzolini 2018'!B28</f>
        <v>1.4921511126444715</v>
      </c>
      <c r="Q20" s="31">
        <v>0.13500000000000001</v>
      </c>
      <c r="R20" s="45">
        <v>15.15</v>
      </c>
      <c r="S20" s="45">
        <f t="shared" si="1"/>
        <v>13.104750000000001</v>
      </c>
    </row>
    <row r="21" spans="2:19" x14ac:dyDescent="0.35">
      <c r="B21" t="s">
        <v>948</v>
      </c>
      <c r="C21" t="s">
        <v>600</v>
      </c>
      <c r="D21" t="s">
        <v>935</v>
      </c>
      <c r="E21">
        <v>1</v>
      </c>
      <c r="F21" s="5">
        <f>'Cozzolini 2018'!B96</f>
        <v>3.6585432000000003E-3</v>
      </c>
      <c r="H21" s="5"/>
      <c r="I21" s="4">
        <f>'Cozzolini 2018'!B92</f>
        <v>8.6068800000000015E-2</v>
      </c>
      <c r="J21" s="6">
        <f t="shared" si="0"/>
        <v>0.31350622320000004</v>
      </c>
      <c r="K21" s="5">
        <f>'Cozzolini 2018'!B91</f>
        <v>5.4180000000000006E-2</v>
      </c>
      <c r="L21" s="46"/>
      <c r="M21" s="46"/>
      <c r="N21" s="45"/>
      <c r="O21" s="6">
        <f>'Cozzolini 2018'!B97</f>
        <v>1.518</v>
      </c>
      <c r="P21" s="6"/>
      <c r="Q21" s="31">
        <f>'Cozzolini 2018'!B86</f>
        <v>0.1</v>
      </c>
      <c r="R21" s="45">
        <f>'Cozzolini 2018'!B85</f>
        <v>17.2</v>
      </c>
      <c r="S21" s="45">
        <f t="shared" si="1"/>
        <v>15.48</v>
      </c>
    </row>
    <row r="22" spans="2:19" x14ac:dyDescent="0.35">
      <c r="B22" t="s">
        <v>103</v>
      </c>
      <c r="C22" t="s">
        <v>600</v>
      </c>
      <c r="D22" t="s">
        <v>935</v>
      </c>
      <c r="E22">
        <v>1</v>
      </c>
      <c r="F22" s="5">
        <f>'Cozzolini 2018'!B171</f>
        <v>0.55718582999999999</v>
      </c>
      <c r="H22" s="5">
        <f>'Cozzolini 2018'!B165*50</f>
        <v>0.1691192</v>
      </c>
      <c r="I22" s="4">
        <f>SUM('Cozzolini 2018'!B172:B173)</f>
        <v>9.4050180000000011E-3</v>
      </c>
      <c r="J22" s="6">
        <f t="shared" si="0"/>
        <v>0.76016309479999999</v>
      </c>
      <c r="K22" s="5">
        <f>'Cozzolini 2018'!B175</f>
        <v>0.05</v>
      </c>
      <c r="L22" s="46">
        <f>SUM('Cozzolini 2018'!B166,'Cozzolini 2018'!B168:B169)*1000</f>
        <v>30.43</v>
      </c>
      <c r="M22" s="46"/>
      <c r="N22" s="45">
        <f>'Cozzolini 2018'!B167*1000000</f>
        <v>1.79</v>
      </c>
      <c r="O22" s="6">
        <f>'Cozzolini 2018'!B177</f>
        <v>1.40008</v>
      </c>
      <c r="P22" s="6">
        <f>'Cozzolini 2018'!B178</f>
        <v>1.4027212792818067</v>
      </c>
      <c r="Q22" s="31">
        <f>'Cozzolini 2018'!B157</f>
        <v>0.14000000000000001</v>
      </c>
      <c r="R22" s="45">
        <f>'Cozzolini 2018'!B156</f>
        <v>17.899999999999999</v>
      </c>
      <c r="S22" s="45">
        <f t="shared" si="1"/>
        <v>15.393999999999998</v>
      </c>
    </row>
    <row r="23" spans="2:19" x14ac:dyDescent="0.35">
      <c r="B23" t="s">
        <v>953</v>
      </c>
      <c r="C23" t="s">
        <v>600</v>
      </c>
      <c r="D23" t="s">
        <v>935</v>
      </c>
      <c r="E23">
        <v>1</v>
      </c>
      <c r="F23" s="5">
        <f>'Cozzolini 2018'!B253</f>
        <v>4.2688314499999998E-2</v>
      </c>
      <c r="H23" s="5"/>
      <c r="I23" s="4">
        <f>SUM('Cozzolini 2018'!B254:B255)</f>
        <v>6.7498300000000001E-3</v>
      </c>
      <c r="J23" s="6">
        <f t="shared" si="0"/>
        <v>6.6987702499999996E-2</v>
      </c>
      <c r="K23" s="5">
        <f>'Cozzolini 2018'!B260</f>
        <v>0.05</v>
      </c>
      <c r="L23" s="46">
        <f>SUM('Cozzolini 2018'!B247,'Cozzolini 2018'!B249:B250)*1000</f>
        <v>3.097</v>
      </c>
      <c r="M23" s="46"/>
      <c r="N23" s="45">
        <f>'Cozzolini 2018'!B248*1000000</f>
        <v>0.20374999999999999</v>
      </c>
      <c r="O23" s="6">
        <f>'Cozzolini 2018'!B261</f>
        <v>0.40791666666666665</v>
      </c>
      <c r="P23" s="6">
        <f>'Cozzolini 2018'!B262</f>
        <v>0.12382367508667656</v>
      </c>
      <c r="Q23" s="31">
        <f>'Cozzolini 2018'!B242</f>
        <v>0.75</v>
      </c>
      <c r="R23" s="45">
        <f>'Cozzolini 2018'!B241</f>
        <v>16.3</v>
      </c>
      <c r="S23" s="45">
        <f t="shared" si="1"/>
        <v>4.0750000000000002</v>
      </c>
    </row>
    <row r="24" spans="2:19" x14ac:dyDescent="0.35">
      <c r="B24" t="s">
        <v>73</v>
      </c>
      <c r="C24" t="s">
        <v>600</v>
      </c>
      <c r="D24" t="s">
        <v>935</v>
      </c>
      <c r="E24">
        <v>1</v>
      </c>
      <c r="J24" s="6">
        <f t="shared" si="0"/>
        <v>0</v>
      </c>
      <c r="K24" s="5">
        <f>SUM('Cozzolini 2018'!B321:B322)</f>
        <v>3.5986000000000002</v>
      </c>
      <c r="O24" s="6">
        <f>'Cozzolini 2018'!B324</f>
        <v>1.8186666666666667</v>
      </c>
      <c r="Q24">
        <f>'Cozzolini 2018'!B316</f>
        <v>0</v>
      </c>
      <c r="R24">
        <f>'Cozzolini 2018'!B315</f>
        <v>19</v>
      </c>
      <c r="S24" s="45">
        <f t="shared" si="1"/>
        <v>19</v>
      </c>
    </row>
    <row r="25" spans="2:19" x14ac:dyDescent="0.35">
      <c r="B25" t="s">
        <v>966</v>
      </c>
      <c r="C25" t="s">
        <v>600</v>
      </c>
      <c r="D25" t="s">
        <v>935</v>
      </c>
      <c r="E25">
        <v>1</v>
      </c>
      <c r="I25" s="4">
        <f>'Cozzolini 2018'!B387</f>
        <v>9.9079200000000006E-3</v>
      </c>
      <c r="J25" s="6">
        <f t="shared" si="0"/>
        <v>3.5668512000000006E-2</v>
      </c>
      <c r="K25" s="5">
        <f>SUM('Cozzolini 2018'!B385:B386)</f>
        <v>7.6071600000000004</v>
      </c>
      <c r="O25" s="6">
        <f>'Cozzolini 2018'!B388</f>
        <v>1.9066666666666667</v>
      </c>
      <c r="R25">
        <f>'Cozzolini 2018'!B376</f>
        <v>39.6</v>
      </c>
      <c r="S25" s="45">
        <f t="shared" si="1"/>
        <v>39.6</v>
      </c>
    </row>
    <row r="26" spans="2:19" x14ac:dyDescent="0.35">
      <c r="B26" t="s">
        <v>971</v>
      </c>
      <c r="C26" t="s">
        <v>600</v>
      </c>
      <c r="D26" t="s">
        <v>935</v>
      </c>
      <c r="E26">
        <v>1</v>
      </c>
      <c r="F26" s="5">
        <f>'Cozzolini 2018'!B457</f>
        <v>0.97220991758241904</v>
      </c>
      <c r="G26" s="5">
        <f>'Cozzolini 2018'!B459</f>
        <v>3.851312637362637E-3</v>
      </c>
      <c r="H26" s="5">
        <f>'Cozzolini 2018'!B450</f>
        <v>3.3196796703296701E-3</v>
      </c>
      <c r="I26" s="4">
        <f>'Cozzolini 2018'!B458</f>
        <v>2.1103407692307695E-2</v>
      </c>
      <c r="J26" s="6">
        <f t="shared" si="0"/>
        <v>1.055353177582419</v>
      </c>
      <c r="K26" s="5"/>
      <c r="L26" s="46">
        <f>SUM('Cozzolini 2018'!B451,'Cozzolini 2018'!B453:B454)*1000</f>
        <v>70.867582417582412</v>
      </c>
      <c r="N26" s="45">
        <f>'Cozzolini 2018'!B452*1000000</f>
        <v>2.2697802197802202</v>
      </c>
      <c r="O26" s="6">
        <f>'Cozzolini 2018'!B463</f>
        <v>1.6674166666666665</v>
      </c>
      <c r="P26" s="6">
        <f>'Cozzolini 2018'!B464</f>
        <v>3.3333333333333335</v>
      </c>
      <c r="Q26" s="78">
        <f>'Cozzolini 2018'!B445</f>
        <v>0.15</v>
      </c>
      <c r="R26" s="45">
        <f>'Cozzolini 2018'!B444</f>
        <v>29.670329670329668</v>
      </c>
      <c r="S26" s="45">
        <f t="shared" si="1"/>
        <v>25.219780219780215</v>
      </c>
    </row>
    <row r="27" spans="2:19" x14ac:dyDescent="0.35">
      <c r="B27" t="s">
        <v>980</v>
      </c>
      <c r="C27" t="s">
        <v>600</v>
      </c>
      <c r="D27" t="s">
        <v>935</v>
      </c>
      <c r="E27">
        <v>1</v>
      </c>
      <c r="F27" s="5">
        <f>'Cozzolini 2018'!B567</f>
        <v>0.118300224</v>
      </c>
      <c r="G27" s="5"/>
      <c r="H27" s="5"/>
      <c r="I27" s="4"/>
      <c r="J27" s="6">
        <f t="shared" si="0"/>
        <v>0.118300224</v>
      </c>
      <c r="K27" s="5"/>
      <c r="L27" s="46">
        <f>SUM('Cozzolini 2018'!B563,'Cozzolini 2018'!B565:B566)*1000</f>
        <v>22.080000000000002</v>
      </c>
      <c r="N27" s="45">
        <f>'Cozzolini 2018'!B564*1000000</f>
        <v>1.1039999999999999</v>
      </c>
      <c r="O27" s="6">
        <f>'Cozzolini 2018'!B570</f>
        <v>1.7069066666666668</v>
      </c>
      <c r="P27" s="6">
        <f>'Cozzolini 2018'!B587</f>
        <v>2</v>
      </c>
      <c r="Q27" s="78">
        <f>'Cozzolini 2018'!B557</f>
        <v>0.08</v>
      </c>
      <c r="R27" s="45">
        <f>'Cozzolini 2018'!B556</f>
        <v>24</v>
      </c>
      <c r="S27" s="45">
        <f t="shared" si="1"/>
        <v>22.080000000000002</v>
      </c>
    </row>
    <row r="28" spans="2:19" x14ac:dyDescent="0.35">
      <c r="B28" t="s">
        <v>981</v>
      </c>
      <c r="C28" t="s">
        <v>600</v>
      </c>
      <c r="D28" t="s">
        <v>935</v>
      </c>
      <c r="E28">
        <v>1</v>
      </c>
      <c r="F28" s="5"/>
      <c r="G28" s="5"/>
      <c r="H28" s="5"/>
      <c r="I28" s="4">
        <f>'Cozzolini 2018'!B688+('Cozzolini 2018'!B687*'Cozzolini 2018'!B676)</f>
        <v>1.1348685764000002</v>
      </c>
      <c r="J28" s="6">
        <f t="shared" si="0"/>
        <v>4.0855268750400011</v>
      </c>
      <c r="K28" s="5"/>
      <c r="L28" s="46">
        <f>SUM('Cozzolini 2018'!B671:B672,'Cozzolini 2018'!B674)*'Cozzolini 2018'!B687*1000</f>
        <v>40.896568499999994</v>
      </c>
      <c r="N28" s="45"/>
      <c r="O28" s="6">
        <f>'Cozzolini 2018'!B690</f>
        <v>1.9433333333333334</v>
      </c>
      <c r="P28" s="6"/>
      <c r="Q28" s="78">
        <v>0</v>
      </c>
      <c r="R28" s="45">
        <f>'Cozzolini 2018'!B689</f>
        <v>13.6</v>
      </c>
      <c r="S28" s="45">
        <f t="shared" si="1"/>
        <v>13.6</v>
      </c>
    </row>
    <row r="30" spans="2:19" ht="21" x14ac:dyDescent="0.5">
      <c r="B30" s="66" t="s">
        <v>284</v>
      </c>
      <c r="C30" s="67"/>
      <c r="D30" s="67"/>
      <c r="E30" s="67"/>
      <c r="F30" s="67"/>
      <c r="G30" s="67"/>
      <c r="H30" s="67"/>
      <c r="I30" s="67"/>
      <c r="J30" s="67"/>
      <c r="K30" s="67"/>
      <c r="L30" s="67"/>
      <c r="M30" s="67"/>
      <c r="N30" s="67"/>
      <c r="O30" s="67"/>
      <c r="P30" s="67"/>
      <c r="Q30" s="67"/>
    </row>
    <row r="31" spans="2:19" x14ac:dyDescent="0.35">
      <c r="B31" s="10" t="s">
        <v>497</v>
      </c>
    </row>
    <row r="32" spans="2:19" x14ac:dyDescent="0.35">
      <c r="B32" t="s">
        <v>1</v>
      </c>
      <c r="C32" t="s">
        <v>475</v>
      </c>
      <c r="D32" t="s">
        <v>476</v>
      </c>
      <c r="E32" t="s">
        <v>477</v>
      </c>
      <c r="F32" t="s">
        <v>510</v>
      </c>
      <c r="G32" t="s">
        <v>510</v>
      </c>
      <c r="H32" t="s">
        <v>478</v>
      </c>
      <c r="I32" t="s">
        <v>488</v>
      </c>
      <c r="J32" t="s">
        <v>514</v>
      </c>
      <c r="K32" t="s">
        <v>258</v>
      </c>
      <c r="L32" t="s">
        <v>489</v>
      </c>
      <c r="M32" t="s">
        <v>441</v>
      </c>
      <c r="N32" t="s">
        <v>511</v>
      </c>
      <c r="O32" t="s">
        <v>515</v>
      </c>
      <c r="P32" t="s">
        <v>516</v>
      </c>
    </row>
    <row r="33" spans="2:17" x14ac:dyDescent="0.35">
      <c r="B33" t="s">
        <v>8</v>
      </c>
      <c r="E33" t="s">
        <v>9</v>
      </c>
      <c r="F33" t="s">
        <v>115</v>
      </c>
      <c r="G33" t="s">
        <v>479</v>
      </c>
      <c r="H33" t="s">
        <v>479</v>
      </c>
      <c r="I33" t="s">
        <v>479</v>
      </c>
      <c r="J33" t="s">
        <v>479</v>
      </c>
      <c r="K33" t="s">
        <v>259</v>
      </c>
      <c r="L33" t="s">
        <v>479</v>
      </c>
      <c r="M33" t="s">
        <v>9</v>
      </c>
      <c r="N33" t="s">
        <v>479</v>
      </c>
      <c r="O33" t="s">
        <v>493</v>
      </c>
      <c r="P33" t="s">
        <v>493</v>
      </c>
    </row>
    <row r="34" spans="2:17" x14ac:dyDescent="0.35">
      <c r="B34" t="s">
        <v>498</v>
      </c>
      <c r="C34" t="s">
        <v>3</v>
      </c>
      <c r="D34" t="s">
        <v>22</v>
      </c>
      <c r="E34">
        <v>1</v>
      </c>
      <c r="F34" s="45">
        <f>GREET!B64</f>
        <v>3.5882226085354634</v>
      </c>
      <c r="G34" s="46">
        <f>F34*S6</f>
        <v>51.785228686383803</v>
      </c>
      <c r="H34" s="6">
        <f>GREET!B65</f>
        <v>5.7922364134825585E-2</v>
      </c>
      <c r="I34" s="6"/>
      <c r="J34" s="6"/>
      <c r="K34" s="6"/>
      <c r="L34" s="6">
        <f>SUM(H34:K34)</f>
        <v>5.7922364134825585E-2</v>
      </c>
      <c r="M34" s="6">
        <f>GREET!B73</f>
        <v>3.2974149092166236</v>
      </c>
      <c r="N34">
        <v>29.7</v>
      </c>
      <c r="O34" s="31">
        <f t="shared" ref="O34:O47" si="2">N34/G34</f>
        <v>0.57352261935282711</v>
      </c>
      <c r="P34" s="31">
        <f>N34/SUM(G34,L34)</f>
        <v>0.5728818445286783</v>
      </c>
    </row>
    <row r="35" spans="2:17" x14ac:dyDescent="0.35">
      <c r="B35" t="s">
        <v>499</v>
      </c>
      <c r="C35" t="s">
        <v>3</v>
      </c>
      <c r="D35" t="s">
        <v>22</v>
      </c>
      <c r="E35">
        <v>1</v>
      </c>
      <c r="F35" s="45">
        <f>GREET!B260</f>
        <v>3.5882226085354634</v>
      </c>
      <c r="G35" s="46">
        <f>F35*S7</f>
        <v>56.837446119201736</v>
      </c>
      <c r="H35" s="6">
        <f>GREET!B261</f>
        <v>0.1084435372968679</v>
      </c>
      <c r="I35" s="6"/>
      <c r="J35" s="6"/>
      <c r="K35" s="6"/>
      <c r="L35" s="6">
        <f t="shared" ref="L35:L47" si="3">SUM(H35:K35)</f>
        <v>0.1084435372968679</v>
      </c>
      <c r="M35" s="6">
        <f>GREET!B267</f>
        <v>3.6888301920976998</v>
      </c>
      <c r="N35">
        <v>29.7</v>
      </c>
      <c r="O35" s="31">
        <f t="shared" si="2"/>
        <v>0.52254283096590914</v>
      </c>
      <c r="P35" s="31">
        <f t="shared" ref="P35:P55" si="4">N35/SUM(G35,L35)</f>
        <v>0.52154773907567997</v>
      </c>
    </row>
    <row r="36" spans="2:17" x14ac:dyDescent="0.35">
      <c r="B36" t="s">
        <v>500</v>
      </c>
      <c r="C36" t="s">
        <v>3</v>
      </c>
      <c r="D36" t="s">
        <v>22</v>
      </c>
      <c r="E36">
        <v>1</v>
      </c>
      <c r="F36" s="45">
        <f>GREET!B454</f>
        <v>3.5882226085354634</v>
      </c>
      <c r="G36" s="46">
        <f>F36*S8</f>
        <v>54.942864581895016</v>
      </c>
      <c r="H36" s="6">
        <f>GREET!B455</f>
        <v>0.1084435372968679</v>
      </c>
      <c r="I36" s="6"/>
      <c r="J36" s="6"/>
      <c r="K36" s="6"/>
      <c r="L36" s="6">
        <f t="shared" si="3"/>
        <v>0.1084435372968679</v>
      </c>
      <c r="M36" s="6">
        <f>GREET!B461</f>
        <v>4.397204498325908</v>
      </c>
      <c r="N36">
        <v>29.7</v>
      </c>
      <c r="O36" s="31">
        <f t="shared" si="2"/>
        <v>0.54056154927507838</v>
      </c>
      <c r="P36" s="31">
        <f t="shared" si="4"/>
        <v>0.53949671705704738</v>
      </c>
    </row>
    <row r="37" spans="2:17" x14ac:dyDescent="0.35">
      <c r="B37" t="s">
        <v>501</v>
      </c>
      <c r="C37" t="s">
        <v>3</v>
      </c>
      <c r="D37" t="s">
        <v>22</v>
      </c>
      <c r="E37">
        <v>1</v>
      </c>
      <c r="F37" s="45">
        <f>GREET!B600</f>
        <v>3.5882226085354634</v>
      </c>
      <c r="G37" s="46">
        <f>F37*S9</f>
        <v>67.817407301320259</v>
      </c>
      <c r="H37" s="6">
        <f>GREET!B601</f>
        <v>0.1084435372968679</v>
      </c>
      <c r="I37" s="6"/>
      <c r="J37" s="6"/>
      <c r="K37" s="6"/>
      <c r="L37" s="6">
        <f t="shared" si="3"/>
        <v>0.1084435372968679</v>
      </c>
      <c r="M37" s="6">
        <f>GREET!B604</f>
        <v>4.5806829214491893</v>
      </c>
      <c r="N37">
        <v>29.7</v>
      </c>
      <c r="O37" s="31">
        <f t="shared" si="2"/>
        <v>0.43794065833333329</v>
      </c>
      <c r="P37" s="31">
        <f t="shared" si="4"/>
        <v>0.43724148661108841</v>
      </c>
    </row>
    <row r="38" spans="2:17" x14ac:dyDescent="0.35">
      <c r="B38" t="s">
        <v>502</v>
      </c>
      <c r="C38" t="s">
        <v>3</v>
      </c>
      <c r="D38" t="s">
        <v>22</v>
      </c>
      <c r="E38">
        <v>1</v>
      </c>
      <c r="F38" s="45">
        <f>GREET!B785</f>
        <v>3.5882226085354634</v>
      </c>
      <c r="G38" s="46">
        <f>F38*S10</f>
        <v>62.076251127663518</v>
      </c>
      <c r="H38" s="6">
        <f>GREET!B786</f>
        <v>5.7922364134825585E-2</v>
      </c>
      <c r="I38" s="6"/>
      <c r="J38" s="6"/>
      <c r="K38" s="6"/>
      <c r="L38" s="6">
        <f t="shared" si="3"/>
        <v>5.7922364134825585E-2</v>
      </c>
      <c r="M38" s="6">
        <f>GREET!B794</f>
        <v>4.3977278313450778</v>
      </c>
      <c r="N38">
        <v>29.7</v>
      </c>
      <c r="O38" s="31">
        <f t="shared" si="2"/>
        <v>0.4784438406069364</v>
      </c>
      <c r="P38" s="31">
        <f t="shared" si="4"/>
        <v>0.47799782842400523</v>
      </c>
    </row>
    <row r="39" spans="2:17" x14ac:dyDescent="0.35">
      <c r="B39" t="s">
        <v>503</v>
      </c>
      <c r="C39" t="s">
        <v>3</v>
      </c>
      <c r="D39" t="s">
        <v>22</v>
      </c>
      <c r="E39">
        <v>1</v>
      </c>
      <c r="F39" s="45">
        <f>GREET!B944</f>
        <v>3.5882226085354634</v>
      </c>
      <c r="G39" s="46">
        <f>F39*S11</f>
        <v>52.416755865486053</v>
      </c>
      <c r="H39" s="6">
        <f>GREET!B945</f>
        <v>5.7922364134825585E-2</v>
      </c>
      <c r="I39" s="6"/>
      <c r="J39" s="6"/>
      <c r="K39" s="6"/>
      <c r="L39" s="6">
        <f t="shared" si="3"/>
        <v>5.7922364134825585E-2</v>
      </c>
      <c r="M39" s="6">
        <f>GREET!B953</f>
        <v>4.2460213594931142</v>
      </c>
      <c r="N39">
        <v>29.7</v>
      </c>
      <c r="O39" s="31">
        <f t="shared" si="2"/>
        <v>0.56661270827628696</v>
      </c>
      <c r="P39" s="31">
        <f t="shared" si="4"/>
        <v>0.56598727237616409</v>
      </c>
    </row>
    <row r="40" spans="2:17" x14ac:dyDescent="0.35">
      <c r="B40" t="s">
        <v>504</v>
      </c>
      <c r="C40" t="s">
        <v>3</v>
      </c>
      <c r="D40" t="s">
        <v>22</v>
      </c>
      <c r="E40">
        <v>1</v>
      </c>
      <c r="F40" s="45">
        <f>GREET!B1132</f>
        <v>13.698636033825473</v>
      </c>
      <c r="G40" s="46">
        <f>F40*S12</f>
        <v>50.684953325154254</v>
      </c>
      <c r="H40" s="6">
        <f>GREET!B1133</f>
        <v>9.2787147859805866E-2</v>
      </c>
      <c r="I40" s="6"/>
      <c r="J40" s="6"/>
      <c r="K40" s="6"/>
      <c r="L40" s="6">
        <f t="shared" si="3"/>
        <v>9.2787147859805866E-2</v>
      </c>
      <c r="M40" s="6">
        <f>GREET!B1135</f>
        <v>4.113399854883208</v>
      </c>
      <c r="N40">
        <v>29.7</v>
      </c>
      <c r="O40" s="31">
        <f t="shared" si="2"/>
        <v>0.58597272072972972</v>
      </c>
      <c r="P40" s="31">
        <f t="shared" si="4"/>
        <v>0.58490196143690421</v>
      </c>
    </row>
    <row r="41" spans="2:17" x14ac:dyDescent="0.35">
      <c r="B41" t="s">
        <v>505</v>
      </c>
      <c r="C41" t="s">
        <v>3</v>
      </c>
      <c r="D41" t="s">
        <v>22</v>
      </c>
      <c r="E41">
        <v>1</v>
      </c>
      <c r="F41" s="45">
        <f>GREET!B1313</f>
        <v>1.8433282158587381</v>
      </c>
      <c r="G41" s="46">
        <f>F41*S13</f>
        <v>27.465590416295196</v>
      </c>
      <c r="H41" s="6"/>
      <c r="I41" s="6">
        <f>GREET!B1314</f>
        <v>5.7136355631557425</v>
      </c>
      <c r="J41" s="6"/>
      <c r="K41" s="6">
        <f>GREET!B1315</f>
        <v>0.14947242037217484</v>
      </c>
      <c r="L41" s="6">
        <f t="shared" si="3"/>
        <v>5.8631079835279172</v>
      </c>
      <c r="M41" s="6">
        <f>GREET!B1321</f>
        <v>0.74223595905244166</v>
      </c>
      <c r="N41">
        <v>29.7</v>
      </c>
      <c r="O41" s="31">
        <f t="shared" si="2"/>
        <v>1.0813530512120044</v>
      </c>
      <c r="P41" s="31">
        <f t="shared" si="4"/>
        <v>0.89112390900202776</v>
      </c>
    </row>
    <row r="42" spans="2:17" x14ac:dyDescent="0.35">
      <c r="B42" t="s">
        <v>506</v>
      </c>
      <c r="C42" t="s">
        <v>3</v>
      </c>
      <c r="D42" t="s">
        <v>22</v>
      </c>
      <c r="E42">
        <v>1</v>
      </c>
      <c r="F42" s="45">
        <f>GREET!B1498</f>
        <v>21.623881376803233</v>
      </c>
      <c r="G42" s="46">
        <f>F42*S14</f>
        <v>97.480457246628987</v>
      </c>
      <c r="H42" s="6"/>
      <c r="I42" s="6"/>
      <c r="J42" s="6"/>
      <c r="K42" s="6"/>
      <c r="L42" s="6">
        <f t="shared" si="3"/>
        <v>0</v>
      </c>
      <c r="M42" s="6">
        <f>GREET!B1500</f>
        <v>7.4102176496775556</v>
      </c>
      <c r="N42">
        <v>29.7</v>
      </c>
      <c r="O42" s="31">
        <f t="shared" si="2"/>
        <v>0.3046764535055263</v>
      </c>
      <c r="P42" s="31">
        <f t="shared" si="4"/>
        <v>0.3046764535055263</v>
      </c>
    </row>
    <row r="43" spans="2:17" x14ac:dyDescent="0.35">
      <c r="B43" t="s">
        <v>507</v>
      </c>
      <c r="C43" t="s">
        <v>3</v>
      </c>
      <c r="D43" t="s">
        <v>22</v>
      </c>
      <c r="E43">
        <v>1</v>
      </c>
      <c r="F43" s="45">
        <f>GREET!B1655</f>
        <v>16.84617093768475</v>
      </c>
      <c r="G43" s="46">
        <f>F43*S15</f>
        <v>75.504538142703069</v>
      </c>
      <c r="H43" s="6"/>
      <c r="I43" s="6"/>
      <c r="J43" s="6"/>
      <c r="K43" s="6"/>
      <c r="L43" s="6">
        <f t="shared" si="3"/>
        <v>0</v>
      </c>
      <c r="M43" s="6">
        <f>GREET!B1660</f>
        <v>5.0906378758893194</v>
      </c>
      <c r="N43">
        <v>29.7</v>
      </c>
      <c r="O43" s="31">
        <f t="shared" si="2"/>
        <v>0.39335383978996336</v>
      </c>
      <c r="P43" s="31">
        <f t="shared" si="4"/>
        <v>0.39335383978996336</v>
      </c>
    </row>
    <row r="44" spans="2:17" x14ac:dyDescent="0.35">
      <c r="B44" t="s">
        <v>508</v>
      </c>
      <c r="C44" t="s">
        <v>3</v>
      </c>
      <c r="D44" t="s">
        <v>22</v>
      </c>
      <c r="E44">
        <v>1</v>
      </c>
      <c r="F44" s="45">
        <f>GREET!B1868</f>
        <v>1.8111021980989699</v>
      </c>
      <c r="G44" s="46">
        <f>F44*S16</f>
        <v>25.07652103487834</v>
      </c>
      <c r="H44" s="6"/>
      <c r="I44" s="6">
        <f>GREET!B1869</f>
        <v>5.1340100846521439</v>
      </c>
      <c r="J44" s="6"/>
      <c r="K44" s="6">
        <f>GREET!B1870</f>
        <v>0.14995054086916701</v>
      </c>
      <c r="L44" s="6">
        <f t="shared" si="3"/>
        <v>5.2839606255213107</v>
      </c>
      <c r="M44" s="6">
        <f>GREET!B1876</f>
        <v>0.75973017505350904</v>
      </c>
      <c r="N44">
        <v>29.7</v>
      </c>
      <c r="O44" s="31">
        <f t="shared" si="2"/>
        <v>1.1843748165341983</v>
      </c>
      <c r="P44" s="31">
        <f t="shared" si="4"/>
        <v>0.97824534973497668</v>
      </c>
    </row>
    <row r="45" spans="2:17" x14ac:dyDescent="0.35">
      <c r="B45" t="s">
        <v>590</v>
      </c>
      <c r="C45" t="s">
        <v>3</v>
      </c>
      <c r="D45" t="s">
        <v>22</v>
      </c>
      <c r="E45">
        <v>1</v>
      </c>
      <c r="F45" s="45">
        <f>GREET!B1936</f>
        <v>1.8111021980989699</v>
      </c>
      <c r="G45" s="46">
        <f>F45*S16</f>
        <v>25.07652103487834</v>
      </c>
      <c r="H45" s="6"/>
      <c r="I45" s="6">
        <f>GREET!B1937</f>
        <v>5.1340100846521439</v>
      </c>
      <c r="J45" s="6"/>
      <c r="K45" s="6">
        <f>GREET!B1938</f>
        <v>0.23323216265853267</v>
      </c>
      <c r="L45" s="6">
        <f t="shared" ref="L45" si="5">SUM(H45:K45)</f>
        <v>5.3672422473106769</v>
      </c>
      <c r="M45" s="6">
        <f>GREET!B1944</f>
        <v>1.8993254376337743E-2</v>
      </c>
      <c r="N45">
        <v>29.7</v>
      </c>
      <c r="O45" s="31">
        <f t="shared" ref="O45" si="6">N45/G45</f>
        <v>1.1843748165341983</v>
      </c>
      <c r="P45" s="31">
        <f t="shared" si="4"/>
        <v>0.97556927258647574</v>
      </c>
    </row>
    <row r="46" spans="2:17" x14ac:dyDescent="0.35">
      <c r="B46" t="s">
        <v>504</v>
      </c>
      <c r="C46" t="s">
        <v>276</v>
      </c>
      <c r="D46" t="s">
        <v>486</v>
      </c>
      <c r="E46">
        <v>1</v>
      </c>
      <c r="F46" s="45">
        <f>'Pereira et al. 2019'!B111</f>
        <v>15.575994374364498</v>
      </c>
      <c r="G46" s="46">
        <f>F46*S17</f>
        <v>57.631179185148646</v>
      </c>
      <c r="H46" s="6">
        <f>'Pereira et al. 2019'!B107</f>
        <v>0</v>
      </c>
      <c r="I46" s="6"/>
      <c r="J46" s="6"/>
      <c r="K46" s="6"/>
      <c r="L46" s="6">
        <f t="shared" si="3"/>
        <v>0</v>
      </c>
      <c r="M46" s="6">
        <f>'Pereira et al. 2019'!B117</f>
        <v>5.8566239626877756</v>
      </c>
      <c r="N46">
        <v>29.7</v>
      </c>
      <c r="O46" s="31">
        <f t="shared" si="2"/>
        <v>0.51534604045814125</v>
      </c>
      <c r="P46" s="31">
        <f t="shared" si="4"/>
        <v>0.51534604045814125</v>
      </c>
    </row>
    <row r="47" spans="2:17" x14ac:dyDescent="0.35">
      <c r="B47" t="s">
        <v>509</v>
      </c>
      <c r="C47" t="s">
        <v>276</v>
      </c>
      <c r="D47" t="s">
        <v>486</v>
      </c>
      <c r="E47">
        <v>1</v>
      </c>
      <c r="F47" s="45">
        <f>'Pereira et al. 2019'!B170</f>
        <v>3.8248041349292712</v>
      </c>
      <c r="G47" s="46">
        <f>F47*S18</f>
        <v>59.68224372143635</v>
      </c>
      <c r="H47" s="6"/>
      <c r="I47" s="6"/>
      <c r="J47" s="6"/>
      <c r="K47" s="6"/>
      <c r="L47" s="6">
        <f t="shared" si="3"/>
        <v>0</v>
      </c>
      <c r="M47" s="6">
        <f>'Pereira et al. 2019'!B176</f>
        <v>3.5634637535908595</v>
      </c>
      <c r="N47">
        <v>29.7</v>
      </c>
      <c r="O47" s="31">
        <f t="shared" si="2"/>
        <v>0.49763544645913693</v>
      </c>
      <c r="P47" s="31">
        <f t="shared" si="4"/>
        <v>0.49763544645913693</v>
      </c>
    </row>
    <row r="48" spans="2:17" x14ac:dyDescent="0.35">
      <c r="B48" t="s">
        <v>651</v>
      </c>
      <c r="C48" t="s">
        <v>596</v>
      </c>
      <c r="D48" t="s">
        <v>662</v>
      </c>
      <c r="E48">
        <v>1</v>
      </c>
      <c r="F48" s="45">
        <f>'Gonzalez-Garcia et al. 2012'!B76</f>
        <v>5.74</v>
      </c>
      <c r="G48" s="46">
        <f>F48*S19</f>
        <v>64.91940000000001</v>
      </c>
      <c r="H48" s="6"/>
      <c r="I48" s="6"/>
      <c r="J48" s="6"/>
      <c r="K48" s="6"/>
      <c r="L48" s="6">
        <f>SUM(H48:J48)+(K48*3.6)</f>
        <v>0</v>
      </c>
      <c r="M48" s="6">
        <f>'Gonzalez-Garcia et al. 2012'!B88</f>
        <v>4.2</v>
      </c>
      <c r="N48">
        <v>29.7</v>
      </c>
      <c r="O48" s="31">
        <f>N48/G48</f>
        <v>0.45749036497564666</v>
      </c>
      <c r="P48" s="31">
        <f t="shared" si="4"/>
        <v>0.45749036497564666</v>
      </c>
      <c r="Q48" s="46"/>
    </row>
    <row r="49" spans="2:17" x14ac:dyDescent="0.35">
      <c r="B49" t="s">
        <v>940</v>
      </c>
      <c r="C49" t="s">
        <v>600</v>
      </c>
      <c r="D49" t="s">
        <v>935</v>
      </c>
      <c r="E49">
        <v>1</v>
      </c>
      <c r="F49" s="45">
        <f>'Cozzolini 2018'!B43</f>
        <v>2.2311604570861712</v>
      </c>
      <c r="G49" s="46">
        <f>F49*S20</f>
        <v>29.238800000000005</v>
      </c>
      <c r="H49" s="6"/>
      <c r="I49" s="6"/>
      <c r="J49" s="6"/>
      <c r="K49" s="6">
        <f>SUM('Cozzolini 2018'!B54:B55)</f>
        <v>0.24616121600000002</v>
      </c>
      <c r="L49" s="6">
        <f>SUM(H49:J49)+(K49*3.6)</f>
        <v>0.88618037760000012</v>
      </c>
      <c r="M49" s="6">
        <f>'Cozzolini 2018'!B56</f>
        <v>1.7807807440264034</v>
      </c>
      <c r="N49">
        <v>26.8</v>
      </c>
      <c r="O49" s="31">
        <f>N49/G49</f>
        <v>0.91659028414298793</v>
      </c>
      <c r="P49" s="31">
        <f t="shared" si="4"/>
        <v>0.88962713548944405</v>
      </c>
      <c r="Q49" s="46"/>
    </row>
    <row r="50" spans="2:17" x14ac:dyDescent="0.35">
      <c r="B50" t="s">
        <v>952</v>
      </c>
      <c r="C50" t="s">
        <v>600</v>
      </c>
      <c r="D50" t="s">
        <v>935</v>
      </c>
      <c r="E50">
        <v>1</v>
      </c>
      <c r="F50" s="45">
        <f>'Cozzolini 2018'!B109</f>
        <v>3.3487885658914727</v>
      </c>
      <c r="G50" s="46">
        <f>F50*S21</f>
        <v>51.839247</v>
      </c>
      <c r="H50" s="6"/>
      <c r="I50" s="6"/>
      <c r="J50" s="6"/>
      <c r="K50" s="6">
        <f>SUM('Cozzolini 2018'!B123:B124)</f>
        <v>3.1589696E-2</v>
      </c>
      <c r="L50" s="6">
        <f>SUM(H50:J50)+(K50*3.6)</f>
        <v>0.11372290560000001</v>
      </c>
      <c r="M50" s="6">
        <f>'Cozzolini 2018'!B125</f>
        <v>3.881145589046513</v>
      </c>
      <c r="N50">
        <v>26.8</v>
      </c>
      <c r="O50" s="31">
        <f>N50/G50</f>
        <v>0.5169828180567515</v>
      </c>
      <c r="P50" s="31">
        <f t="shared" si="4"/>
        <v>0.51585116401807929</v>
      </c>
      <c r="Q50" s="46"/>
    </row>
    <row r="51" spans="2:17" x14ac:dyDescent="0.35">
      <c r="B51" t="s">
        <v>944</v>
      </c>
      <c r="C51" t="s">
        <v>600</v>
      </c>
      <c r="D51" t="s">
        <v>935</v>
      </c>
      <c r="E51">
        <v>1</v>
      </c>
      <c r="F51" s="45">
        <f>'Cozzolini 2018'!B193</f>
        <v>2.0213589710276736</v>
      </c>
      <c r="G51" s="46">
        <f>F51*S22</f>
        <v>31.116800000000005</v>
      </c>
      <c r="H51" s="6"/>
      <c r="I51" s="6">
        <f>'Cozzolini 2018'!B195</f>
        <v>6.2462400000000002</v>
      </c>
      <c r="J51" s="6"/>
      <c r="K51" s="6">
        <f>SUM('Cozzolini 2018'!B207:B209)</f>
        <v>0.22721796240000006</v>
      </c>
      <c r="L51" s="6">
        <f>SUM(H51:J51)+(K51*3.6)</f>
        <v>7.0642246646400002</v>
      </c>
      <c r="M51" s="6">
        <f>'Cozzolini 2018'!B210</f>
        <v>1.3122732656983251</v>
      </c>
      <c r="N51">
        <v>26.8</v>
      </c>
      <c r="O51" s="31">
        <f>N51/G51</f>
        <v>0.861271081859317</v>
      </c>
      <c r="P51" s="31">
        <f t="shared" si="4"/>
        <v>0.70191934960875646</v>
      </c>
      <c r="Q51" s="46"/>
    </row>
    <row r="52" spans="2:17" x14ac:dyDescent="0.35">
      <c r="B52" t="s">
        <v>957</v>
      </c>
      <c r="C52" t="s">
        <v>600</v>
      </c>
      <c r="D52" t="s">
        <v>935</v>
      </c>
      <c r="E52">
        <v>1</v>
      </c>
      <c r="F52" s="45">
        <f>'Cozzolini 2018'!B276</f>
        <v>8.6286134969325143</v>
      </c>
      <c r="G52" s="46">
        <f>F52*S23</f>
        <v>35.1616</v>
      </c>
      <c r="H52" s="6"/>
      <c r="I52" s="6">
        <f>'Cozzolini 2018'!B277</f>
        <v>1.9939199999999999</v>
      </c>
      <c r="J52" s="6"/>
      <c r="K52" s="6">
        <f>'Cozzolini 2018'!B284+'Cozzolini 2018'!B285</f>
        <v>0.24318105600000003</v>
      </c>
      <c r="L52" s="6">
        <f>SUM(H52:J52)+(K52*3.6)</f>
        <v>2.8693718015999998</v>
      </c>
      <c r="M52" s="6">
        <f>'Cozzolini 2018'!B286</f>
        <v>2.0985209914110428</v>
      </c>
      <c r="N52">
        <v>26.8</v>
      </c>
      <c r="O52" s="31">
        <f t="shared" ref="O52:O55" si="7">N52/G52</f>
        <v>0.76219512195121952</v>
      </c>
      <c r="P52" s="31">
        <f t="shared" si="4"/>
        <v>0.70468880311053472</v>
      </c>
      <c r="Q52" s="46"/>
    </row>
    <row r="53" spans="2:17" x14ac:dyDescent="0.35">
      <c r="B53" t="s">
        <v>501</v>
      </c>
      <c r="C53" t="s">
        <v>600</v>
      </c>
      <c r="D53" t="s">
        <v>935</v>
      </c>
      <c r="E53">
        <v>1</v>
      </c>
      <c r="F53" s="45">
        <f>'Cozzolini 2018'!B337</f>
        <v>3.0842105263157897</v>
      </c>
      <c r="G53" s="46">
        <f>F53*S24</f>
        <v>58.600000000000009</v>
      </c>
      <c r="H53" s="6"/>
      <c r="I53" s="6"/>
      <c r="J53" s="6"/>
      <c r="K53" s="6">
        <f>'Cozzolini 2018'!B346</f>
        <v>3.1589696E-2</v>
      </c>
      <c r="L53" s="6">
        <f>SUM(H53:J53)+(K53*3.6)</f>
        <v>0.11372290560000001</v>
      </c>
      <c r="M53" s="6">
        <f>'Cozzolini 2018'!B347</f>
        <v>4.4804320000000013</v>
      </c>
      <c r="N53">
        <v>26.8</v>
      </c>
      <c r="O53" s="31">
        <f t="shared" si="7"/>
        <v>0.45733788395904429</v>
      </c>
      <c r="P53" s="31">
        <f t="shared" si="4"/>
        <v>0.45645206390828036</v>
      </c>
      <c r="Q53" s="46"/>
    </row>
    <row r="54" spans="2:17" ht="15.5" x14ac:dyDescent="0.35">
      <c r="B54" s="2" t="s">
        <v>970</v>
      </c>
      <c r="C54" t="s">
        <v>600</v>
      </c>
      <c r="D54" t="s">
        <v>935</v>
      </c>
      <c r="E54">
        <v>1</v>
      </c>
      <c r="F54" s="45">
        <f>'Cozzolini 2018'!B400</f>
        <v>1.0256410256410258</v>
      </c>
      <c r="G54" s="46">
        <f>F54*S25</f>
        <v>40.61538461538462</v>
      </c>
      <c r="H54" s="6"/>
      <c r="I54" s="6"/>
      <c r="J54" s="6"/>
      <c r="K54" s="6">
        <f>SUM('Cozzolini 2018'!B411:B413)</f>
        <v>8.5938696000000009E-2</v>
      </c>
      <c r="L54" s="6">
        <f>SUM(H54:J54)+(K54*3.6)</f>
        <v>0.30937930560000004</v>
      </c>
      <c r="M54" s="6">
        <f>'Cozzolini 2018'!B414*-1</f>
        <v>-0.89444444444444415</v>
      </c>
      <c r="N54">
        <v>37.200000000000003</v>
      </c>
      <c r="O54" s="31">
        <f t="shared" si="7"/>
        <v>0.91590909090909089</v>
      </c>
      <c r="P54" s="31">
        <f t="shared" si="4"/>
        <v>0.90898508472336714</v>
      </c>
      <c r="Q54" s="46"/>
    </row>
    <row r="55" spans="2:17" ht="15.5" x14ac:dyDescent="0.35">
      <c r="B55" s="2" t="s">
        <v>976</v>
      </c>
      <c r="C55" t="s">
        <v>600</v>
      </c>
      <c r="D55" t="s">
        <v>935</v>
      </c>
      <c r="E55">
        <v>1</v>
      </c>
      <c r="F55" s="45">
        <f>'Cozzolini 2018'!B513*'Cozzolini 2018'!B497*'Cozzolini 2018'!B478</f>
        <v>2.6969842112944966</v>
      </c>
      <c r="G55" s="46">
        <f>F55*S26</f>
        <v>68.017349065064494</v>
      </c>
      <c r="H55" s="6"/>
      <c r="I55" s="6">
        <f>'Cozzolini 2018'!B514</f>
        <v>1.2276000000000002</v>
      </c>
      <c r="J55" s="6"/>
      <c r="K55" s="6">
        <f>SUM('Cozzolini 2018'!B524:B526)</f>
        <v>8.5731864000000005E-2</v>
      </c>
      <c r="L55" s="6">
        <f>SUM(H55:J55)+(K55*3.6)</f>
        <v>1.5362347104000003</v>
      </c>
      <c r="M55" s="6">
        <f>'Cozzolini 2018'!B527</f>
        <v>2.2765759229602005</v>
      </c>
      <c r="N55">
        <v>37.200000000000003</v>
      </c>
      <c r="O55" s="31">
        <f t="shared" si="7"/>
        <v>0.54691928620174501</v>
      </c>
      <c r="P55" s="31">
        <f t="shared" si="4"/>
        <v>0.53483944292634078</v>
      </c>
      <c r="Q55" s="46"/>
    </row>
    <row r="56" spans="2:17" ht="15.5" x14ac:dyDescent="0.35">
      <c r="B56" s="2" t="s">
        <v>979</v>
      </c>
      <c r="C56" t="s">
        <v>600</v>
      </c>
      <c r="D56" t="s">
        <v>935</v>
      </c>
      <c r="E56">
        <v>1</v>
      </c>
      <c r="F56" s="45">
        <f>'Cozzolini 2018'!B623*'Cozzolini 2018'!B604*'Cozzolini 2018'!B583</f>
        <v>3.201548559774154</v>
      </c>
      <c r="G56" s="46">
        <f>F56*S27</f>
        <v>70.690192199813325</v>
      </c>
      <c r="H56" s="6"/>
      <c r="I56" s="6">
        <f>'Cozzolini 2018'!B624</f>
        <v>1.2290000000000001</v>
      </c>
      <c r="J56" s="6"/>
      <c r="K56" s="6">
        <f>SUM('Cozzolini 2018'!B633:B635)</f>
        <v>8.5731864000000005E-2</v>
      </c>
      <c r="L56" s="6">
        <f>SUM(H56:J56)+(K56*3.6)</f>
        <v>1.5376347104000001</v>
      </c>
      <c r="M56" s="6">
        <f>'Cozzolini 2018'!B636</f>
        <v>3.3798088215825497</v>
      </c>
      <c r="N56">
        <v>37.200000000000003</v>
      </c>
      <c r="O56" s="31">
        <f t="shared" ref="O56" si="8">N56/G56</f>
        <v>0.52623990460869396</v>
      </c>
      <c r="P56" s="31">
        <f t="shared" ref="P56" si="9">N56/SUM(G56,L56)</f>
        <v>0.51503695447245645</v>
      </c>
      <c r="Q56" s="46"/>
    </row>
    <row r="57" spans="2:17" ht="15.5" x14ac:dyDescent="0.35">
      <c r="B57" s="2" t="s">
        <v>982</v>
      </c>
      <c r="C57" t="s">
        <v>600</v>
      </c>
      <c r="D57" t="s">
        <v>935</v>
      </c>
      <c r="E57">
        <v>1</v>
      </c>
      <c r="F57" s="45">
        <f>'Cozzolini 2018'!B702</f>
        <v>2.2084524000000001</v>
      </c>
      <c r="G57" s="46">
        <f>F57*S28</f>
        <v>30.03495264</v>
      </c>
      <c r="H57" s="6"/>
      <c r="I57" s="6">
        <f>SUM('Cozzolini 2018'!B704:B707)</f>
        <v>5.5887419999999999</v>
      </c>
      <c r="J57" s="6"/>
      <c r="K57" s="6">
        <f>SUM('Cozzolini 2018'!B714:B717)</f>
        <v>0.24906702</v>
      </c>
      <c r="L57" s="6">
        <f>SUM(H57:J57)+(K57*3.6)</f>
        <v>6.485383272</v>
      </c>
      <c r="M57" s="6">
        <f>'Cozzolini 2018'!B718</f>
        <v>1.441759164</v>
      </c>
      <c r="N57">
        <v>37.200000000000003</v>
      </c>
      <c r="O57" s="31">
        <f t="shared" ref="O57" si="10">N57/G57</f>
        <v>1.2385569721344498</v>
      </c>
      <c r="P57" s="31">
        <f t="shared" ref="P57" si="11">N57/SUM(G57,L57)</f>
        <v>1.0186105650735999</v>
      </c>
      <c r="Q57" s="46"/>
    </row>
    <row r="59" spans="2:17" x14ac:dyDescent="0.35">
      <c r="B59" s="10" t="s">
        <v>517</v>
      </c>
    </row>
    <row r="60" spans="2:17" x14ac:dyDescent="0.35">
      <c r="B60" t="s">
        <v>1</v>
      </c>
      <c r="C60" t="s">
        <v>475</v>
      </c>
      <c r="D60" t="s">
        <v>476</v>
      </c>
      <c r="E60" t="s">
        <v>477</v>
      </c>
      <c r="F60" t="s">
        <v>510</v>
      </c>
      <c r="G60" t="s">
        <v>510</v>
      </c>
      <c r="H60" t="s">
        <v>478</v>
      </c>
      <c r="I60" t="s">
        <v>488</v>
      </c>
      <c r="J60" t="s">
        <v>514</v>
      </c>
      <c r="K60" t="s">
        <v>258</v>
      </c>
      <c r="L60" t="s">
        <v>489</v>
      </c>
      <c r="M60" t="s">
        <v>441</v>
      </c>
      <c r="N60" t="s">
        <v>511</v>
      </c>
      <c r="O60" t="s">
        <v>515</v>
      </c>
      <c r="P60" t="s">
        <v>516</v>
      </c>
    </row>
    <row r="61" spans="2:17" x14ac:dyDescent="0.35">
      <c r="B61" t="s">
        <v>8</v>
      </c>
      <c r="E61" t="s">
        <v>20</v>
      </c>
      <c r="F61" t="s">
        <v>115</v>
      </c>
      <c r="G61" t="s">
        <v>479</v>
      </c>
      <c r="H61" t="s">
        <v>479</v>
      </c>
      <c r="I61" t="s">
        <v>479</v>
      </c>
      <c r="J61" t="s">
        <v>479</v>
      </c>
      <c r="K61" t="s">
        <v>259</v>
      </c>
      <c r="L61" t="s">
        <v>479</v>
      </c>
      <c r="M61" t="s">
        <v>9</v>
      </c>
      <c r="N61" t="s">
        <v>479</v>
      </c>
      <c r="O61" t="s">
        <v>493</v>
      </c>
      <c r="P61" t="s">
        <v>493</v>
      </c>
    </row>
    <row r="62" spans="2:17" x14ac:dyDescent="0.35">
      <c r="B62" t="s">
        <v>498</v>
      </c>
      <c r="C62" t="s">
        <v>3</v>
      </c>
      <c r="D62" t="s">
        <v>22</v>
      </c>
      <c r="E62">
        <v>1</v>
      </c>
      <c r="F62" s="6">
        <f>F34/N34</f>
        <v>0.1208155760449651</v>
      </c>
      <c r="G62" s="6">
        <f>G34/N34</f>
        <v>1.7436103934809362</v>
      </c>
      <c r="H62" s="5">
        <f>H34/N34</f>
        <v>1.9502479506675282E-3</v>
      </c>
      <c r="I62" s="5">
        <f>I34/N34</f>
        <v>0</v>
      </c>
      <c r="J62" s="5">
        <f>J34/N34</f>
        <v>0</v>
      </c>
      <c r="K62" s="5">
        <f>K34/N34</f>
        <v>0</v>
      </c>
      <c r="L62" s="5">
        <f>L34/N34</f>
        <v>1.9502479506675282E-3</v>
      </c>
      <c r="M62" s="5">
        <f>M34/N34</f>
        <v>0.11102407101739474</v>
      </c>
      <c r="N62" s="45">
        <f>N34/N34</f>
        <v>1</v>
      </c>
      <c r="O62" s="31">
        <f t="shared" ref="O62:O75" si="12">N62/G62</f>
        <v>0.57352261935282711</v>
      </c>
      <c r="P62" s="31">
        <f t="shared" ref="P62:P80" si="13">N62/SUM(G62,L62)</f>
        <v>0.57288184452867841</v>
      </c>
    </row>
    <row r="63" spans="2:17" x14ac:dyDescent="0.35">
      <c r="B63" t="s">
        <v>499</v>
      </c>
      <c r="C63" t="s">
        <v>3</v>
      </c>
      <c r="D63" t="s">
        <v>22</v>
      </c>
      <c r="E63">
        <v>1</v>
      </c>
      <c r="F63" s="6">
        <f t="shared" ref="F63:F80" si="14">F35/N35</f>
        <v>0.1208155760449651</v>
      </c>
      <c r="G63" s="6">
        <f t="shared" ref="G63:G80" si="15">G35/N35</f>
        <v>1.9137187245522471</v>
      </c>
      <c r="H63" s="5">
        <f t="shared" ref="H63:H80" si="16">H35/N35</f>
        <v>3.6512975520830945E-3</v>
      </c>
      <c r="I63" s="5">
        <f t="shared" ref="I63:I80" si="17">I35/N35</f>
        <v>0</v>
      </c>
      <c r="J63" s="5">
        <f t="shared" ref="J63:J80" si="18">J35/N35</f>
        <v>0</v>
      </c>
      <c r="K63" s="5">
        <f t="shared" ref="K63:K80" si="19">K35/N35</f>
        <v>0</v>
      </c>
      <c r="L63" s="5">
        <f t="shared" ref="L63:L80" si="20">L35/N35</f>
        <v>3.6512975520830945E-3</v>
      </c>
      <c r="M63" s="5">
        <f t="shared" ref="M63:M85" si="21">M35/N35</f>
        <v>0.12420303677096632</v>
      </c>
      <c r="N63" s="45">
        <f t="shared" ref="N63:N85" si="22">N35/N35</f>
        <v>1</v>
      </c>
      <c r="O63" s="31">
        <f t="shared" si="12"/>
        <v>0.52254283096590903</v>
      </c>
      <c r="P63" s="31">
        <f t="shared" si="13"/>
        <v>0.52154773907567997</v>
      </c>
    </row>
    <row r="64" spans="2:17" x14ac:dyDescent="0.35">
      <c r="B64" t="s">
        <v>500</v>
      </c>
      <c r="C64" t="s">
        <v>3</v>
      </c>
      <c r="D64" t="s">
        <v>22</v>
      </c>
      <c r="E64">
        <v>1</v>
      </c>
      <c r="F64" s="6">
        <f t="shared" si="14"/>
        <v>0.1208155760449651</v>
      </c>
      <c r="G64" s="6">
        <f t="shared" si="15"/>
        <v>1.8499281004005057</v>
      </c>
      <c r="H64" s="5">
        <f t="shared" si="16"/>
        <v>3.6512975520830945E-3</v>
      </c>
      <c r="I64" s="5">
        <f t="shared" si="17"/>
        <v>0</v>
      </c>
      <c r="J64" s="5">
        <f t="shared" si="18"/>
        <v>0</v>
      </c>
      <c r="K64" s="5">
        <f t="shared" si="19"/>
        <v>0</v>
      </c>
      <c r="L64" s="5">
        <f t="shared" si="20"/>
        <v>3.6512975520830945E-3</v>
      </c>
      <c r="M64" s="5">
        <f t="shared" si="21"/>
        <v>0.14805402351265684</v>
      </c>
      <c r="N64" s="45">
        <f t="shared" si="22"/>
        <v>1</v>
      </c>
      <c r="O64" s="31">
        <f t="shared" si="12"/>
        <v>0.54056154927507827</v>
      </c>
      <c r="P64" s="31">
        <f t="shared" si="13"/>
        <v>0.53949671705704738</v>
      </c>
    </row>
    <row r="65" spans="2:16" x14ac:dyDescent="0.35">
      <c r="B65" t="s">
        <v>501</v>
      </c>
      <c r="C65" t="s">
        <v>3</v>
      </c>
      <c r="D65" t="s">
        <v>22</v>
      </c>
      <c r="E65">
        <v>1</v>
      </c>
      <c r="F65" s="6">
        <f t="shared" si="14"/>
        <v>0.1208155760449651</v>
      </c>
      <c r="G65" s="6">
        <f t="shared" si="15"/>
        <v>2.2834143872498402</v>
      </c>
      <c r="H65" s="5">
        <f t="shared" si="16"/>
        <v>3.6512975520830945E-3</v>
      </c>
      <c r="I65" s="5">
        <f t="shared" si="17"/>
        <v>0</v>
      </c>
      <c r="J65" s="5">
        <f t="shared" si="18"/>
        <v>0</v>
      </c>
      <c r="K65" s="5">
        <f t="shared" si="19"/>
        <v>0</v>
      </c>
      <c r="L65" s="5">
        <f t="shared" si="20"/>
        <v>3.6512975520830945E-3</v>
      </c>
      <c r="M65" s="5">
        <f t="shared" si="21"/>
        <v>0.15423174819694241</v>
      </c>
      <c r="N65" s="45">
        <f t="shared" si="22"/>
        <v>1</v>
      </c>
      <c r="O65" s="31">
        <f t="shared" si="12"/>
        <v>0.43794065833333334</v>
      </c>
      <c r="P65" s="31">
        <f t="shared" si="13"/>
        <v>0.43724148661108847</v>
      </c>
    </row>
    <row r="66" spans="2:16" x14ac:dyDescent="0.35">
      <c r="B66" t="s">
        <v>502</v>
      </c>
      <c r="C66" t="s">
        <v>3</v>
      </c>
      <c r="D66" t="s">
        <v>22</v>
      </c>
      <c r="E66">
        <v>1</v>
      </c>
      <c r="F66" s="6">
        <f t="shared" si="14"/>
        <v>0.1208155760449651</v>
      </c>
      <c r="G66" s="6">
        <f t="shared" si="15"/>
        <v>2.0901094655778962</v>
      </c>
      <c r="H66" s="5">
        <f t="shared" si="16"/>
        <v>1.9502479506675282E-3</v>
      </c>
      <c r="I66" s="5">
        <f t="shared" si="17"/>
        <v>0</v>
      </c>
      <c r="J66" s="5">
        <f t="shared" si="18"/>
        <v>0</v>
      </c>
      <c r="K66" s="5">
        <f t="shared" si="19"/>
        <v>0</v>
      </c>
      <c r="L66" s="5">
        <f t="shared" si="20"/>
        <v>1.9502479506675282E-3</v>
      </c>
      <c r="M66" s="5">
        <f t="shared" si="21"/>
        <v>0.14807164415303292</v>
      </c>
      <c r="N66" s="45">
        <f t="shared" si="22"/>
        <v>1</v>
      </c>
      <c r="O66" s="31">
        <f t="shared" si="12"/>
        <v>0.4784438406069364</v>
      </c>
      <c r="P66" s="31">
        <f t="shared" si="13"/>
        <v>0.47799782842400529</v>
      </c>
    </row>
    <row r="67" spans="2:16" x14ac:dyDescent="0.35">
      <c r="B67" t="s">
        <v>503</v>
      </c>
      <c r="C67" t="s">
        <v>3</v>
      </c>
      <c r="D67" t="s">
        <v>22</v>
      </c>
      <c r="E67">
        <v>1</v>
      </c>
      <c r="F67" s="6">
        <f t="shared" si="14"/>
        <v>0.1208155760449651</v>
      </c>
      <c r="G67" s="6">
        <f t="shared" si="15"/>
        <v>1.7648739348648503</v>
      </c>
      <c r="H67" s="5">
        <f t="shared" si="16"/>
        <v>1.9502479506675282E-3</v>
      </c>
      <c r="I67" s="5">
        <f t="shared" si="17"/>
        <v>0</v>
      </c>
      <c r="J67" s="5">
        <f t="shared" si="18"/>
        <v>0</v>
      </c>
      <c r="K67" s="5">
        <f t="shared" si="19"/>
        <v>0</v>
      </c>
      <c r="L67" s="5">
        <f t="shared" si="20"/>
        <v>1.9502479506675282E-3</v>
      </c>
      <c r="M67" s="5">
        <f t="shared" si="21"/>
        <v>0.1429636821378153</v>
      </c>
      <c r="N67" s="45">
        <f t="shared" si="22"/>
        <v>1</v>
      </c>
      <c r="O67" s="31">
        <f t="shared" si="12"/>
        <v>0.56661270827628685</v>
      </c>
      <c r="P67" s="31">
        <f t="shared" si="13"/>
        <v>0.56598727237616409</v>
      </c>
    </row>
    <row r="68" spans="2:16" x14ac:dyDescent="0.35">
      <c r="B68" t="s">
        <v>504</v>
      </c>
      <c r="C68" t="s">
        <v>3</v>
      </c>
      <c r="D68" t="s">
        <v>22</v>
      </c>
      <c r="E68">
        <v>1</v>
      </c>
      <c r="F68" s="6">
        <f t="shared" si="14"/>
        <v>0.46123353649244014</v>
      </c>
      <c r="G68" s="6">
        <f t="shared" si="15"/>
        <v>1.7065640850220287</v>
      </c>
      <c r="H68" s="5">
        <f t="shared" si="16"/>
        <v>3.1241463925860561E-3</v>
      </c>
      <c r="I68" s="5">
        <f t="shared" si="17"/>
        <v>0</v>
      </c>
      <c r="J68" s="5">
        <f t="shared" si="18"/>
        <v>0</v>
      </c>
      <c r="K68" s="5">
        <f t="shared" si="19"/>
        <v>0</v>
      </c>
      <c r="L68" s="5">
        <f t="shared" si="20"/>
        <v>3.1241463925860561E-3</v>
      </c>
      <c r="M68" s="5">
        <f t="shared" si="21"/>
        <v>0.13849831161222922</v>
      </c>
      <c r="N68" s="45">
        <f t="shared" si="22"/>
        <v>1</v>
      </c>
      <c r="O68" s="31">
        <f t="shared" si="12"/>
        <v>0.58597272072972972</v>
      </c>
      <c r="P68" s="31">
        <f t="shared" si="13"/>
        <v>0.58490196143690421</v>
      </c>
    </row>
    <row r="69" spans="2:16" x14ac:dyDescent="0.35">
      <c r="B69" t="s">
        <v>505</v>
      </c>
      <c r="C69" t="s">
        <v>3</v>
      </c>
      <c r="D69" t="s">
        <v>22</v>
      </c>
      <c r="E69">
        <v>1</v>
      </c>
      <c r="F69" s="6">
        <f t="shared" si="14"/>
        <v>6.2064923092886803E-2</v>
      </c>
      <c r="G69" s="6">
        <f t="shared" si="15"/>
        <v>0.92476735408401334</v>
      </c>
      <c r="H69" s="5">
        <f t="shared" si="16"/>
        <v>0</v>
      </c>
      <c r="I69" s="5">
        <f t="shared" si="17"/>
        <v>0.19237830178975565</v>
      </c>
      <c r="J69" s="5">
        <f t="shared" si="18"/>
        <v>0</v>
      </c>
      <c r="K69" s="5">
        <f t="shared" si="19"/>
        <v>5.0327414266725535E-3</v>
      </c>
      <c r="L69" s="5">
        <f t="shared" si="20"/>
        <v>0.19741104321642819</v>
      </c>
      <c r="M69" s="5">
        <f t="shared" si="21"/>
        <v>2.4991109732405443E-2</v>
      </c>
      <c r="N69" s="45">
        <f t="shared" si="22"/>
        <v>1</v>
      </c>
      <c r="O69" s="31">
        <f t="shared" si="12"/>
        <v>1.0813530512120044</v>
      </c>
      <c r="P69" s="31">
        <f t="shared" si="13"/>
        <v>0.89112390900202776</v>
      </c>
    </row>
    <row r="70" spans="2:16" x14ac:dyDescent="0.35">
      <c r="B70" t="s">
        <v>506</v>
      </c>
      <c r="C70" t="s">
        <v>3</v>
      </c>
      <c r="D70" t="s">
        <v>22</v>
      </c>
      <c r="E70">
        <v>1</v>
      </c>
      <c r="F70" s="6">
        <f t="shared" si="14"/>
        <v>0.72807681403377889</v>
      </c>
      <c r="G70" s="6">
        <f t="shared" si="15"/>
        <v>3.2821702776642758</v>
      </c>
      <c r="H70" s="5">
        <f t="shared" si="16"/>
        <v>0</v>
      </c>
      <c r="I70" s="5">
        <f t="shared" si="17"/>
        <v>0</v>
      </c>
      <c r="J70" s="5">
        <f t="shared" si="18"/>
        <v>0</v>
      </c>
      <c r="K70" s="5">
        <f t="shared" si="19"/>
        <v>0</v>
      </c>
      <c r="L70" s="5">
        <f t="shared" si="20"/>
        <v>0</v>
      </c>
      <c r="M70" s="5">
        <f t="shared" si="21"/>
        <v>0.24950227776692108</v>
      </c>
      <c r="N70" s="45">
        <f t="shared" si="22"/>
        <v>1</v>
      </c>
      <c r="O70" s="31">
        <f t="shared" si="12"/>
        <v>0.3046764535055263</v>
      </c>
      <c r="P70" s="31">
        <f t="shared" si="13"/>
        <v>0.3046764535055263</v>
      </c>
    </row>
    <row r="71" spans="2:16" x14ac:dyDescent="0.35">
      <c r="B71" t="s">
        <v>507</v>
      </c>
      <c r="C71" t="s">
        <v>3</v>
      </c>
      <c r="D71" t="s">
        <v>22</v>
      </c>
      <c r="E71">
        <v>1</v>
      </c>
      <c r="F71" s="6">
        <f t="shared" si="14"/>
        <v>0.56721114268298822</v>
      </c>
      <c r="G71" s="6">
        <f t="shared" si="15"/>
        <v>2.542240341505154</v>
      </c>
      <c r="H71" s="5">
        <f t="shared" si="16"/>
        <v>0</v>
      </c>
      <c r="I71" s="5">
        <f t="shared" si="17"/>
        <v>0</v>
      </c>
      <c r="J71" s="5">
        <f t="shared" si="18"/>
        <v>0</v>
      </c>
      <c r="K71" s="5">
        <f t="shared" si="19"/>
        <v>0</v>
      </c>
      <c r="L71" s="5">
        <f t="shared" si="20"/>
        <v>0</v>
      </c>
      <c r="M71" s="5">
        <f t="shared" si="21"/>
        <v>0.17140194868314207</v>
      </c>
      <c r="N71" s="45">
        <f t="shared" si="22"/>
        <v>1</v>
      </c>
      <c r="O71" s="31">
        <f t="shared" si="12"/>
        <v>0.39335383978996336</v>
      </c>
      <c r="P71" s="31">
        <f t="shared" si="13"/>
        <v>0.39335383978996336</v>
      </c>
    </row>
    <row r="72" spans="2:16" x14ac:dyDescent="0.35">
      <c r="B72" t="s">
        <v>508</v>
      </c>
      <c r="C72" t="s">
        <v>3</v>
      </c>
      <c r="D72" t="s">
        <v>22</v>
      </c>
      <c r="E72">
        <v>1</v>
      </c>
      <c r="F72" s="6">
        <f t="shared" si="14"/>
        <v>6.0979871989864307E-2</v>
      </c>
      <c r="G72" s="6">
        <f t="shared" si="15"/>
        <v>0.8443273075716613</v>
      </c>
      <c r="H72" s="5">
        <f t="shared" si="16"/>
        <v>0</v>
      </c>
      <c r="I72" s="5">
        <f t="shared" si="17"/>
        <v>0.17286229241253009</v>
      </c>
      <c r="J72" s="5">
        <f t="shared" si="18"/>
        <v>0</v>
      </c>
      <c r="K72" s="5">
        <f t="shared" si="19"/>
        <v>5.0488397599046135E-3</v>
      </c>
      <c r="L72" s="5">
        <f t="shared" si="20"/>
        <v>0.17791113217243471</v>
      </c>
      <c r="M72" s="5">
        <f t="shared" si="21"/>
        <v>2.5580140574192223E-2</v>
      </c>
      <c r="N72" s="45">
        <f t="shared" si="22"/>
        <v>1</v>
      </c>
      <c r="O72" s="31">
        <f t="shared" si="12"/>
        <v>1.1843748165341983</v>
      </c>
      <c r="P72" s="31">
        <f t="shared" si="13"/>
        <v>0.97824534973497657</v>
      </c>
    </row>
    <row r="73" spans="2:16" x14ac:dyDescent="0.35">
      <c r="B73" t="s">
        <v>590</v>
      </c>
      <c r="C73" t="s">
        <v>3</v>
      </c>
      <c r="D73" t="s">
        <v>22</v>
      </c>
      <c r="E73">
        <v>1</v>
      </c>
      <c r="F73" s="6">
        <f t="shared" si="14"/>
        <v>6.0979871989864307E-2</v>
      </c>
      <c r="G73" s="6">
        <f t="shared" si="15"/>
        <v>0.8443273075716613</v>
      </c>
      <c r="H73" s="5">
        <f t="shared" si="16"/>
        <v>0</v>
      </c>
      <c r="I73" s="5">
        <f t="shared" si="17"/>
        <v>0.17286229241253009</v>
      </c>
      <c r="J73" s="5">
        <f t="shared" si="18"/>
        <v>0</v>
      </c>
      <c r="K73" s="5">
        <f t="shared" si="19"/>
        <v>7.8529347696475651E-3</v>
      </c>
      <c r="L73" s="5">
        <f t="shared" si="20"/>
        <v>0.18071522718217767</v>
      </c>
      <c r="M73" s="5">
        <f t="shared" si="21"/>
        <v>6.3950351435480618E-4</v>
      </c>
      <c r="N73" s="45">
        <f t="shared" si="22"/>
        <v>1</v>
      </c>
      <c r="O73" s="31">
        <f t="shared" ref="O73" si="23">N73/G73</f>
        <v>1.1843748165341983</v>
      </c>
      <c r="P73" s="31">
        <f t="shared" si="13"/>
        <v>0.97556927258647574</v>
      </c>
    </row>
    <row r="74" spans="2:16" x14ac:dyDescent="0.35">
      <c r="B74" t="s">
        <v>504</v>
      </c>
      <c r="C74" t="s">
        <v>276</v>
      </c>
      <c r="D74" t="s">
        <v>486</v>
      </c>
      <c r="E74">
        <v>1</v>
      </c>
      <c r="F74" s="6">
        <f t="shared" si="14"/>
        <v>0.52444425502910774</v>
      </c>
      <c r="G74" s="6">
        <f t="shared" si="15"/>
        <v>1.9404437436076987</v>
      </c>
      <c r="H74" s="5">
        <f t="shared" si="16"/>
        <v>0</v>
      </c>
      <c r="I74" s="5">
        <f t="shared" si="17"/>
        <v>0</v>
      </c>
      <c r="J74" s="5">
        <f t="shared" si="18"/>
        <v>0</v>
      </c>
      <c r="K74" s="5">
        <f t="shared" si="19"/>
        <v>0</v>
      </c>
      <c r="L74" s="5">
        <f t="shared" si="20"/>
        <v>0</v>
      </c>
      <c r="M74" s="5">
        <f t="shared" si="21"/>
        <v>0.19719272601642343</v>
      </c>
      <c r="N74" s="45">
        <f t="shared" si="22"/>
        <v>1</v>
      </c>
      <c r="O74" s="31">
        <f t="shared" si="12"/>
        <v>0.51534604045814114</v>
      </c>
      <c r="P74" s="31">
        <f t="shared" si="13"/>
        <v>0.51534604045814114</v>
      </c>
    </row>
    <row r="75" spans="2:16" x14ac:dyDescent="0.35">
      <c r="B75" t="s">
        <v>509</v>
      </c>
      <c r="C75" t="s">
        <v>276</v>
      </c>
      <c r="D75" t="s">
        <v>486</v>
      </c>
      <c r="E75">
        <v>1</v>
      </c>
      <c r="F75" s="6">
        <f t="shared" si="14"/>
        <v>0.12878128400435257</v>
      </c>
      <c r="G75" s="6">
        <f t="shared" si="15"/>
        <v>2.0095031556039178</v>
      </c>
      <c r="H75" s="5">
        <f t="shared" si="16"/>
        <v>0</v>
      </c>
      <c r="I75" s="5">
        <f t="shared" si="17"/>
        <v>0</v>
      </c>
      <c r="J75" s="5">
        <f t="shared" si="18"/>
        <v>0</v>
      </c>
      <c r="K75" s="5">
        <f t="shared" si="19"/>
        <v>0</v>
      </c>
      <c r="L75" s="5">
        <f t="shared" si="20"/>
        <v>0</v>
      </c>
      <c r="M75" s="5">
        <f t="shared" si="21"/>
        <v>0.1199819445653488</v>
      </c>
      <c r="N75" s="45">
        <f t="shared" si="22"/>
        <v>1</v>
      </c>
      <c r="O75" s="31">
        <f t="shared" si="12"/>
        <v>0.49763544645913688</v>
      </c>
      <c r="P75" s="31">
        <f t="shared" si="13"/>
        <v>0.49763544645913688</v>
      </c>
    </row>
    <row r="76" spans="2:16" x14ac:dyDescent="0.35">
      <c r="B76" t="s">
        <v>651</v>
      </c>
      <c r="C76" t="s">
        <v>596</v>
      </c>
      <c r="D76" t="s">
        <v>662</v>
      </c>
      <c r="E76">
        <v>1</v>
      </c>
      <c r="F76" s="6">
        <f t="shared" si="14"/>
        <v>0.19326599326599328</v>
      </c>
      <c r="G76" s="6">
        <f t="shared" si="15"/>
        <v>2.1858383838383841</v>
      </c>
      <c r="H76" s="5">
        <f t="shared" si="16"/>
        <v>0</v>
      </c>
      <c r="I76" s="5">
        <f t="shared" si="17"/>
        <v>0</v>
      </c>
      <c r="J76" s="5">
        <f t="shared" si="18"/>
        <v>0</v>
      </c>
      <c r="K76" s="5">
        <f t="shared" si="19"/>
        <v>0</v>
      </c>
      <c r="L76" s="5">
        <f t="shared" si="20"/>
        <v>0</v>
      </c>
      <c r="M76" s="5">
        <f t="shared" si="21"/>
        <v>0.14141414141414144</v>
      </c>
      <c r="N76" s="45">
        <f t="shared" si="22"/>
        <v>1</v>
      </c>
      <c r="O76" s="31">
        <f t="shared" ref="O76" si="24">N76/G76</f>
        <v>0.45749036497564666</v>
      </c>
      <c r="P76" s="31">
        <f t="shared" si="13"/>
        <v>0.45749036497564666</v>
      </c>
    </row>
    <row r="77" spans="2:16" x14ac:dyDescent="0.35">
      <c r="B77" t="s">
        <v>940</v>
      </c>
      <c r="C77" t="s">
        <v>600</v>
      </c>
      <c r="D77" t="s">
        <v>935</v>
      </c>
      <c r="E77">
        <v>1</v>
      </c>
      <c r="F77" s="6">
        <f t="shared" si="14"/>
        <v>8.325225586142429E-2</v>
      </c>
      <c r="G77" s="6">
        <f t="shared" si="15"/>
        <v>1.0910000000000002</v>
      </c>
      <c r="H77" s="5">
        <f t="shared" si="16"/>
        <v>0</v>
      </c>
      <c r="I77" s="5">
        <f t="shared" si="17"/>
        <v>0</v>
      </c>
      <c r="J77" s="5">
        <f t="shared" si="18"/>
        <v>0</v>
      </c>
      <c r="K77" s="5">
        <f t="shared" si="19"/>
        <v>9.1851199999999997E-3</v>
      </c>
      <c r="L77" s="5">
        <f t="shared" si="20"/>
        <v>3.3066432000000007E-2</v>
      </c>
      <c r="M77" s="5">
        <f t="shared" si="21"/>
        <v>6.644704268755236E-2</v>
      </c>
      <c r="N77" s="45">
        <f t="shared" si="22"/>
        <v>1</v>
      </c>
      <c r="O77" s="31">
        <f t="shared" ref="O77" si="25">N77/G77</f>
        <v>0.91659028414298793</v>
      </c>
      <c r="P77" s="31">
        <f t="shared" si="13"/>
        <v>0.88962713548944394</v>
      </c>
    </row>
    <row r="78" spans="2:16" x14ac:dyDescent="0.35">
      <c r="B78" t="s">
        <v>952</v>
      </c>
      <c r="C78" t="s">
        <v>600</v>
      </c>
      <c r="D78" t="s">
        <v>935</v>
      </c>
      <c r="E78">
        <v>1</v>
      </c>
      <c r="F78" s="6">
        <f t="shared" si="14"/>
        <v>0.12495479723475644</v>
      </c>
      <c r="G78" s="6">
        <f t="shared" si="15"/>
        <v>1.9343002611940299</v>
      </c>
      <c r="H78" s="5">
        <f t="shared" si="16"/>
        <v>0</v>
      </c>
      <c r="I78" s="5">
        <f t="shared" si="17"/>
        <v>0</v>
      </c>
      <c r="J78" s="5">
        <f t="shared" si="18"/>
        <v>0</v>
      </c>
      <c r="K78" s="5">
        <f t="shared" si="19"/>
        <v>1.1787200000000001E-3</v>
      </c>
      <c r="L78" s="5">
        <f t="shared" si="20"/>
        <v>4.2433920000000003E-3</v>
      </c>
      <c r="M78" s="5">
        <f t="shared" si="21"/>
        <v>0.14481886526292959</v>
      </c>
      <c r="N78" s="45">
        <f t="shared" si="22"/>
        <v>1</v>
      </c>
      <c r="O78" s="31">
        <f t="shared" ref="O78" si="26">N78/G78</f>
        <v>0.5169828180567515</v>
      </c>
      <c r="P78" s="31">
        <f t="shared" si="13"/>
        <v>0.51585116401807918</v>
      </c>
    </row>
    <row r="79" spans="2:16" x14ac:dyDescent="0.35">
      <c r="B79" t="s">
        <v>944</v>
      </c>
      <c r="C79" t="s">
        <v>600</v>
      </c>
      <c r="D79" t="s">
        <v>935</v>
      </c>
      <c r="E79">
        <v>1</v>
      </c>
      <c r="F79" s="6">
        <f t="shared" si="14"/>
        <v>7.5423842202525126E-2</v>
      </c>
      <c r="G79" s="6">
        <f t="shared" si="15"/>
        <v>1.1610746268656718</v>
      </c>
      <c r="H79" s="5">
        <f t="shared" si="16"/>
        <v>0</v>
      </c>
      <c r="I79" s="5">
        <f t="shared" si="17"/>
        <v>0.23306865671641791</v>
      </c>
      <c r="J79" s="5">
        <f t="shared" si="18"/>
        <v>0</v>
      </c>
      <c r="K79" s="5">
        <f t="shared" si="19"/>
        <v>8.4782821791044797E-3</v>
      </c>
      <c r="L79" s="5">
        <f t="shared" si="20"/>
        <v>0.26359047256119406</v>
      </c>
      <c r="M79" s="5">
        <f t="shared" si="21"/>
        <v>4.8965420361877801E-2</v>
      </c>
      <c r="N79" s="45">
        <f t="shared" si="22"/>
        <v>1</v>
      </c>
      <c r="O79" s="31">
        <f t="shared" ref="O79" si="27">N79/G79</f>
        <v>0.86127108185931711</v>
      </c>
      <c r="P79" s="31">
        <f t="shared" si="13"/>
        <v>0.70191934960875635</v>
      </c>
    </row>
    <row r="80" spans="2:16" x14ac:dyDescent="0.35">
      <c r="B80" t="s">
        <v>957</v>
      </c>
      <c r="C80" t="s">
        <v>600</v>
      </c>
      <c r="D80" t="s">
        <v>935</v>
      </c>
      <c r="E80">
        <v>1</v>
      </c>
      <c r="F80" s="6">
        <f t="shared" si="14"/>
        <v>0.32196319018404901</v>
      </c>
      <c r="G80" s="6">
        <f t="shared" si="15"/>
        <v>1.3120000000000001</v>
      </c>
      <c r="H80" s="5">
        <f t="shared" si="16"/>
        <v>0</v>
      </c>
      <c r="I80" s="5">
        <f t="shared" si="17"/>
        <v>7.4399999999999994E-2</v>
      </c>
      <c r="J80" s="5">
        <f t="shared" si="18"/>
        <v>0</v>
      </c>
      <c r="K80" s="5">
        <f t="shared" si="19"/>
        <v>9.0739200000000009E-3</v>
      </c>
      <c r="L80" s="5">
        <f t="shared" si="20"/>
        <v>0.10706611199999999</v>
      </c>
      <c r="M80" s="5">
        <f t="shared" si="21"/>
        <v>7.8303022067576222E-2</v>
      </c>
      <c r="N80" s="45">
        <f t="shared" si="22"/>
        <v>1</v>
      </c>
      <c r="O80" s="31">
        <f t="shared" ref="O80" si="28">N80/G80</f>
        <v>0.76219512195121952</v>
      </c>
      <c r="P80" s="31">
        <f t="shared" si="13"/>
        <v>0.70468880311053461</v>
      </c>
    </row>
    <row r="81" spans="2:17" x14ac:dyDescent="0.35">
      <c r="B81" t="s">
        <v>501</v>
      </c>
      <c r="C81" t="s">
        <v>600</v>
      </c>
      <c r="D81" t="s">
        <v>935</v>
      </c>
      <c r="E81">
        <v>1</v>
      </c>
      <c r="F81" s="6">
        <f t="shared" ref="F81" si="29">F53/N53</f>
        <v>0.11508248232521603</v>
      </c>
      <c r="G81" s="6">
        <f t="shared" ref="G81" si="30">G53/N53</f>
        <v>2.1865671641791047</v>
      </c>
      <c r="H81" s="5">
        <f t="shared" ref="H81" si="31">H53/N53</f>
        <v>0</v>
      </c>
      <c r="I81" s="5">
        <f t="shared" ref="I81" si="32">I53/N53</f>
        <v>0</v>
      </c>
      <c r="J81" s="5">
        <f t="shared" ref="J81" si="33">J53/N53</f>
        <v>0</v>
      </c>
      <c r="K81" s="5">
        <f t="shared" ref="K81" si="34">K53/N53</f>
        <v>1.1787200000000001E-3</v>
      </c>
      <c r="L81" s="5">
        <f t="shared" ref="L81" si="35">L53/N53</f>
        <v>4.2433920000000003E-3</v>
      </c>
      <c r="M81" s="5">
        <f t="shared" si="21"/>
        <v>0.16718029850746274</v>
      </c>
      <c r="N81" s="45">
        <f t="shared" si="22"/>
        <v>1</v>
      </c>
      <c r="O81" s="31">
        <f t="shared" ref="O81" si="36">N81/G81</f>
        <v>0.45733788395904434</v>
      </c>
      <c r="P81" s="31">
        <f t="shared" ref="P81" si="37">N81/SUM(G81,L81)</f>
        <v>0.45645206390828041</v>
      </c>
    </row>
    <row r="82" spans="2:17" ht="15.5" x14ac:dyDescent="0.35">
      <c r="B82" s="2" t="s">
        <v>970</v>
      </c>
      <c r="C82" t="s">
        <v>600</v>
      </c>
      <c r="D82" t="s">
        <v>935</v>
      </c>
      <c r="E82">
        <v>1</v>
      </c>
      <c r="F82" s="6">
        <f t="shared" ref="F82" si="38">F54/N54</f>
        <v>2.7570995312930797E-2</v>
      </c>
      <c r="G82" s="6">
        <f t="shared" ref="G82" si="39">G54/N54</f>
        <v>1.0918114143920596</v>
      </c>
      <c r="H82" s="5">
        <f t="shared" ref="H82" si="40">H54/N54</f>
        <v>0</v>
      </c>
      <c r="I82" s="5">
        <f t="shared" ref="I82" si="41">I54/N54</f>
        <v>0</v>
      </c>
      <c r="J82" s="5">
        <f t="shared" ref="J82" si="42">J54/N54</f>
        <v>0</v>
      </c>
      <c r="K82" s="5">
        <f t="shared" ref="K82" si="43">K54/N54</f>
        <v>2.3101800000000002E-3</v>
      </c>
      <c r="L82" s="5">
        <f t="shared" ref="L82" si="44">L54/N54</f>
        <v>8.3166480000000011E-3</v>
      </c>
      <c r="M82" s="5">
        <f t="shared" si="21"/>
        <v>-2.4044205495818389E-2</v>
      </c>
      <c r="N82" s="45">
        <f t="shared" si="22"/>
        <v>1</v>
      </c>
      <c r="O82" s="31">
        <f t="shared" ref="O82" si="45">N82/G82</f>
        <v>0.91590909090909078</v>
      </c>
      <c r="P82" s="31">
        <f t="shared" ref="P82" si="46">N82/SUM(G82,L82)</f>
        <v>0.90898508472336703</v>
      </c>
    </row>
    <row r="83" spans="2:17" ht="15.5" x14ac:dyDescent="0.35">
      <c r="B83" s="2" t="s">
        <v>976</v>
      </c>
      <c r="C83" t="s">
        <v>600</v>
      </c>
      <c r="D83" t="s">
        <v>935</v>
      </c>
      <c r="E83">
        <v>1</v>
      </c>
      <c r="F83" s="6">
        <f t="shared" ref="F83" si="47">F55/N55</f>
        <v>7.2499575572432695E-2</v>
      </c>
      <c r="G83" s="6">
        <f t="shared" ref="G83" si="48">G55/N55</f>
        <v>1.828423361964099</v>
      </c>
      <c r="H83" s="5">
        <f t="shared" ref="H83" si="49">H55/N55</f>
        <v>0</v>
      </c>
      <c r="I83" s="5">
        <f t="shared" ref="I83" si="50">I55/N55</f>
        <v>3.3000000000000002E-2</v>
      </c>
      <c r="J83" s="5">
        <f t="shared" ref="J83" si="51">J55/N55</f>
        <v>0</v>
      </c>
      <c r="K83" s="5">
        <f t="shared" ref="K83" si="52">K55/N55</f>
        <v>2.3046199999999998E-3</v>
      </c>
      <c r="L83" s="5">
        <f t="shared" ref="L83" si="53">L55/N55</f>
        <v>4.1296632000000007E-2</v>
      </c>
      <c r="M83" s="5">
        <f t="shared" si="21"/>
        <v>6.1198277498930115E-2</v>
      </c>
      <c r="N83" s="45">
        <f t="shared" si="22"/>
        <v>1</v>
      </c>
      <c r="O83" s="31">
        <f t="shared" ref="O83" si="54">N83/G83</f>
        <v>0.54691928620174501</v>
      </c>
      <c r="P83" s="31">
        <f t="shared" ref="P83" si="55">N83/SUM(G83,L83)</f>
        <v>0.53483944292634078</v>
      </c>
    </row>
    <row r="84" spans="2:17" ht="15.5" x14ac:dyDescent="0.35">
      <c r="B84" s="2" t="s">
        <v>979</v>
      </c>
      <c r="C84" t="s">
        <v>600</v>
      </c>
      <c r="D84" t="s">
        <v>935</v>
      </c>
      <c r="E84">
        <v>1</v>
      </c>
      <c r="F84" s="6">
        <f t="shared" ref="F84" si="56">F56/N56</f>
        <v>8.6063133327262203E-2</v>
      </c>
      <c r="G84" s="6">
        <f t="shared" ref="G84" si="57">G56/N56</f>
        <v>1.9002739838659495</v>
      </c>
      <c r="H84" s="5">
        <f t="shared" ref="H84" si="58">H56/N56</f>
        <v>0</v>
      </c>
      <c r="I84" s="5">
        <f t="shared" ref="I84" si="59">I56/N56</f>
        <v>3.3037634408602148E-2</v>
      </c>
      <c r="J84" s="5">
        <f t="shared" ref="J84" si="60">J56/N56</f>
        <v>0</v>
      </c>
      <c r="K84" s="5">
        <f t="shared" ref="K84" si="61">K56/N56</f>
        <v>2.3046199999999998E-3</v>
      </c>
      <c r="L84" s="5">
        <f t="shared" ref="L84" si="62">L56/N56</f>
        <v>4.1334266408602154E-2</v>
      </c>
      <c r="M84" s="5">
        <f t="shared" si="21"/>
        <v>9.0855075848993258E-2</v>
      </c>
      <c r="N84" s="45">
        <f t="shared" si="22"/>
        <v>1</v>
      </c>
      <c r="O84" s="31">
        <f t="shared" ref="O84" si="63">N84/G84</f>
        <v>0.52623990460869385</v>
      </c>
      <c r="P84" s="31">
        <f t="shared" ref="P84" si="64">N84/SUM(G84,L84)</f>
        <v>0.51503695447245645</v>
      </c>
    </row>
    <row r="85" spans="2:17" ht="15.5" x14ac:dyDescent="0.35">
      <c r="B85" s="2" t="s">
        <v>982</v>
      </c>
      <c r="C85" t="s">
        <v>600</v>
      </c>
      <c r="D85" t="s">
        <v>935</v>
      </c>
      <c r="E85">
        <v>1</v>
      </c>
      <c r="F85" s="6">
        <f t="shared" ref="F85" si="65">F57/N57</f>
        <v>5.9366999999999996E-2</v>
      </c>
      <c r="G85" s="6">
        <f t="shared" ref="G85" si="66">G57/N57</f>
        <v>0.80739119999999998</v>
      </c>
      <c r="H85" s="5">
        <f t="shared" ref="H85" si="67">H57/N57</f>
        <v>0</v>
      </c>
      <c r="I85" s="5">
        <f t="shared" ref="I85" si="68">I57/N57</f>
        <v>0.15023499999999998</v>
      </c>
      <c r="J85" s="5">
        <f t="shared" ref="J85" si="69">J57/N57</f>
        <v>0</v>
      </c>
      <c r="K85" s="5">
        <f t="shared" ref="K85" si="70">K57/N57</f>
        <v>6.6953499999999992E-3</v>
      </c>
      <c r="L85" s="5">
        <f t="shared" ref="L85" si="71">L57/N57</f>
        <v>0.17433825999999999</v>
      </c>
      <c r="M85" s="5">
        <f t="shared" si="21"/>
        <v>3.8756966774193546E-2</v>
      </c>
      <c r="N85" s="45">
        <f t="shared" si="22"/>
        <v>1</v>
      </c>
      <c r="O85" s="31">
        <f t="shared" ref="O85" si="72">N85/G85</f>
        <v>1.2385569721344498</v>
      </c>
      <c r="P85" s="31">
        <f t="shared" ref="P85" si="73">N85/SUM(G85,L85)</f>
        <v>1.0186105650735999</v>
      </c>
    </row>
    <row r="87" spans="2:17" ht="21" x14ac:dyDescent="0.5">
      <c r="B87" s="66" t="s">
        <v>283</v>
      </c>
      <c r="C87" s="67"/>
      <c r="D87" s="67"/>
      <c r="E87" s="67"/>
      <c r="F87" s="67"/>
      <c r="G87" s="67"/>
      <c r="H87" s="67"/>
      <c r="I87" s="67"/>
      <c r="J87" s="67"/>
      <c r="K87" s="67"/>
      <c r="L87" s="67"/>
      <c r="M87" s="67"/>
      <c r="N87" s="67"/>
      <c r="O87" s="67"/>
      <c r="P87" s="67"/>
      <c r="Q87" s="67"/>
    </row>
    <row r="88" spans="2:17" x14ac:dyDescent="0.35">
      <c r="B88" s="10" t="s">
        <v>497</v>
      </c>
    </row>
    <row r="89" spans="2:17" x14ac:dyDescent="0.35">
      <c r="B89" t="s">
        <v>1</v>
      </c>
      <c r="C89" t="s">
        <v>475</v>
      </c>
      <c r="D89" t="s">
        <v>476</v>
      </c>
      <c r="E89" t="s">
        <v>477</v>
      </c>
      <c r="F89" t="s">
        <v>510</v>
      </c>
      <c r="G89" t="s">
        <v>510</v>
      </c>
      <c r="H89" t="s">
        <v>478</v>
      </c>
      <c r="I89" t="s">
        <v>488</v>
      </c>
      <c r="J89" t="s">
        <v>514</v>
      </c>
      <c r="K89" t="s">
        <v>258</v>
      </c>
      <c r="L89" t="s">
        <v>489</v>
      </c>
      <c r="M89" t="s">
        <v>441</v>
      </c>
      <c r="N89" t="s">
        <v>511</v>
      </c>
      <c r="O89" t="s">
        <v>569</v>
      </c>
      <c r="P89" t="s">
        <v>516</v>
      </c>
    </row>
    <row r="90" spans="2:17" x14ac:dyDescent="0.35">
      <c r="B90" t="s">
        <v>8</v>
      </c>
      <c r="E90" t="s">
        <v>9</v>
      </c>
      <c r="F90" t="s">
        <v>115</v>
      </c>
      <c r="G90" t="s">
        <v>479</v>
      </c>
      <c r="H90" t="s">
        <v>479</v>
      </c>
      <c r="I90" t="s">
        <v>479</v>
      </c>
      <c r="J90" t="s">
        <v>479</v>
      </c>
      <c r="K90" t="s">
        <v>259</v>
      </c>
      <c r="L90" t="s">
        <v>479</v>
      </c>
      <c r="M90" t="s">
        <v>115</v>
      </c>
      <c r="N90" t="s">
        <v>479</v>
      </c>
      <c r="O90" t="s">
        <v>493</v>
      </c>
      <c r="P90" t="s">
        <v>493</v>
      </c>
    </row>
    <row r="91" spans="2:17" x14ac:dyDescent="0.35">
      <c r="B91" t="s">
        <v>498</v>
      </c>
      <c r="C91" t="s">
        <v>3</v>
      </c>
      <c r="D91" t="s">
        <v>22</v>
      </c>
      <c r="E91">
        <v>1</v>
      </c>
      <c r="F91" s="45">
        <f>GREET!B40</f>
        <v>3.2444757981354098</v>
      </c>
      <c r="G91" s="46">
        <f>F91*S6</f>
        <v>46.824274718690226</v>
      </c>
      <c r="H91" s="6">
        <f>GREET!B41</f>
        <v>5.2373480998418598E-2</v>
      </c>
      <c r="I91" s="6"/>
      <c r="J91" s="6"/>
      <c r="K91" s="6"/>
      <c r="L91" s="6">
        <f>SUM(H91:J91)+(K91*3.6)</f>
        <v>5.2373480998418598E-2</v>
      </c>
      <c r="M91" s="6">
        <f>GREET!B49</f>
        <v>2.7981685000185985</v>
      </c>
      <c r="N91">
        <v>29.7</v>
      </c>
      <c r="O91" s="31">
        <f t="shared" ref="O91:O104" si="74">N91/G91</f>
        <v>0.63428638624796563</v>
      </c>
      <c r="P91" s="31">
        <f t="shared" ref="P91:P104" si="75">N91/SUM(G91,L91)</f>
        <v>0.63357772239776444</v>
      </c>
      <c r="Q91" s="46"/>
    </row>
    <row r="92" spans="2:17" x14ac:dyDescent="0.35">
      <c r="B92" t="s">
        <v>499</v>
      </c>
      <c r="C92" t="s">
        <v>3</v>
      </c>
      <c r="D92" t="s">
        <v>22</v>
      </c>
      <c r="E92">
        <v>1</v>
      </c>
      <c r="F92" s="45">
        <f>GREET!B239</f>
        <v>3.2444757981354098</v>
      </c>
      <c r="G92" s="46">
        <f>F92*S7</f>
        <v>51.392496642464891</v>
      </c>
      <c r="H92" s="6">
        <f>GREET!B240</f>
        <v>9.8054794980372589E-2</v>
      </c>
      <c r="I92" s="6"/>
      <c r="J92" s="6"/>
      <c r="K92" s="6"/>
      <c r="L92" s="6">
        <f t="shared" ref="L92:L104" si="76">SUM(H92:J92)+(K92*3.6)</f>
        <v>9.8054794980372589E-2</v>
      </c>
      <c r="M92" s="6">
        <f>GREET!B246</f>
        <v>3.1520867349985355</v>
      </c>
      <c r="N92">
        <v>29.7</v>
      </c>
      <c r="O92" s="31">
        <f t="shared" si="74"/>
        <v>0.57790537413703524</v>
      </c>
      <c r="P92" s="31">
        <f t="shared" si="75"/>
        <v>0.57680485391736147</v>
      </c>
      <c r="Q92" s="46"/>
    </row>
    <row r="93" spans="2:17" x14ac:dyDescent="0.35">
      <c r="B93" t="s">
        <v>500</v>
      </c>
      <c r="C93" t="s">
        <v>3</v>
      </c>
      <c r="D93" t="s">
        <v>22</v>
      </c>
      <c r="E93">
        <v>1</v>
      </c>
      <c r="F93" s="45">
        <f>GREET!B433</f>
        <v>3.2444757981354098</v>
      </c>
      <c r="G93" s="46">
        <f>F93*S8</f>
        <v>49.679413421049389</v>
      </c>
      <c r="H93" s="6">
        <f>GREET!B434</f>
        <v>9.8054794980372589E-2</v>
      </c>
      <c r="I93" s="6"/>
      <c r="J93" s="6"/>
      <c r="K93" s="6"/>
      <c r="L93" s="6">
        <f t="shared" si="76"/>
        <v>9.8054794980372589E-2</v>
      </c>
      <c r="M93" s="6">
        <f>GREET!B440</f>
        <v>3.7925997530903643</v>
      </c>
      <c r="N93">
        <v>29.7</v>
      </c>
      <c r="O93" s="31">
        <f t="shared" si="74"/>
        <v>0.59783314565900203</v>
      </c>
      <c r="P93" s="31">
        <f t="shared" si="75"/>
        <v>0.59665549623987812</v>
      </c>
      <c r="Q93" s="46"/>
    </row>
    <row r="94" spans="2:17" x14ac:dyDescent="0.35">
      <c r="B94" t="s">
        <v>501</v>
      </c>
      <c r="C94" t="s">
        <v>3</v>
      </c>
      <c r="D94" t="s">
        <v>22</v>
      </c>
      <c r="E94">
        <v>1</v>
      </c>
      <c r="F94" s="45">
        <f>GREET!B583</f>
        <v>3.2444757981354098</v>
      </c>
      <c r="G94" s="46">
        <f>F94*S9</f>
        <v>61.32059258475924</v>
      </c>
      <c r="H94" s="6">
        <f>GREET!B584</f>
        <v>9.8054794980372589E-2</v>
      </c>
      <c r="I94" s="6"/>
      <c r="J94" s="6"/>
      <c r="K94" s="6"/>
      <c r="L94" s="6">
        <f t="shared" si="76"/>
        <v>9.8054794980372589E-2</v>
      </c>
      <c r="M94" s="6">
        <f>GREET!B586</f>
        <v>3.9585011946250921</v>
      </c>
      <c r="N94">
        <v>29.7</v>
      </c>
      <c r="O94" s="31">
        <f t="shared" si="74"/>
        <v>0.48433974213389624</v>
      </c>
      <c r="P94" s="31">
        <f t="shared" si="75"/>
        <v>0.48356649433144705</v>
      </c>
      <c r="Q94" s="46"/>
    </row>
    <row r="95" spans="2:17" x14ac:dyDescent="0.35">
      <c r="B95" t="s">
        <v>502</v>
      </c>
      <c r="C95" t="s">
        <v>3</v>
      </c>
      <c r="D95" t="s">
        <v>22</v>
      </c>
      <c r="E95">
        <v>1</v>
      </c>
      <c r="F95" s="45">
        <f>GREET!B762</f>
        <v>3.2444757981354098</v>
      </c>
      <c r="G95" s="46">
        <f>F95*S10</f>
        <v>56.129431307742593</v>
      </c>
      <c r="H95" s="6">
        <f>GREET!B763</f>
        <v>5.2373480998418598E-2</v>
      </c>
      <c r="I95" s="6"/>
      <c r="J95" s="6"/>
      <c r="K95" s="6"/>
      <c r="L95" s="6">
        <f t="shared" si="76"/>
        <v>5.2373480998418598E-2</v>
      </c>
      <c r="M95" s="6">
        <f>GREET!B771</f>
        <v>3.7930729515232109</v>
      </c>
      <c r="N95">
        <v>29.7</v>
      </c>
      <c r="O95" s="31">
        <f t="shared" si="74"/>
        <v>0.52913416915206002</v>
      </c>
      <c r="P95" s="31">
        <f t="shared" si="75"/>
        <v>0.52864090272073216</v>
      </c>
      <c r="Q95" s="46"/>
    </row>
    <row r="96" spans="2:17" x14ac:dyDescent="0.35">
      <c r="B96" t="s">
        <v>503</v>
      </c>
      <c r="C96" t="s">
        <v>3</v>
      </c>
      <c r="D96" t="s">
        <v>22</v>
      </c>
      <c r="E96">
        <v>1</v>
      </c>
      <c r="F96" s="45">
        <f>GREET!B921</f>
        <v>3.2444757981354098</v>
      </c>
      <c r="G96" s="46">
        <f>F96*S11</f>
        <v>47.395302459162068</v>
      </c>
      <c r="H96" s="6">
        <f>GREET!B922</f>
        <v>5.2373480998418598E-2</v>
      </c>
      <c r="I96" s="6"/>
      <c r="J96" s="6"/>
      <c r="K96" s="6"/>
      <c r="L96" s="6">
        <f t="shared" si="76"/>
        <v>5.2373480998418598E-2</v>
      </c>
      <c r="M96" s="6">
        <f>GREET!B930</f>
        <v>3.6558997518523286</v>
      </c>
      <c r="N96">
        <v>29.7</v>
      </c>
      <c r="O96" s="31">
        <f t="shared" si="74"/>
        <v>0.62664438159437552</v>
      </c>
      <c r="P96" s="31">
        <f t="shared" si="75"/>
        <v>0.6259526818016693</v>
      </c>
      <c r="Q96" s="46"/>
    </row>
    <row r="97" spans="2:17" x14ac:dyDescent="0.35">
      <c r="B97" t="s">
        <v>504</v>
      </c>
      <c r="C97" t="s">
        <v>3</v>
      </c>
      <c r="D97" t="s">
        <v>22</v>
      </c>
      <c r="E97">
        <v>1</v>
      </c>
      <c r="F97" s="45">
        <f>GREET!B1115</f>
        <v>11.932686628537386</v>
      </c>
      <c r="G97" s="46">
        <f>F97*S12</f>
        <v>44.150940525588332</v>
      </c>
      <c r="H97" s="6">
        <f>GREET!B1116</f>
        <v>8.0825562182458455E-2</v>
      </c>
      <c r="I97" s="6"/>
      <c r="J97" s="6"/>
      <c r="K97" s="6"/>
      <c r="L97" s="6">
        <f t="shared" si="76"/>
        <v>8.0825562182458455E-2</v>
      </c>
      <c r="M97" s="6">
        <f>GREET!B1118</f>
        <v>3.3363821165564502</v>
      </c>
      <c r="N97">
        <v>29.7</v>
      </c>
      <c r="O97" s="31">
        <f t="shared" si="74"/>
        <v>0.67269235142990724</v>
      </c>
      <c r="P97" s="31">
        <f t="shared" si="75"/>
        <v>0.67146312767763217</v>
      </c>
      <c r="Q97" s="46"/>
    </row>
    <row r="98" spans="2:17" x14ac:dyDescent="0.35">
      <c r="B98" t="s">
        <v>505</v>
      </c>
      <c r="C98" t="s">
        <v>3</v>
      </c>
      <c r="D98" t="s">
        <v>22</v>
      </c>
      <c r="E98">
        <v>1</v>
      </c>
      <c r="F98" s="45">
        <f>GREET!B1291</f>
        <v>2.5031731272827198</v>
      </c>
      <c r="G98" s="46">
        <f>F98*S13</f>
        <v>37.297279596512524</v>
      </c>
      <c r="H98" s="6"/>
      <c r="I98" s="6">
        <f>GREET!B1292</f>
        <v>7.7589106908535284</v>
      </c>
      <c r="J98" s="6"/>
      <c r="K98" s="6">
        <f>GREET!B1293</f>
        <v>0.20297814720490737</v>
      </c>
      <c r="L98" s="6">
        <f t="shared" si="76"/>
        <v>8.4896320207911948</v>
      </c>
      <c r="M98" s="6">
        <f>GREET!B1299</f>
        <v>1.6930724764143996</v>
      </c>
      <c r="N98">
        <v>29.7</v>
      </c>
      <c r="O98" s="31">
        <f t="shared" si="74"/>
        <v>0.79630472574136724</v>
      </c>
      <c r="P98" s="31">
        <f t="shared" si="75"/>
        <v>0.64865698407961248</v>
      </c>
      <c r="Q98" s="46"/>
    </row>
    <row r="99" spans="2:17" x14ac:dyDescent="0.35">
      <c r="B99" t="s">
        <v>506</v>
      </c>
      <c r="C99" t="s">
        <v>3</v>
      </c>
      <c r="D99" t="s">
        <v>22</v>
      </c>
      <c r="E99">
        <v>1</v>
      </c>
      <c r="F99" s="45">
        <f>GREET!B1482</f>
        <v>25.122891308324792</v>
      </c>
      <c r="G99" s="46">
        <f>F99*S14</f>
        <v>113.25399401792819</v>
      </c>
      <c r="H99" s="6"/>
      <c r="I99" s="6"/>
      <c r="J99" s="6"/>
      <c r="K99" s="6"/>
      <c r="L99" s="6">
        <f t="shared" si="76"/>
        <v>0</v>
      </c>
      <c r="M99" s="6">
        <f>GREET!B1484</f>
        <v>8.918990732149652</v>
      </c>
      <c r="N99">
        <v>29.7</v>
      </c>
      <c r="O99" s="31">
        <f t="shared" si="74"/>
        <v>0.2622424070562886</v>
      </c>
      <c r="P99" s="31">
        <f t="shared" si="75"/>
        <v>0.2622424070562886</v>
      </c>
      <c r="Q99" s="46"/>
    </row>
    <row r="100" spans="2:17" x14ac:dyDescent="0.35">
      <c r="B100" t="s">
        <v>507</v>
      </c>
      <c r="C100" t="s">
        <v>3</v>
      </c>
      <c r="D100" t="s">
        <v>22</v>
      </c>
      <c r="E100">
        <v>1</v>
      </c>
      <c r="F100" s="45">
        <f>GREET!B1636</f>
        <v>17.52302602000244</v>
      </c>
      <c r="G100" s="46">
        <f>F100*S15</f>
        <v>78.538202621650953</v>
      </c>
      <c r="H100" s="6"/>
      <c r="I100" s="6"/>
      <c r="J100" s="6"/>
      <c r="K100" s="6"/>
      <c r="L100" s="6">
        <f t="shared" si="76"/>
        <v>0</v>
      </c>
      <c r="M100" s="6">
        <f>GREET!B1641</f>
        <v>5.3720742191170148</v>
      </c>
      <c r="N100">
        <v>29.7</v>
      </c>
      <c r="O100" s="31">
        <f t="shared" si="74"/>
        <v>0.37815991464786181</v>
      </c>
      <c r="P100" s="31">
        <f t="shared" si="75"/>
        <v>0.37815991464786181</v>
      </c>
      <c r="Q100" s="46"/>
    </row>
    <row r="101" spans="2:17" x14ac:dyDescent="0.35">
      <c r="B101" t="s">
        <v>508</v>
      </c>
      <c r="C101" t="s">
        <v>3</v>
      </c>
      <c r="D101" t="s">
        <v>22</v>
      </c>
      <c r="E101">
        <v>1</v>
      </c>
      <c r="F101" s="45">
        <f>GREET!B1846</f>
        <v>2.4594113593232314</v>
      </c>
      <c r="G101" s="46">
        <f>F101*S16</f>
        <v>34.053009681189465</v>
      </c>
      <c r="H101" s="6"/>
      <c r="I101" s="6">
        <f>GREET!B1847</f>
        <v>6.9718002298970818</v>
      </c>
      <c r="J101" s="6"/>
      <c r="K101" s="6">
        <f>GREET!B1848</f>
        <v>0.20362741756781791</v>
      </c>
      <c r="L101" s="6">
        <f t="shared" si="76"/>
        <v>7.7048589331412263</v>
      </c>
      <c r="M101" s="6">
        <f>GREET!B1854</f>
        <v>1.7168289897688866</v>
      </c>
      <c r="N101">
        <v>29.7</v>
      </c>
      <c r="O101" s="31">
        <f t="shared" si="74"/>
        <v>0.8721696049205887</v>
      </c>
      <c r="P101" s="31">
        <f t="shared" si="75"/>
        <v>0.71124319764269273</v>
      </c>
      <c r="Q101" s="46"/>
    </row>
    <row r="102" spans="2:17" x14ac:dyDescent="0.35">
      <c r="B102" t="s">
        <v>590</v>
      </c>
      <c r="C102" t="s">
        <v>3</v>
      </c>
      <c r="D102" t="s">
        <v>22</v>
      </c>
      <c r="E102">
        <v>1</v>
      </c>
      <c r="F102" s="45">
        <f>GREET!B1914</f>
        <v>2.4594113593232314</v>
      </c>
      <c r="G102" s="46">
        <f>F102*S16</f>
        <v>34.053009681189465</v>
      </c>
      <c r="H102" s="6"/>
      <c r="I102" s="6">
        <f>GREET!B1915</f>
        <v>6.9718002298970818</v>
      </c>
      <c r="J102" s="6"/>
      <c r="K102" s="6">
        <f>GREET!B1916</f>
        <v>0.50179136845667949</v>
      </c>
      <c r="L102" s="6">
        <f t="shared" si="76"/>
        <v>8.7782491563411273</v>
      </c>
      <c r="M102" s="6">
        <f>GREET!B1922</f>
        <v>4.2920724744222205E-2</v>
      </c>
      <c r="N102">
        <v>29.7</v>
      </c>
      <c r="O102" s="31">
        <f t="shared" ref="O102" si="77">N102/G102</f>
        <v>0.8721696049205887</v>
      </c>
      <c r="P102" s="31">
        <f t="shared" si="75"/>
        <v>0.69341879753428082</v>
      </c>
      <c r="Q102" s="46"/>
    </row>
    <row r="103" spans="2:17" x14ac:dyDescent="0.35">
      <c r="B103" t="s">
        <v>504</v>
      </c>
      <c r="C103" t="s">
        <v>276</v>
      </c>
      <c r="D103" t="s">
        <v>486</v>
      </c>
      <c r="E103">
        <v>1</v>
      </c>
      <c r="F103" s="45">
        <f>'Pereira et al. 2019'!B91</f>
        <v>16.407888792403554</v>
      </c>
      <c r="G103" s="46">
        <f>F103*S17</f>
        <v>60.709188531893155</v>
      </c>
      <c r="H103" s="6">
        <f>'Pereira et al. 2019'!B70</f>
        <v>0.19930119999999998</v>
      </c>
      <c r="I103" s="6"/>
      <c r="J103" s="6"/>
      <c r="K103" s="6"/>
      <c r="L103" s="6">
        <f t="shared" si="76"/>
        <v>0.19930119999999998</v>
      </c>
      <c r="M103" s="6">
        <f>'Pereira et al. 2019'!B97</f>
        <v>6.2716432894717986</v>
      </c>
      <c r="N103">
        <v>29.7</v>
      </c>
      <c r="O103" s="31">
        <f t="shared" si="74"/>
        <v>0.48921754215833918</v>
      </c>
      <c r="P103" s="31">
        <f t="shared" si="75"/>
        <v>0.48761675311164976</v>
      </c>
      <c r="Q103" s="46"/>
    </row>
    <row r="104" spans="2:17" x14ac:dyDescent="0.35">
      <c r="B104" t="s">
        <v>509</v>
      </c>
      <c r="C104" t="s">
        <v>276</v>
      </c>
      <c r="D104" t="s">
        <v>486</v>
      </c>
      <c r="E104">
        <v>1</v>
      </c>
      <c r="F104" s="45">
        <f>'Pereira et al. 2019'!B151</f>
        <v>3.2744078855022276</v>
      </c>
      <c r="G104" s="46">
        <f>F104*S18</f>
        <v>51.093860645376765</v>
      </c>
      <c r="H104" s="6"/>
      <c r="I104" s="6"/>
      <c r="J104" s="6"/>
      <c r="K104" s="6"/>
      <c r="L104" s="6">
        <f t="shared" si="76"/>
        <v>0</v>
      </c>
      <c r="M104" s="6">
        <f>'Pereira et al. 2019'!B157</f>
        <v>2.775246788748885</v>
      </c>
      <c r="N104">
        <v>29.7</v>
      </c>
      <c r="O104" s="31">
        <f t="shared" si="74"/>
        <v>0.58128314487990074</v>
      </c>
      <c r="P104" s="31">
        <f t="shared" si="75"/>
        <v>0.58128314487990074</v>
      </c>
      <c r="Q104" s="46"/>
    </row>
    <row r="106" spans="2:17" x14ac:dyDescent="0.35">
      <c r="B106" s="10" t="s">
        <v>517</v>
      </c>
    </row>
    <row r="107" spans="2:17" x14ac:dyDescent="0.35">
      <c r="B107" t="s">
        <v>1</v>
      </c>
      <c r="C107" t="s">
        <v>475</v>
      </c>
      <c r="D107" t="s">
        <v>476</v>
      </c>
      <c r="E107" t="s">
        <v>477</v>
      </c>
      <c r="F107" t="s">
        <v>510</v>
      </c>
      <c r="G107" t="s">
        <v>510</v>
      </c>
      <c r="H107" t="s">
        <v>478</v>
      </c>
      <c r="I107" t="s">
        <v>488</v>
      </c>
      <c r="J107" t="s">
        <v>514</v>
      </c>
      <c r="K107" t="s">
        <v>258</v>
      </c>
      <c r="L107" t="s">
        <v>489</v>
      </c>
      <c r="M107" t="s">
        <v>441</v>
      </c>
      <c r="N107" t="s">
        <v>511</v>
      </c>
      <c r="O107" t="s">
        <v>515</v>
      </c>
      <c r="P107" t="s">
        <v>516</v>
      </c>
    </row>
    <row r="108" spans="2:17" x14ac:dyDescent="0.35">
      <c r="B108" t="s">
        <v>8</v>
      </c>
      <c r="E108" t="s">
        <v>20</v>
      </c>
      <c r="F108" t="s">
        <v>115</v>
      </c>
      <c r="G108" t="s">
        <v>479</v>
      </c>
      <c r="H108" t="s">
        <v>479</v>
      </c>
      <c r="I108" t="s">
        <v>479</v>
      </c>
      <c r="J108" t="s">
        <v>479</v>
      </c>
      <c r="K108" t="s">
        <v>259</v>
      </c>
      <c r="L108" t="s">
        <v>479</v>
      </c>
      <c r="M108" t="s">
        <v>9</v>
      </c>
      <c r="N108" t="s">
        <v>479</v>
      </c>
      <c r="O108" t="s">
        <v>493</v>
      </c>
      <c r="P108" t="s">
        <v>493</v>
      </c>
    </row>
    <row r="109" spans="2:17" x14ac:dyDescent="0.35">
      <c r="B109" t="s">
        <v>498</v>
      </c>
      <c r="C109" t="s">
        <v>3</v>
      </c>
      <c r="D109" t="s">
        <v>22</v>
      </c>
      <c r="E109">
        <v>1</v>
      </c>
      <c r="F109" s="6">
        <f t="shared" ref="F109:F122" si="78">F91/29.7</f>
        <v>0.10924160936482862</v>
      </c>
      <c r="G109" s="6">
        <f>G91/29.7</f>
        <v>1.5765749063532064</v>
      </c>
      <c r="H109" s="5">
        <f>H91/29.7</f>
        <v>1.7634168686336228E-3</v>
      </c>
      <c r="I109" s="5">
        <f>I91/29.7</f>
        <v>0</v>
      </c>
      <c r="J109" s="5">
        <f>J91/29.7</f>
        <v>0</v>
      </c>
      <c r="K109" s="5">
        <f>K91/29.7</f>
        <v>0</v>
      </c>
      <c r="L109" s="5">
        <f>L91/29.7</f>
        <v>1.7634168686336228E-3</v>
      </c>
      <c r="M109" s="5">
        <f>M91/29.7</f>
        <v>9.421442761005383E-2</v>
      </c>
      <c r="N109" s="45">
        <f>N91/29.7</f>
        <v>1</v>
      </c>
      <c r="O109" s="31">
        <f t="shared" ref="O109:O122" si="79">N109/G109</f>
        <v>0.63428638624796552</v>
      </c>
      <c r="P109" s="31">
        <f t="shared" ref="P109:P122" si="80">N109/SUM(G109,L109)</f>
        <v>0.63357772239776444</v>
      </c>
    </row>
    <row r="110" spans="2:17" x14ac:dyDescent="0.35">
      <c r="B110" t="s">
        <v>499</v>
      </c>
      <c r="C110" t="s">
        <v>3</v>
      </c>
      <c r="D110" t="s">
        <v>22</v>
      </c>
      <c r="E110">
        <v>1</v>
      </c>
      <c r="F110" s="6">
        <f t="shared" si="78"/>
        <v>0.10924160936482862</v>
      </c>
      <c r="G110" s="6">
        <f t="shared" ref="G110:N118" si="81">G92/29.7</f>
        <v>1.7303870923388853</v>
      </c>
      <c r="H110" s="5">
        <f t="shared" si="81"/>
        <v>3.3015082484973935E-3</v>
      </c>
      <c r="I110" s="5">
        <f t="shared" si="81"/>
        <v>0</v>
      </c>
      <c r="J110" s="5">
        <f t="shared" si="81"/>
        <v>0</v>
      </c>
      <c r="K110" s="5">
        <f t="shared" si="81"/>
        <v>0</v>
      </c>
      <c r="L110" s="5">
        <f t="shared" si="81"/>
        <v>3.3015082484973935E-3</v>
      </c>
      <c r="M110" s="5">
        <f t="shared" si="81"/>
        <v>0.1061308664982672</v>
      </c>
      <c r="N110" s="45">
        <f t="shared" si="81"/>
        <v>1</v>
      </c>
      <c r="O110" s="31">
        <f t="shared" si="79"/>
        <v>0.57790537413703524</v>
      </c>
      <c r="P110" s="31">
        <f t="shared" si="80"/>
        <v>0.57680485391736147</v>
      </c>
    </row>
    <row r="111" spans="2:17" x14ac:dyDescent="0.35">
      <c r="B111" t="s">
        <v>500</v>
      </c>
      <c r="C111" t="s">
        <v>3</v>
      </c>
      <c r="D111" t="s">
        <v>22</v>
      </c>
      <c r="E111">
        <v>1</v>
      </c>
      <c r="F111" s="6">
        <f t="shared" si="78"/>
        <v>0.10924160936482862</v>
      </c>
      <c r="G111" s="6">
        <f t="shared" si="81"/>
        <v>1.6727075225942556</v>
      </c>
      <c r="H111" s="5">
        <f t="shared" si="81"/>
        <v>3.3015082484973935E-3</v>
      </c>
      <c r="I111" s="5">
        <f t="shared" si="81"/>
        <v>0</v>
      </c>
      <c r="J111" s="5">
        <f t="shared" si="81"/>
        <v>0</v>
      </c>
      <c r="K111" s="5">
        <f t="shared" si="81"/>
        <v>0</v>
      </c>
      <c r="L111" s="5">
        <f t="shared" si="81"/>
        <v>3.3015082484973935E-3</v>
      </c>
      <c r="M111" s="5">
        <f t="shared" si="81"/>
        <v>0.12769696138351394</v>
      </c>
      <c r="N111" s="45">
        <f t="shared" si="81"/>
        <v>1</v>
      </c>
      <c r="O111" s="31">
        <f t="shared" si="79"/>
        <v>0.59783314565900203</v>
      </c>
      <c r="P111" s="31">
        <f t="shared" si="80"/>
        <v>0.59665549623987812</v>
      </c>
    </row>
    <row r="112" spans="2:17" x14ac:dyDescent="0.35">
      <c r="B112" t="s">
        <v>501</v>
      </c>
      <c r="C112" t="s">
        <v>3</v>
      </c>
      <c r="D112" t="s">
        <v>22</v>
      </c>
      <c r="E112">
        <v>1</v>
      </c>
      <c r="F112" s="6">
        <f t="shared" si="78"/>
        <v>0.10924160936482862</v>
      </c>
      <c r="G112" s="6">
        <f t="shared" si="81"/>
        <v>2.0646664169952604</v>
      </c>
      <c r="H112" s="5">
        <f t="shared" si="81"/>
        <v>3.3015082484973935E-3</v>
      </c>
      <c r="I112" s="5">
        <f t="shared" si="81"/>
        <v>0</v>
      </c>
      <c r="J112" s="5">
        <f t="shared" si="81"/>
        <v>0</v>
      </c>
      <c r="K112" s="5">
        <f t="shared" si="81"/>
        <v>0</v>
      </c>
      <c r="L112" s="5">
        <f t="shared" si="81"/>
        <v>3.3015082484973935E-3</v>
      </c>
      <c r="M112" s="5">
        <f t="shared" si="81"/>
        <v>0.13328286850589535</v>
      </c>
      <c r="N112" s="45">
        <f t="shared" si="81"/>
        <v>1</v>
      </c>
      <c r="O112" s="31">
        <f t="shared" si="79"/>
        <v>0.4843397421338963</v>
      </c>
      <c r="P112" s="31">
        <f t="shared" si="80"/>
        <v>0.48356649433144705</v>
      </c>
    </row>
    <row r="113" spans="2:23" x14ac:dyDescent="0.35">
      <c r="B113" t="s">
        <v>502</v>
      </c>
      <c r="C113" t="s">
        <v>3</v>
      </c>
      <c r="D113" t="s">
        <v>22</v>
      </c>
      <c r="E113">
        <v>1</v>
      </c>
      <c r="F113" s="6">
        <f t="shared" si="78"/>
        <v>0.10924160936482862</v>
      </c>
      <c r="G113" s="6">
        <f t="shared" si="81"/>
        <v>1.8898798420115352</v>
      </c>
      <c r="H113" s="5">
        <f t="shared" si="81"/>
        <v>1.7634168686336228E-3</v>
      </c>
      <c r="I113" s="5">
        <f t="shared" si="81"/>
        <v>0</v>
      </c>
      <c r="J113" s="5">
        <f t="shared" si="81"/>
        <v>0</v>
      </c>
      <c r="K113" s="5">
        <f t="shared" si="81"/>
        <v>0</v>
      </c>
      <c r="L113" s="5">
        <f t="shared" si="81"/>
        <v>1.7634168686336228E-3</v>
      </c>
      <c r="M113" s="5">
        <f t="shared" si="81"/>
        <v>0.1277128939906805</v>
      </c>
      <c r="N113" s="45">
        <f t="shared" si="81"/>
        <v>1</v>
      </c>
      <c r="O113" s="31">
        <f t="shared" si="79"/>
        <v>0.52913416915205991</v>
      </c>
      <c r="P113" s="31">
        <f t="shared" si="80"/>
        <v>0.52864090272073216</v>
      </c>
    </row>
    <row r="114" spans="2:23" x14ac:dyDescent="0.35">
      <c r="B114" t="s">
        <v>503</v>
      </c>
      <c r="C114" t="s">
        <v>3</v>
      </c>
      <c r="D114" t="s">
        <v>22</v>
      </c>
      <c r="E114">
        <v>1</v>
      </c>
      <c r="F114" s="6">
        <f t="shared" si="78"/>
        <v>0.10924160936482862</v>
      </c>
      <c r="G114" s="6">
        <f t="shared" si="81"/>
        <v>1.5958014296014165</v>
      </c>
      <c r="H114" s="5">
        <f t="shared" si="81"/>
        <v>1.7634168686336228E-3</v>
      </c>
      <c r="I114" s="5">
        <f t="shared" si="81"/>
        <v>0</v>
      </c>
      <c r="J114" s="5">
        <f t="shared" si="81"/>
        <v>0</v>
      </c>
      <c r="K114" s="5">
        <f t="shared" si="81"/>
        <v>0</v>
      </c>
      <c r="L114" s="5">
        <f t="shared" si="81"/>
        <v>1.7634168686336228E-3</v>
      </c>
      <c r="M114" s="5">
        <f t="shared" si="81"/>
        <v>0.12309426773913565</v>
      </c>
      <c r="N114" s="45">
        <f t="shared" si="81"/>
        <v>1</v>
      </c>
      <c r="O114" s="31">
        <f t="shared" si="79"/>
        <v>0.62664438159437552</v>
      </c>
      <c r="P114" s="31">
        <f t="shared" si="80"/>
        <v>0.62595268180166941</v>
      </c>
    </row>
    <row r="115" spans="2:23" x14ac:dyDescent="0.35">
      <c r="B115" t="s">
        <v>504</v>
      </c>
      <c r="C115" t="s">
        <v>3</v>
      </c>
      <c r="D115" t="s">
        <v>22</v>
      </c>
      <c r="E115">
        <v>1</v>
      </c>
      <c r="F115" s="6">
        <f t="shared" si="78"/>
        <v>0.40177396055681436</v>
      </c>
      <c r="G115" s="6">
        <f t="shared" si="81"/>
        <v>1.4865636540602132</v>
      </c>
      <c r="H115" s="5">
        <f t="shared" si="81"/>
        <v>2.7213994000827762E-3</v>
      </c>
      <c r="I115" s="5">
        <f t="shared" si="81"/>
        <v>0</v>
      </c>
      <c r="J115" s="5">
        <f t="shared" si="81"/>
        <v>0</v>
      </c>
      <c r="K115" s="5">
        <f t="shared" si="81"/>
        <v>0</v>
      </c>
      <c r="L115" s="5">
        <f t="shared" si="81"/>
        <v>2.7213994000827762E-3</v>
      </c>
      <c r="M115" s="5">
        <f t="shared" si="81"/>
        <v>0.11233609820055389</v>
      </c>
      <c r="N115" s="45">
        <f t="shared" si="81"/>
        <v>1</v>
      </c>
      <c r="O115" s="31">
        <f t="shared" si="79"/>
        <v>0.67269235142990724</v>
      </c>
      <c r="P115" s="31">
        <f t="shared" si="80"/>
        <v>0.67146312767763217</v>
      </c>
    </row>
    <row r="116" spans="2:23" x14ac:dyDescent="0.35">
      <c r="B116" t="s">
        <v>505</v>
      </c>
      <c r="C116" t="s">
        <v>3</v>
      </c>
      <c r="D116" t="s">
        <v>22</v>
      </c>
      <c r="E116">
        <v>1</v>
      </c>
      <c r="F116" s="6">
        <f t="shared" si="78"/>
        <v>8.4281923477532661E-2</v>
      </c>
      <c r="G116" s="6">
        <f t="shared" si="81"/>
        <v>1.2558006598152365</v>
      </c>
      <c r="H116" s="5">
        <f t="shared" si="81"/>
        <v>0</v>
      </c>
      <c r="I116" s="5">
        <f t="shared" si="81"/>
        <v>0.26124278420382252</v>
      </c>
      <c r="J116" s="5">
        <f t="shared" si="81"/>
        <v>0</v>
      </c>
      <c r="K116" s="5">
        <f t="shared" si="81"/>
        <v>6.8342810506702815E-3</v>
      </c>
      <c r="L116" s="5">
        <f t="shared" si="81"/>
        <v>0.28584619598623551</v>
      </c>
      <c r="M116" s="5">
        <f t="shared" si="81"/>
        <v>5.7005807286680123E-2</v>
      </c>
      <c r="N116" s="45">
        <f t="shared" si="81"/>
        <v>1</v>
      </c>
      <c r="O116" s="31">
        <f t="shared" si="79"/>
        <v>0.79630472574136735</v>
      </c>
      <c r="P116" s="31">
        <f t="shared" si="80"/>
        <v>0.64865698407961248</v>
      </c>
    </row>
    <row r="117" spans="2:23" x14ac:dyDescent="0.35">
      <c r="B117" t="s">
        <v>506</v>
      </c>
      <c r="C117" t="s">
        <v>3</v>
      </c>
      <c r="D117" t="s">
        <v>22</v>
      </c>
      <c r="E117">
        <v>1</v>
      </c>
      <c r="F117" s="6">
        <f t="shared" si="78"/>
        <v>0.84588859623989199</v>
      </c>
      <c r="G117" s="6">
        <f t="shared" si="81"/>
        <v>3.8132657918494344</v>
      </c>
      <c r="H117" s="5">
        <f t="shared" si="81"/>
        <v>0</v>
      </c>
      <c r="I117" s="5">
        <f t="shared" si="81"/>
        <v>0</v>
      </c>
      <c r="J117" s="5">
        <f t="shared" si="81"/>
        <v>0</v>
      </c>
      <c r="K117" s="5">
        <f t="shared" si="81"/>
        <v>0</v>
      </c>
      <c r="L117" s="5">
        <f t="shared" si="81"/>
        <v>0</v>
      </c>
      <c r="M117" s="5">
        <f t="shared" si="81"/>
        <v>0.30030271825419702</v>
      </c>
      <c r="N117" s="45">
        <f t="shared" si="81"/>
        <v>1</v>
      </c>
      <c r="O117" s="31">
        <f t="shared" si="79"/>
        <v>0.2622424070562886</v>
      </c>
      <c r="P117" s="31">
        <f t="shared" si="80"/>
        <v>0.2622424070562886</v>
      </c>
    </row>
    <row r="118" spans="2:23" x14ac:dyDescent="0.35">
      <c r="B118" t="s">
        <v>507</v>
      </c>
      <c r="C118" t="s">
        <v>3</v>
      </c>
      <c r="D118" t="s">
        <v>22</v>
      </c>
      <c r="E118">
        <v>1</v>
      </c>
      <c r="F118" s="6">
        <f t="shared" si="78"/>
        <v>0.59000087609435825</v>
      </c>
      <c r="G118" s="6">
        <f t="shared" si="81"/>
        <v>2.6443839266549145</v>
      </c>
      <c r="H118" s="5">
        <f t="shared" si="81"/>
        <v>0</v>
      </c>
      <c r="I118" s="5">
        <f t="shared" si="81"/>
        <v>0</v>
      </c>
      <c r="J118" s="5">
        <f t="shared" si="81"/>
        <v>0</v>
      </c>
      <c r="K118" s="5">
        <f t="shared" si="81"/>
        <v>0</v>
      </c>
      <c r="L118" s="5">
        <f t="shared" si="81"/>
        <v>0</v>
      </c>
      <c r="M118" s="5">
        <f t="shared" si="81"/>
        <v>0.18087791983558973</v>
      </c>
      <c r="N118" s="45">
        <f t="shared" si="81"/>
        <v>1</v>
      </c>
      <c r="O118" s="31">
        <f t="shared" si="79"/>
        <v>0.37815991464786175</v>
      </c>
      <c r="P118" s="31">
        <f t="shared" si="80"/>
        <v>0.37815991464786175</v>
      </c>
    </row>
    <row r="119" spans="2:23" x14ac:dyDescent="0.35">
      <c r="B119" t="s">
        <v>508</v>
      </c>
      <c r="C119" t="s">
        <v>3</v>
      </c>
      <c r="D119" t="s">
        <v>22</v>
      </c>
      <c r="E119">
        <v>1</v>
      </c>
      <c r="F119" s="6">
        <f t="shared" si="78"/>
        <v>8.2808463276876479E-2</v>
      </c>
      <c r="G119" s="6">
        <f>G101/29.7</f>
        <v>1.1465659825316319</v>
      </c>
      <c r="H119" s="5">
        <f>H101/29.7</f>
        <v>0</v>
      </c>
      <c r="I119" s="5">
        <f>I101/29.7</f>
        <v>0.23474074848138324</v>
      </c>
      <c r="J119" s="5"/>
      <c r="K119" s="5">
        <f>K101/29.7</f>
        <v>6.8561420056504349E-3</v>
      </c>
      <c r="L119" s="5">
        <f>L101/29.7</f>
        <v>0.2594228597017248</v>
      </c>
      <c r="M119" s="5">
        <f>M101/29.7</f>
        <v>5.7805689891208309E-2</v>
      </c>
      <c r="N119" s="45">
        <f>N101/29.7</f>
        <v>1</v>
      </c>
      <c r="O119" s="31">
        <f t="shared" si="79"/>
        <v>0.8721696049205887</v>
      </c>
      <c r="P119" s="31">
        <f t="shared" si="80"/>
        <v>0.71124319764269273</v>
      </c>
    </row>
    <row r="120" spans="2:23" x14ac:dyDescent="0.35">
      <c r="B120" t="s">
        <v>590</v>
      </c>
      <c r="C120" t="s">
        <v>3</v>
      </c>
      <c r="D120" t="s">
        <v>22</v>
      </c>
      <c r="E120">
        <v>1</v>
      </c>
      <c r="F120" s="6">
        <f t="shared" si="78"/>
        <v>8.2808463276876479E-2</v>
      </c>
      <c r="G120" s="6">
        <f>G102/29.7</f>
        <v>1.1465659825316319</v>
      </c>
      <c r="H120" s="6">
        <f>H102/29.7</f>
        <v>0</v>
      </c>
      <c r="I120" s="6">
        <f>I102/29.7</f>
        <v>0.23474074848138324</v>
      </c>
      <c r="J120" s="6">
        <f>J102/29.7</f>
        <v>0</v>
      </c>
      <c r="K120" s="6">
        <f>K102/29.7</f>
        <v>1.689533227126867E-2</v>
      </c>
      <c r="L120" s="6">
        <f>L102/29.7</f>
        <v>0.29556394465795044</v>
      </c>
      <c r="M120" s="6">
        <f>M102/29.7</f>
        <v>1.4451422472802091E-3</v>
      </c>
      <c r="N120" s="45">
        <f>N102/29.7</f>
        <v>1</v>
      </c>
      <c r="O120" s="31">
        <f t="shared" ref="O120" si="82">N120/G120</f>
        <v>0.8721696049205887</v>
      </c>
      <c r="P120" s="31">
        <f t="shared" si="80"/>
        <v>0.69341879753428071</v>
      </c>
    </row>
    <row r="121" spans="2:23" x14ac:dyDescent="0.35">
      <c r="B121" t="s">
        <v>504</v>
      </c>
      <c r="C121" t="s">
        <v>276</v>
      </c>
      <c r="D121" t="s">
        <v>486</v>
      </c>
      <c r="E121">
        <v>1</v>
      </c>
      <c r="F121" s="6">
        <f t="shared" si="78"/>
        <v>0.55245416809439574</v>
      </c>
      <c r="G121" s="6">
        <f t="shared" ref="G121:M122" si="83">G103/29.7</f>
        <v>2.0440804219492645</v>
      </c>
      <c r="H121" s="5">
        <f t="shared" si="83"/>
        <v>6.7104781144781142E-3</v>
      </c>
      <c r="I121" s="5">
        <f t="shared" si="83"/>
        <v>0</v>
      </c>
      <c r="J121" s="5">
        <f t="shared" si="83"/>
        <v>0</v>
      </c>
      <c r="K121" s="5">
        <f t="shared" si="83"/>
        <v>0</v>
      </c>
      <c r="L121" s="5">
        <f t="shared" si="83"/>
        <v>6.7104781144781142E-3</v>
      </c>
      <c r="M121" s="5">
        <f t="shared" si="83"/>
        <v>0.21116644072295618</v>
      </c>
      <c r="N121" s="45">
        <f>N103/29.7</f>
        <v>1</v>
      </c>
      <c r="O121" s="31">
        <f t="shared" si="79"/>
        <v>0.48921754215833912</v>
      </c>
      <c r="P121" s="31">
        <f t="shared" si="80"/>
        <v>0.48761675311164976</v>
      </c>
    </row>
    <row r="122" spans="2:23" x14ac:dyDescent="0.35">
      <c r="B122" t="s">
        <v>509</v>
      </c>
      <c r="C122" t="s">
        <v>276</v>
      </c>
      <c r="D122" t="s">
        <v>486</v>
      </c>
      <c r="E122">
        <v>1</v>
      </c>
      <c r="F122" s="6">
        <f t="shared" si="78"/>
        <v>0.11024942375428376</v>
      </c>
      <c r="G122" s="6">
        <f t="shared" si="83"/>
        <v>1.7203320082618441</v>
      </c>
      <c r="H122" s="5">
        <f t="shared" si="83"/>
        <v>0</v>
      </c>
      <c r="I122" s="5">
        <f t="shared" si="83"/>
        <v>0</v>
      </c>
      <c r="J122" s="5">
        <f t="shared" si="83"/>
        <v>0</v>
      </c>
      <c r="K122" s="5">
        <f t="shared" si="83"/>
        <v>0</v>
      </c>
      <c r="L122" s="5">
        <f t="shared" si="83"/>
        <v>0</v>
      </c>
      <c r="M122" s="5">
        <f t="shared" si="83"/>
        <v>9.3442652819827776E-2</v>
      </c>
      <c r="N122" s="45">
        <f>N104/29.7</f>
        <v>1</v>
      </c>
      <c r="O122" s="31">
        <f t="shared" si="79"/>
        <v>0.58128314487990063</v>
      </c>
      <c r="P122" s="31">
        <f t="shared" si="80"/>
        <v>0.58128314487990063</v>
      </c>
    </row>
    <row r="125" spans="2:23" ht="21" x14ac:dyDescent="0.5">
      <c r="B125" s="66" t="s">
        <v>560</v>
      </c>
      <c r="C125" s="67"/>
      <c r="D125" s="67"/>
      <c r="E125" s="67"/>
      <c r="F125" s="67"/>
      <c r="G125" s="67"/>
      <c r="H125" s="67"/>
      <c r="I125" s="67"/>
      <c r="J125" s="67"/>
      <c r="K125" s="67"/>
      <c r="L125" s="67"/>
      <c r="M125" s="67"/>
      <c r="N125" s="67"/>
      <c r="O125" s="67"/>
      <c r="P125" s="67"/>
      <c r="Q125" s="67"/>
      <c r="R125" s="67"/>
      <c r="S125" s="67"/>
      <c r="T125" s="67"/>
      <c r="U125" s="67"/>
      <c r="V125" s="67"/>
      <c r="W125" s="67"/>
    </row>
    <row r="126" spans="2:23" x14ac:dyDescent="0.35">
      <c r="B126" s="10" t="s">
        <v>497</v>
      </c>
    </row>
    <row r="127" spans="2:23" x14ac:dyDescent="0.35">
      <c r="B127" t="s">
        <v>1</v>
      </c>
      <c r="C127" t="s">
        <v>475</v>
      </c>
      <c r="D127" t="s">
        <v>476</v>
      </c>
      <c r="E127" t="s">
        <v>477</v>
      </c>
      <c r="F127" t="s">
        <v>510</v>
      </c>
      <c r="G127" t="s">
        <v>510</v>
      </c>
      <c r="H127" t="s">
        <v>478</v>
      </c>
      <c r="I127" t="s">
        <v>488</v>
      </c>
      <c r="J127" t="s">
        <v>514</v>
      </c>
      <c r="K127" t="s">
        <v>258</v>
      </c>
      <c r="L127" t="s">
        <v>489</v>
      </c>
      <c r="M127" t="s">
        <v>441</v>
      </c>
      <c r="N127" t="s">
        <v>511</v>
      </c>
      <c r="O127" t="s">
        <v>515</v>
      </c>
      <c r="P127" t="s">
        <v>516</v>
      </c>
      <c r="Q127" t="s">
        <v>561</v>
      </c>
      <c r="R127" t="s">
        <v>562</v>
      </c>
      <c r="S127" t="s">
        <v>563</v>
      </c>
      <c r="T127" t="s">
        <v>564</v>
      </c>
      <c r="U127" t="s">
        <v>565</v>
      </c>
      <c r="V127" t="s">
        <v>574</v>
      </c>
      <c r="W127" t="s">
        <v>591</v>
      </c>
    </row>
    <row r="128" spans="2:23" x14ac:dyDescent="0.35">
      <c r="B128" t="s">
        <v>8</v>
      </c>
      <c r="E128" t="s">
        <v>9</v>
      </c>
      <c r="F128" t="s">
        <v>115</v>
      </c>
      <c r="G128" t="s">
        <v>479</v>
      </c>
      <c r="H128" t="s">
        <v>479</v>
      </c>
      <c r="I128" t="s">
        <v>479</v>
      </c>
      <c r="J128" t="s">
        <v>479</v>
      </c>
      <c r="K128" t="s">
        <v>259</v>
      </c>
      <c r="L128" t="s">
        <v>479</v>
      </c>
      <c r="M128" s="6"/>
      <c r="N128" t="s">
        <v>479</v>
      </c>
      <c r="O128" t="s">
        <v>493</v>
      </c>
      <c r="P128" t="s">
        <v>493</v>
      </c>
      <c r="Q128" t="s">
        <v>259</v>
      </c>
      <c r="R128" t="s">
        <v>115</v>
      </c>
      <c r="S128" t="s">
        <v>115</v>
      </c>
      <c r="T128" t="s">
        <v>115</v>
      </c>
      <c r="U128" t="s">
        <v>115</v>
      </c>
      <c r="V128" t="s">
        <v>115</v>
      </c>
    </row>
    <row r="129" spans="2:23" x14ac:dyDescent="0.35">
      <c r="B129" t="s">
        <v>498</v>
      </c>
      <c r="C129" t="s">
        <v>3</v>
      </c>
      <c r="D129" t="s">
        <v>22</v>
      </c>
      <c r="E129">
        <v>1</v>
      </c>
      <c r="F129" s="45">
        <f>GREET!B87</f>
        <v>3.9394735346660368</v>
      </c>
      <c r="G129" s="46">
        <f>F129*S6</f>
        <v>56.854482052300234</v>
      </c>
      <c r="H129" s="6">
        <f>GREET!B88</f>
        <v>6.3592381373341833E-2</v>
      </c>
      <c r="I129" s="6"/>
      <c r="J129" s="6"/>
      <c r="K129" s="6"/>
      <c r="L129" s="6">
        <f>SUM(H129:J129)+(K129*3.6)</f>
        <v>6.3592381373341833E-2</v>
      </c>
      <c r="M129" s="6">
        <f>GREET!B96</f>
        <v>3.8075600459644638</v>
      </c>
      <c r="N129">
        <v>29.7</v>
      </c>
      <c r="O129" s="31">
        <f t="shared" ref="O129:O142" si="84">N129/G129</f>
        <v>0.52238625571646358</v>
      </c>
      <c r="P129" s="31">
        <f t="shared" ref="P129:P142" si="85">N129/SUM(G129,L129)</f>
        <v>0.52180261358998192</v>
      </c>
      <c r="Q129" s="6">
        <f>GREET!B98</f>
        <v>-0.50274302587613584</v>
      </c>
      <c r="R129" s="6"/>
      <c r="S129" s="6"/>
      <c r="T129" s="6"/>
      <c r="U129" s="6"/>
    </row>
    <row r="130" spans="2:23" x14ac:dyDescent="0.35">
      <c r="B130" t="s">
        <v>499</v>
      </c>
      <c r="C130" t="s">
        <v>3</v>
      </c>
      <c r="D130" t="s">
        <v>22</v>
      </c>
      <c r="E130">
        <v>1</v>
      </c>
      <c r="F130" s="45">
        <f>GREET!B281</f>
        <v>3.9394735346660368</v>
      </c>
      <c r="G130" s="46">
        <f>F130*S7</f>
        <v>62.401260789110019</v>
      </c>
      <c r="H130" s="6">
        <f>GREET!B282</f>
        <v>0.11905906957120109</v>
      </c>
      <c r="I130" s="6"/>
      <c r="J130" s="6"/>
      <c r="K130" s="6"/>
      <c r="L130" s="6">
        <f t="shared" ref="L130:L142" si="86">SUM(H130:J130)+(K130*3.6)</f>
        <v>0.11905906957120109</v>
      </c>
      <c r="M130" s="6">
        <f>GREET!B290</f>
        <v>4.2372909507042831</v>
      </c>
      <c r="N130">
        <v>29.7</v>
      </c>
      <c r="O130" s="31">
        <f t="shared" si="84"/>
        <v>0.47595192187500013</v>
      </c>
      <c r="P130" s="31">
        <f t="shared" si="85"/>
        <v>0.47504555426352357</v>
      </c>
      <c r="Q130" s="6">
        <f>GREET!B292</f>
        <v>-0.50274302587613584</v>
      </c>
      <c r="R130" s="6"/>
      <c r="S130" s="6"/>
      <c r="T130" s="6"/>
      <c r="U130" s="6"/>
    </row>
    <row r="131" spans="2:23" x14ac:dyDescent="0.35">
      <c r="B131" t="s">
        <v>500</v>
      </c>
      <c r="C131" t="s">
        <v>3</v>
      </c>
      <c r="D131" t="s">
        <v>22</v>
      </c>
      <c r="E131">
        <v>1</v>
      </c>
      <c r="F131" s="45">
        <f>GREET!B475</f>
        <v>3.9394735346660368</v>
      </c>
      <c r="G131" s="46">
        <f>F131*S8</f>
        <v>60.321218762806353</v>
      </c>
      <c r="H131" s="6">
        <f>GREET!B476</f>
        <v>0.11905906957120109</v>
      </c>
      <c r="I131" s="6"/>
      <c r="J131" s="6"/>
      <c r="K131" s="6"/>
      <c r="L131" s="6">
        <f t="shared" si="86"/>
        <v>0.11905906957120109</v>
      </c>
      <c r="M131" s="6">
        <f>GREET!B482</f>
        <v>5.0150079812433779</v>
      </c>
      <c r="N131">
        <v>29.7</v>
      </c>
      <c r="O131" s="31">
        <f t="shared" si="84"/>
        <v>0.49236405711206904</v>
      </c>
      <c r="P131" s="31">
        <f t="shared" si="85"/>
        <v>0.49139416735258384</v>
      </c>
      <c r="Q131" s="6">
        <f>GREET!B484</f>
        <v>-0.50274302587613584</v>
      </c>
      <c r="R131" s="6"/>
      <c r="S131" s="6"/>
      <c r="T131" s="6"/>
      <c r="U131" s="6"/>
    </row>
    <row r="132" spans="2:23" x14ac:dyDescent="0.35">
      <c r="B132" t="s">
        <v>501</v>
      </c>
      <c r="C132" t="s">
        <v>3</v>
      </c>
      <c r="D132" t="s">
        <v>22</v>
      </c>
      <c r="E132">
        <v>1</v>
      </c>
      <c r="F132" s="45">
        <f>GREET!B617</f>
        <v>3.9394735346660368</v>
      </c>
      <c r="G132" s="46">
        <f>F132*S9</f>
        <v>74.456049805188087</v>
      </c>
      <c r="H132" s="6">
        <f>GREET!B618</f>
        <v>0.11905906957120109</v>
      </c>
      <c r="I132" s="6"/>
      <c r="J132" s="6"/>
      <c r="K132" s="6"/>
      <c r="L132" s="6">
        <f t="shared" si="86"/>
        <v>0.11905906957120109</v>
      </c>
      <c r="M132" s="6">
        <f>GREET!B621</f>
        <v>5.2164470977455268</v>
      </c>
      <c r="N132">
        <v>29.7</v>
      </c>
      <c r="O132" s="31">
        <f t="shared" si="84"/>
        <v>0.3988930392857144</v>
      </c>
      <c r="P132" s="31">
        <f t="shared" si="85"/>
        <v>0.39825620703923997</v>
      </c>
      <c r="Q132" s="6">
        <f>GREET!B622</f>
        <v>-0.50274302587613584</v>
      </c>
      <c r="R132" s="6"/>
      <c r="S132" s="6"/>
      <c r="T132" s="6"/>
      <c r="U132" s="6"/>
    </row>
    <row r="133" spans="2:23" x14ac:dyDescent="0.35">
      <c r="B133" t="s">
        <v>502</v>
      </c>
      <c r="C133" t="s">
        <v>3</v>
      </c>
      <c r="D133" t="s">
        <v>22</v>
      </c>
      <c r="E133">
        <v>1</v>
      </c>
      <c r="F133" s="45">
        <f>GREET!B808</f>
        <v>3.9394735346660368</v>
      </c>
      <c r="G133" s="46">
        <f>F133*S10</f>
        <v>68.152892149722433</v>
      </c>
      <c r="H133" s="6">
        <f>GREET!B809</f>
        <v>6.3592381373341833E-2</v>
      </c>
      <c r="I133" s="6"/>
      <c r="J133" s="6"/>
      <c r="K133" s="6"/>
      <c r="L133" s="6">
        <f t="shared" si="86"/>
        <v>6.3592381373341833E-2</v>
      </c>
      <c r="M133" s="6">
        <f>GREET!B817</f>
        <v>5.0155825433048093</v>
      </c>
      <c r="N133">
        <v>29.7</v>
      </c>
      <c r="O133" s="31">
        <f t="shared" si="84"/>
        <v>0.43578488106936425</v>
      </c>
      <c r="P133" s="31">
        <f t="shared" si="85"/>
        <v>0.43537863617791039</v>
      </c>
      <c r="Q133" s="6">
        <f>GREET!B819</f>
        <v>-0.50274302587613584</v>
      </c>
      <c r="R133" s="6"/>
      <c r="S133" s="6"/>
      <c r="T133" s="6"/>
      <c r="U133" s="6"/>
    </row>
    <row r="134" spans="2:23" x14ac:dyDescent="0.35">
      <c r="B134" t="s">
        <v>503</v>
      </c>
      <c r="C134" t="s">
        <v>3</v>
      </c>
      <c r="D134" t="s">
        <v>22</v>
      </c>
      <c r="E134">
        <v>1</v>
      </c>
      <c r="F134" s="45">
        <f>GREET!B967</f>
        <v>3.9394735346660368</v>
      </c>
      <c r="G134" s="46">
        <f>F134*S11</f>
        <v>57.547829394401468</v>
      </c>
      <c r="H134" s="6">
        <f>GREET!B968</f>
        <v>6.3592381373341833E-2</v>
      </c>
      <c r="I134" s="6"/>
      <c r="J134" s="6"/>
      <c r="K134" s="6"/>
      <c r="L134" s="6">
        <f t="shared" si="86"/>
        <v>6.3592381373341833E-2</v>
      </c>
      <c r="M134" s="6">
        <f>GREET!B976</f>
        <v>4.8490255327456744</v>
      </c>
      <c r="N134">
        <v>29.7</v>
      </c>
      <c r="O134" s="31">
        <f t="shared" si="84"/>
        <v>0.51609244540662658</v>
      </c>
      <c r="P134" s="31">
        <f t="shared" si="85"/>
        <v>0.51552277455663553</v>
      </c>
      <c r="Q134" s="6">
        <f>GREET!B978</f>
        <v>-0.50274302587613584</v>
      </c>
      <c r="R134" s="6"/>
      <c r="S134" s="6"/>
      <c r="T134" s="6"/>
      <c r="U134" s="6"/>
    </row>
    <row r="135" spans="2:23" x14ac:dyDescent="0.35">
      <c r="B135" t="s">
        <v>504</v>
      </c>
      <c r="C135" t="s">
        <v>3</v>
      </c>
      <c r="D135" t="s">
        <v>22</v>
      </c>
      <c r="E135">
        <v>1</v>
      </c>
      <c r="F135" s="45">
        <f>GREET!B1149</f>
        <v>15.64744160965482</v>
      </c>
      <c r="G135" s="46">
        <f>F135*S12</f>
        <v>57.895533955722833</v>
      </c>
      <c r="H135" s="6">
        <f>GREET!B1150</f>
        <v>0.10598730228890306</v>
      </c>
      <c r="I135" s="6"/>
      <c r="J135" s="6"/>
      <c r="K135" s="6"/>
      <c r="L135" s="6">
        <f t="shared" si="86"/>
        <v>0.10598730228890306</v>
      </c>
      <c r="M135" s="6">
        <f>GREET!B1152</f>
        <v>4.9708743082481206</v>
      </c>
      <c r="N135">
        <v>29.7</v>
      </c>
      <c r="O135" s="31">
        <f t="shared" si="84"/>
        <v>0.51299293694594605</v>
      </c>
      <c r="P135" s="31">
        <f t="shared" si="85"/>
        <v>0.5120555350243946</v>
      </c>
      <c r="Q135" s="6">
        <f>GREET!B1154</f>
        <v>-0.73063276089828266</v>
      </c>
      <c r="R135" s="6"/>
      <c r="S135" s="6"/>
      <c r="T135" s="6"/>
      <c r="U135" s="6"/>
    </row>
    <row r="136" spans="2:23" x14ac:dyDescent="0.35">
      <c r="B136" t="s">
        <v>505</v>
      </c>
      <c r="C136" t="s">
        <v>3</v>
      </c>
      <c r="D136" t="s">
        <v>22</v>
      </c>
      <c r="E136">
        <v>1</v>
      </c>
      <c r="F136" s="45">
        <f>GREET!B1335</f>
        <v>3.0268115202934944</v>
      </c>
      <c r="G136" s="46">
        <f>F136*S13</f>
        <v>45.099491652373068</v>
      </c>
      <c r="H136" s="6"/>
      <c r="I136" s="6">
        <f>GREET!B1336</f>
        <v>9.3819959986136983</v>
      </c>
      <c r="J136" s="6"/>
      <c r="K136" s="6">
        <f>GREET!B1337</f>
        <v>0.24543911391161713</v>
      </c>
      <c r="L136" s="6">
        <f t="shared" si="86"/>
        <v>10.265576808695521</v>
      </c>
      <c r="M136" s="6">
        <f>GREET!B1343</f>
        <v>2.447635400742926</v>
      </c>
      <c r="N136">
        <v>29.7</v>
      </c>
      <c r="O136" s="31">
        <f t="shared" si="84"/>
        <v>0.65854400818811065</v>
      </c>
      <c r="P136" s="31">
        <f t="shared" si="85"/>
        <v>0.53643932583383946</v>
      </c>
      <c r="Q136" s="6">
        <f>GREET!B1345</f>
        <v>0</v>
      </c>
      <c r="R136" s="6">
        <f>GREET!B1346</f>
        <v>-0.31687157199471599</v>
      </c>
      <c r="S136" s="6"/>
      <c r="T136" s="6"/>
      <c r="U136" s="6"/>
    </row>
    <row r="137" spans="2:23" x14ac:dyDescent="0.35">
      <c r="B137" t="s">
        <v>506</v>
      </c>
      <c r="C137" t="s">
        <v>3</v>
      </c>
      <c r="D137" t="s">
        <v>22</v>
      </c>
      <c r="E137">
        <v>1</v>
      </c>
      <c r="F137" s="45">
        <f>GREET!B1514</f>
        <v>34.990099315215588</v>
      </c>
      <c r="G137" s="46">
        <f>F137*S14</f>
        <v>157.73536771299189</v>
      </c>
      <c r="H137" s="6"/>
      <c r="I137" s="6"/>
      <c r="J137" s="6"/>
      <c r="K137" s="6"/>
      <c r="L137" s="6">
        <f t="shared" si="86"/>
        <v>0</v>
      </c>
      <c r="M137" s="6">
        <f>GREET!B1516</f>
        <v>13.173730824720963</v>
      </c>
      <c r="N137">
        <v>29.7</v>
      </c>
      <c r="O137" s="31">
        <f t="shared" si="84"/>
        <v>0.18829004826641524</v>
      </c>
      <c r="P137" s="31">
        <f t="shared" si="85"/>
        <v>0.18829004826641524</v>
      </c>
      <c r="Q137" s="6">
        <f>GREET!B1518</f>
        <v>-2.8829247027741083</v>
      </c>
      <c r="R137" s="6"/>
      <c r="S137" s="6">
        <f>GREET!B1519</f>
        <v>-1.0295355614266841E-2</v>
      </c>
      <c r="T137" s="6">
        <f>GREET!B1520</f>
        <v>-2.5585487714663145E-2</v>
      </c>
      <c r="U137" s="6">
        <f>GREET!B1521</f>
        <v>0</v>
      </c>
    </row>
    <row r="138" spans="2:23" x14ac:dyDescent="0.35">
      <c r="B138" t="s">
        <v>507</v>
      </c>
      <c r="C138" t="s">
        <v>3</v>
      </c>
      <c r="D138" t="s">
        <v>22</v>
      </c>
      <c r="E138">
        <v>1</v>
      </c>
      <c r="F138" s="45">
        <f>GREET!B1674</f>
        <v>18.801530064380302</v>
      </c>
      <c r="G138" s="46">
        <f>F138*S15</f>
        <v>84.268457748552535</v>
      </c>
      <c r="H138" s="6"/>
      <c r="I138" s="6"/>
      <c r="J138" s="6"/>
      <c r="K138" s="6"/>
      <c r="L138" s="6">
        <f t="shared" si="86"/>
        <v>0</v>
      </c>
      <c r="M138" s="6">
        <f>GREET!B1679</f>
        <v>5.90367620076933</v>
      </c>
      <c r="N138">
        <v>29.7</v>
      </c>
      <c r="O138" s="31">
        <f t="shared" si="84"/>
        <v>0.35244504045180713</v>
      </c>
      <c r="P138" s="31">
        <f t="shared" si="85"/>
        <v>0.35244504045180713</v>
      </c>
      <c r="Q138" s="6">
        <f>GREET!B1681</f>
        <v>-0.53989696169088508</v>
      </c>
      <c r="R138" s="6"/>
      <c r="S138" s="6"/>
      <c r="T138" s="6"/>
      <c r="U138" s="6"/>
    </row>
    <row r="139" spans="2:23" x14ac:dyDescent="0.35">
      <c r="B139" t="s">
        <v>508</v>
      </c>
      <c r="C139" t="s">
        <v>3</v>
      </c>
      <c r="D139" t="s">
        <v>22</v>
      </c>
      <c r="E139">
        <v>1</v>
      </c>
      <c r="F139" s="45">
        <f>GREET!B1890</f>
        <v>2.973895234973678</v>
      </c>
      <c r="G139" s="46">
        <f>F139*S16</f>
        <v>41.176553423445554</v>
      </c>
      <c r="H139" s="6"/>
      <c r="I139" s="6">
        <f>GREET!B1891</f>
        <v>8.43023002405935</v>
      </c>
      <c r="J139" s="6"/>
      <c r="K139" s="6">
        <f>GREET!B1892</f>
        <v>0.24622420503968309</v>
      </c>
      <c r="L139" s="6">
        <f t="shared" si="86"/>
        <v>9.3166371622022091</v>
      </c>
      <c r="M139" s="6">
        <f>GREET!B1898</f>
        <v>2.4763615353916411</v>
      </c>
      <c r="N139">
        <v>29.7</v>
      </c>
      <c r="O139" s="31">
        <f t="shared" si="84"/>
        <v>0.72128426326932671</v>
      </c>
      <c r="P139" s="31">
        <f t="shared" si="85"/>
        <v>0.58819812445050668</v>
      </c>
      <c r="Q139" s="6"/>
      <c r="R139" s="6">
        <f>GREET!B1900</f>
        <v>-0.14373294505680315</v>
      </c>
      <c r="S139" s="6"/>
      <c r="T139" s="6"/>
      <c r="U139" s="6"/>
      <c r="V139" s="5">
        <f>GREET!B1901</f>
        <v>-2.8678595966921405E-2</v>
      </c>
    </row>
    <row r="140" spans="2:23" x14ac:dyDescent="0.35">
      <c r="B140" t="s">
        <v>590</v>
      </c>
      <c r="C140" t="s">
        <v>3</v>
      </c>
      <c r="D140" t="s">
        <v>22</v>
      </c>
      <c r="E140">
        <v>1</v>
      </c>
      <c r="F140" s="45">
        <f>GREET!B1958</f>
        <v>2.973895234973678</v>
      </c>
      <c r="G140" s="46">
        <f>F140*S16</f>
        <v>41.176553423445554</v>
      </c>
      <c r="H140" s="6"/>
      <c r="I140" s="6">
        <f>GREET!B1959</f>
        <v>8.43023002405935</v>
      </c>
      <c r="J140" s="6"/>
      <c r="K140" s="6">
        <f>GREET!B1960</f>
        <v>0.69196928141017844</v>
      </c>
      <c r="L140" s="6">
        <f t="shared" si="86"/>
        <v>10.921319437135992</v>
      </c>
      <c r="M140" s="6">
        <f>GREET!B1966</f>
        <v>6.1909038384791081E-2</v>
      </c>
      <c r="N140">
        <v>29.7</v>
      </c>
      <c r="O140" s="31">
        <f t="shared" ref="O140" si="87">N140/G140</f>
        <v>0.72128426326932671</v>
      </c>
      <c r="P140" s="31">
        <f t="shared" si="85"/>
        <v>0.57008085684188659</v>
      </c>
      <c r="Q140" s="6"/>
      <c r="R140" s="6">
        <f>GREET!B1968</f>
        <v>-0.14373294505680315</v>
      </c>
      <c r="S140" s="6"/>
      <c r="T140" s="6"/>
      <c r="U140" s="6"/>
      <c r="V140" s="5">
        <f>GREET!B1969</f>
        <v>-2.8678595966921405E-2</v>
      </c>
      <c r="W140" s="6">
        <f>GREET!B1970</f>
        <v>-2.4144524970068502</v>
      </c>
    </row>
    <row r="141" spans="2:23" x14ac:dyDescent="0.35">
      <c r="B141" t="s">
        <v>504</v>
      </c>
      <c r="C141" t="s">
        <v>276</v>
      </c>
      <c r="D141" t="s">
        <v>486</v>
      </c>
      <c r="E141">
        <v>1</v>
      </c>
      <c r="F141" s="45">
        <f>'Pereira et al. 2019'!B131</f>
        <v>14.875905198831346</v>
      </c>
      <c r="G141" s="46">
        <f>F141*S17</f>
        <v>55.040849235675978</v>
      </c>
      <c r="H141" s="6"/>
      <c r="I141" s="6"/>
      <c r="J141" s="6"/>
      <c r="K141" s="6"/>
      <c r="L141" s="6">
        <f t="shared" si="86"/>
        <v>0</v>
      </c>
      <c r="M141" s="6">
        <f>'Pereira et al. 2019'!B137</f>
        <v>5.5073602436169855</v>
      </c>
      <c r="N141">
        <v>29.7</v>
      </c>
      <c r="O141" s="31">
        <f t="shared" si="84"/>
        <v>0.53959923243243257</v>
      </c>
      <c r="P141" s="31">
        <f t="shared" si="85"/>
        <v>0.53959923243243257</v>
      </c>
      <c r="Q141" s="6">
        <f>'Pereira et al. 2019'!B138</f>
        <v>-0.38826112568949817</v>
      </c>
      <c r="R141" s="6"/>
      <c r="S141" s="6"/>
      <c r="T141" s="6"/>
      <c r="U141" s="6"/>
    </row>
    <row r="142" spans="2:23" x14ac:dyDescent="0.35">
      <c r="B142" t="s">
        <v>509</v>
      </c>
      <c r="C142" t="s">
        <v>276</v>
      </c>
      <c r="D142" t="s">
        <v>486</v>
      </c>
      <c r="E142">
        <v>1</v>
      </c>
      <c r="F142" s="45">
        <f>'Pereira et al. 2019'!B189</f>
        <v>4.4550000000000001</v>
      </c>
      <c r="G142" s="46">
        <f>F142*S18</f>
        <v>69.515820000000005</v>
      </c>
      <c r="H142" s="6"/>
      <c r="I142" s="6"/>
      <c r="J142" s="6"/>
      <c r="K142" s="6"/>
      <c r="L142" s="6">
        <f t="shared" si="86"/>
        <v>0</v>
      </c>
      <c r="M142" s="6">
        <f>'Pereira et al. 2019'!B195</f>
        <v>4.4659609499999995</v>
      </c>
      <c r="N142">
        <v>29.7</v>
      </c>
      <c r="O142" s="31">
        <f t="shared" si="84"/>
        <v>0.42724087840724595</v>
      </c>
      <c r="P142" s="31">
        <f t="shared" si="85"/>
        <v>0.42724087840724595</v>
      </c>
      <c r="Q142" s="6">
        <f>'Pereira et al. 2019'!B196</f>
        <v>-1.0725</v>
      </c>
      <c r="R142" s="6"/>
      <c r="S142" s="6"/>
      <c r="T142" s="6"/>
      <c r="U142" s="6"/>
    </row>
    <row r="144" spans="2:23" x14ac:dyDescent="0.35">
      <c r="B144" s="10" t="s">
        <v>517</v>
      </c>
    </row>
    <row r="145" spans="2:23" x14ac:dyDescent="0.35">
      <c r="B145" t="s">
        <v>1</v>
      </c>
      <c r="C145" t="s">
        <v>475</v>
      </c>
      <c r="D145" t="s">
        <v>476</v>
      </c>
      <c r="E145" t="s">
        <v>477</v>
      </c>
      <c r="F145" t="s">
        <v>510</v>
      </c>
      <c r="G145" t="s">
        <v>510</v>
      </c>
      <c r="H145" t="s">
        <v>478</v>
      </c>
      <c r="I145" t="s">
        <v>488</v>
      </c>
      <c r="J145" t="s">
        <v>514</v>
      </c>
      <c r="K145" t="s">
        <v>258</v>
      </c>
      <c r="L145" t="s">
        <v>489</v>
      </c>
      <c r="M145" t="s">
        <v>441</v>
      </c>
      <c r="N145" t="s">
        <v>511</v>
      </c>
      <c r="O145" t="s">
        <v>515</v>
      </c>
      <c r="P145" t="s">
        <v>516</v>
      </c>
      <c r="Q145" t="s">
        <v>561</v>
      </c>
      <c r="R145" t="s">
        <v>562</v>
      </c>
      <c r="S145" t="s">
        <v>563</v>
      </c>
      <c r="T145" t="s">
        <v>564</v>
      </c>
      <c r="U145" t="s">
        <v>565</v>
      </c>
      <c r="V145" t="s">
        <v>574</v>
      </c>
      <c r="W145" t="s">
        <v>591</v>
      </c>
    </row>
    <row r="146" spans="2:23" x14ac:dyDescent="0.35">
      <c r="B146" t="s">
        <v>8</v>
      </c>
      <c r="E146" t="s">
        <v>20</v>
      </c>
      <c r="F146" t="s">
        <v>115</v>
      </c>
      <c r="G146" t="s">
        <v>479</v>
      </c>
      <c r="H146" t="s">
        <v>479</v>
      </c>
      <c r="I146" t="s">
        <v>479</v>
      </c>
      <c r="J146" t="s">
        <v>479</v>
      </c>
      <c r="K146" t="s">
        <v>259</v>
      </c>
      <c r="L146" t="s">
        <v>479</v>
      </c>
      <c r="M146" t="s">
        <v>9</v>
      </c>
      <c r="N146" t="s">
        <v>479</v>
      </c>
      <c r="O146" t="s">
        <v>493</v>
      </c>
      <c r="P146" t="s">
        <v>493</v>
      </c>
      <c r="Q146" t="s">
        <v>259</v>
      </c>
      <c r="R146" t="s">
        <v>115</v>
      </c>
      <c r="S146" t="s">
        <v>115</v>
      </c>
      <c r="T146" t="s">
        <v>115</v>
      </c>
      <c r="U146" t="s">
        <v>115</v>
      </c>
    </row>
    <row r="147" spans="2:23" x14ac:dyDescent="0.35">
      <c r="B147" t="s">
        <v>498</v>
      </c>
      <c r="C147" t="s">
        <v>3</v>
      </c>
      <c r="D147" t="s">
        <v>22</v>
      </c>
      <c r="E147">
        <v>1</v>
      </c>
      <c r="F147" s="6">
        <f>F129/29.7</f>
        <v>0.13264220655441203</v>
      </c>
      <c r="G147" s="6">
        <f t="shared" ref="G147:N147" si="88">G129/29.7</f>
        <v>1.914292324993274</v>
      </c>
      <c r="H147" s="5">
        <f t="shared" si="88"/>
        <v>2.1411576219980415E-3</v>
      </c>
      <c r="I147" s="5">
        <f t="shared" si="88"/>
        <v>0</v>
      </c>
      <c r="J147" s="5">
        <f t="shared" si="88"/>
        <v>0</v>
      </c>
      <c r="K147" s="5">
        <f t="shared" si="88"/>
        <v>0</v>
      </c>
      <c r="L147" s="5">
        <f t="shared" si="88"/>
        <v>2.1411576219980415E-3</v>
      </c>
      <c r="M147" s="5">
        <f t="shared" si="88"/>
        <v>0.12820067494829845</v>
      </c>
      <c r="N147" s="45">
        <f t="shared" si="88"/>
        <v>1</v>
      </c>
      <c r="O147" s="31">
        <f t="shared" ref="O147:O160" si="89">N147/G147</f>
        <v>0.52238625571646358</v>
      </c>
      <c r="P147" s="31">
        <f>N147/SUM(G147:K147)</f>
        <v>0.52180261358998181</v>
      </c>
      <c r="Q147" s="5">
        <f t="shared" ref="Q147:U147" si="90">Q129/29.7</f>
        <v>-1.6927374608624104E-2</v>
      </c>
      <c r="R147" s="5">
        <f t="shared" si="90"/>
        <v>0</v>
      </c>
      <c r="S147" s="5">
        <f t="shared" si="90"/>
        <v>0</v>
      </c>
      <c r="T147" s="5">
        <f t="shared" si="90"/>
        <v>0</v>
      </c>
      <c r="U147" s="5">
        <f t="shared" si="90"/>
        <v>0</v>
      </c>
    </row>
    <row r="148" spans="2:23" x14ac:dyDescent="0.35">
      <c r="B148" t="s">
        <v>499</v>
      </c>
      <c r="C148" t="s">
        <v>3</v>
      </c>
      <c r="D148" t="s">
        <v>22</v>
      </c>
      <c r="E148">
        <v>1</v>
      </c>
      <c r="F148" s="6">
        <f t="shared" ref="F148:N148" si="91">F130/29.7</f>
        <v>0.13264220655441203</v>
      </c>
      <c r="G148" s="6">
        <f t="shared" si="91"/>
        <v>2.1010525518218861</v>
      </c>
      <c r="H148" s="5">
        <f t="shared" si="91"/>
        <v>4.0087228811852222E-3</v>
      </c>
      <c r="I148" s="5">
        <f t="shared" si="91"/>
        <v>0</v>
      </c>
      <c r="J148" s="5">
        <f t="shared" si="91"/>
        <v>0</v>
      </c>
      <c r="K148" s="5">
        <f t="shared" si="91"/>
        <v>0</v>
      </c>
      <c r="L148" s="5">
        <f t="shared" si="91"/>
        <v>4.0087228811852222E-3</v>
      </c>
      <c r="M148" s="5">
        <f t="shared" si="91"/>
        <v>0.14266972897994221</v>
      </c>
      <c r="N148" s="45">
        <f t="shared" si="91"/>
        <v>1</v>
      </c>
      <c r="O148" s="31">
        <f t="shared" si="89"/>
        <v>0.47595192187500013</v>
      </c>
      <c r="P148" s="31">
        <f t="shared" ref="P148:P160" si="92">N148/SUM(G148:K148)</f>
        <v>0.47504555426352357</v>
      </c>
      <c r="Q148" s="5">
        <f t="shared" ref="Q148:U148" si="93">Q130/29.7</f>
        <v>-1.6927374608624104E-2</v>
      </c>
      <c r="R148" s="5">
        <f t="shared" si="93"/>
        <v>0</v>
      </c>
      <c r="S148" s="5">
        <f t="shared" si="93"/>
        <v>0</v>
      </c>
      <c r="T148" s="5">
        <f t="shared" si="93"/>
        <v>0</v>
      </c>
      <c r="U148" s="5">
        <f t="shared" si="93"/>
        <v>0</v>
      </c>
    </row>
    <row r="149" spans="2:23" x14ac:dyDescent="0.35">
      <c r="B149" t="s">
        <v>500</v>
      </c>
      <c r="C149" t="s">
        <v>3</v>
      </c>
      <c r="D149" t="s">
        <v>22</v>
      </c>
      <c r="E149">
        <v>1</v>
      </c>
      <c r="F149" s="6">
        <f t="shared" ref="F149:N149" si="94">F131/29.7</f>
        <v>0.13264220655441203</v>
      </c>
      <c r="G149" s="6">
        <f t="shared" si="94"/>
        <v>2.0310174667611567</v>
      </c>
      <c r="H149" s="5">
        <f t="shared" si="94"/>
        <v>4.0087228811852222E-3</v>
      </c>
      <c r="I149" s="5">
        <f t="shared" si="94"/>
        <v>0</v>
      </c>
      <c r="J149" s="5">
        <f t="shared" si="94"/>
        <v>0</v>
      </c>
      <c r="K149" s="5">
        <f t="shared" si="94"/>
        <v>0</v>
      </c>
      <c r="L149" s="5">
        <f t="shared" si="94"/>
        <v>4.0087228811852222E-3</v>
      </c>
      <c r="M149" s="5">
        <f t="shared" si="94"/>
        <v>0.16885548758395211</v>
      </c>
      <c r="N149" s="45">
        <f t="shared" si="94"/>
        <v>1</v>
      </c>
      <c r="O149" s="31">
        <f t="shared" si="89"/>
        <v>0.4923640571120691</v>
      </c>
      <c r="P149" s="31">
        <f t="shared" si="92"/>
        <v>0.49139416735258379</v>
      </c>
      <c r="Q149" s="5">
        <f t="shared" ref="Q149:U149" si="95">Q131/29.7</f>
        <v>-1.6927374608624104E-2</v>
      </c>
      <c r="R149" s="5">
        <f t="shared" si="95"/>
        <v>0</v>
      </c>
      <c r="S149" s="5">
        <f t="shared" si="95"/>
        <v>0</v>
      </c>
      <c r="T149" s="5">
        <f t="shared" si="95"/>
        <v>0</v>
      </c>
      <c r="U149" s="5">
        <f t="shared" si="95"/>
        <v>0</v>
      </c>
    </row>
    <row r="150" spans="2:23" x14ac:dyDescent="0.35">
      <c r="B150" t="s">
        <v>501</v>
      </c>
      <c r="C150" t="s">
        <v>3</v>
      </c>
      <c r="D150" t="s">
        <v>22</v>
      </c>
      <c r="E150">
        <v>1</v>
      </c>
      <c r="F150" s="6">
        <f t="shared" ref="F150:N150" si="96">F132/29.7</f>
        <v>0.13264220655441203</v>
      </c>
      <c r="G150" s="6">
        <f t="shared" si="96"/>
        <v>2.5069377038783869</v>
      </c>
      <c r="H150" s="5">
        <f t="shared" si="96"/>
        <v>4.0087228811852222E-3</v>
      </c>
      <c r="I150" s="5">
        <f t="shared" si="96"/>
        <v>0</v>
      </c>
      <c r="J150" s="5">
        <f t="shared" si="96"/>
        <v>0</v>
      </c>
      <c r="K150" s="5">
        <f t="shared" si="96"/>
        <v>0</v>
      </c>
      <c r="L150" s="5">
        <f t="shared" si="96"/>
        <v>4.0087228811852222E-3</v>
      </c>
      <c r="M150" s="5">
        <f t="shared" si="96"/>
        <v>0.17563794941904132</v>
      </c>
      <c r="N150" s="45">
        <f t="shared" si="96"/>
        <v>1</v>
      </c>
      <c r="O150" s="31">
        <f t="shared" si="89"/>
        <v>0.3988930392857144</v>
      </c>
      <c r="P150" s="31">
        <f t="shared" si="92"/>
        <v>0.39825620703923997</v>
      </c>
      <c r="Q150" s="5">
        <f t="shared" ref="Q150:U150" si="97">Q132/29.7</f>
        <v>-1.6927374608624104E-2</v>
      </c>
      <c r="R150" s="5">
        <f t="shared" si="97"/>
        <v>0</v>
      </c>
      <c r="S150" s="5">
        <f t="shared" si="97"/>
        <v>0</v>
      </c>
      <c r="T150" s="5">
        <f t="shared" si="97"/>
        <v>0</v>
      </c>
      <c r="U150" s="5">
        <f t="shared" si="97"/>
        <v>0</v>
      </c>
    </row>
    <row r="151" spans="2:23" x14ac:dyDescent="0.35">
      <c r="B151" t="s">
        <v>502</v>
      </c>
      <c r="C151" t="s">
        <v>3</v>
      </c>
      <c r="D151" t="s">
        <v>22</v>
      </c>
      <c r="E151">
        <v>1</v>
      </c>
      <c r="F151" s="6">
        <f t="shared" ref="F151:N151" si="98">F133/29.7</f>
        <v>0.13264220655441203</v>
      </c>
      <c r="G151" s="6">
        <f t="shared" si="98"/>
        <v>2.2947101733913278</v>
      </c>
      <c r="H151" s="5">
        <f t="shared" si="98"/>
        <v>2.1411576219980415E-3</v>
      </c>
      <c r="I151" s="5">
        <f t="shared" si="98"/>
        <v>0</v>
      </c>
      <c r="J151" s="5">
        <f t="shared" si="98"/>
        <v>0</v>
      </c>
      <c r="K151" s="5">
        <f t="shared" si="98"/>
        <v>0</v>
      </c>
      <c r="L151" s="5">
        <f t="shared" si="98"/>
        <v>2.1411576219980415E-3</v>
      </c>
      <c r="M151" s="5">
        <f t="shared" si="98"/>
        <v>0.16887483310790605</v>
      </c>
      <c r="N151" s="45">
        <f t="shared" si="98"/>
        <v>1</v>
      </c>
      <c r="O151" s="31">
        <f t="shared" si="89"/>
        <v>0.43578488106936425</v>
      </c>
      <c r="P151" s="31">
        <f t="shared" si="92"/>
        <v>0.43537863617791039</v>
      </c>
      <c r="Q151" s="5">
        <f t="shared" ref="Q151:U151" si="99">Q133/29.7</f>
        <v>-1.6927374608624104E-2</v>
      </c>
      <c r="R151" s="5">
        <f t="shared" si="99"/>
        <v>0</v>
      </c>
      <c r="S151" s="5">
        <f t="shared" si="99"/>
        <v>0</v>
      </c>
      <c r="T151" s="5">
        <f t="shared" si="99"/>
        <v>0</v>
      </c>
      <c r="U151" s="5">
        <f t="shared" si="99"/>
        <v>0</v>
      </c>
    </row>
    <row r="152" spans="2:23" x14ac:dyDescent="0.35">
      <c r="B152" t="s">
        <v>503</v>
      </c>
      <c r="C152" t="s">
        <v>3</v>
      </c>
      <c r="D152" t="s">
        <v>22</v>
      </c>
      <c r="E152">
        <v>1</v>
      </c>
      <c r="F152" s="6">
        <f t="shared" ref="F152:N152" si="100">F134/29.7</f>
        <v>0.13264220655441203</v>
      </c>
      <c r="G152" s="6">
        <f t="shared" si="100"/>
        <v>1.9376373533468507</v>
      </c>
      <c r="H152" s="5">
        <f t="shared" si="100"/>
        <v>2.1411576219980415E-3</v>
      </c>
      <c r="I152" s="5">
        <f t="shared" si="100"/>
        <v>0</v>
      </c>
      <c r="J152" s="5">
        <f t="shared" si="100"/>
        <v>0</v>
      </c>
      <c r="K152" s="5">
        <f t="shared" si="100"/>
        <v>0</v>
      </c>
      <c r="L152" s="5">
        <f t="shared" si="100"/>
        <v>2.1411576219980415E-3</v>
      </c>
      <c r="M152" s="5">
        <f t="shared" si="100"/>
        <v>0.16326685295439983</v>
      </c>
      <c r="N152" s="45">
        <f t="shared" si="100"/>
        <v>1</v>
      </c>
      <c r="O152" s="31">
        <f t="shared" si="89"/>
        <v>0.51609244540662658</v>
      </c>
      <c r="P152" s="31">
        <f t="shared" si="92"/>
        <v>0.51552277455663553</v>
      </c>
      <c r="Q152" s="5">
        <f t="shared" ref="Q152:U152" si="101">Q134/29.7</f>
        <v>-1.6927374608624104E-2</v>
      </c>
      <c r="R152" s="5">
        <f t="shared" si="101"/>
        <v>0</v>
      </c>
      <c r="S152" s="5">
        <f t="shared" si="101"/>
        <v>0</v>
      </c>
      <c r="T152" s="5">
        <f t="shared" si="101"/>
        <v>0</v>
      </c>
      <c r="U152" s="5">
        <f t="shared" si="101"/>
        <v>0</v>
      </c>
    </row>
    <row r="153" spans="2:23" x14ac:dyDescent="0.35">
      <c r="B153" t="s">
        <v>504</v>
      </c>
      <c r="C153" t="s">
        <v>3</v>
      </c>
      <c r="D153" t="s">
        <v>22</v>
      </c>
      <c r="E153">
        <v>1</v>
      </c>
      <c r="F153" s="6">
        <f t="shared" ref="F153:N153" si="102">F135/29.7</f>
        <v>0.52684988584696368</v>
      </c>
      <c r="G153" s="6">
        <f t="shared" si="102"/>
        <v>1.9493445776337655</v>
      </c>
      <c r="H153" s="5">
        <f t="shared" si="102"/>
        <v>3.5685960366634026E-3</v>
      </c>
      <c r="I153" s="5">
        <f t="shared" si="102"/>
        <v>0</v>
      </c>
      <c r="J153" s="5">
        <f t="shared" si="102"/>
        <v>0</v>
      </c>
      <c r="K153" s="5">
        <f t="shared" si="102"/>
        <v>0</v>
      </c>
      <c r="L153" s="5">
        <f t="shared" si="102"/>
        <v>3.5685960366634026E-3</v>
      </c>
      <c r="M153" s="5">
        <f t="shared" si="102"/>
        <v>0.16736950532821956</v>
      </c>
      <c r="N153" s="45">
        <f t="shared" si="102"/>
        <v>1</v>
      </c>
      <c r="O153" s="31">
        <f t="shared" si="89"/>
        <v>0.51299293694594605</v>
      </c>
      <c r="P153" s="31">
        <f t="shared" si="92"/>
        <v>0.51205553502439471</v>
      </c>
      <c r="Q153" s="5">
        <f t="shared" ref="Q153:U153" si="103">Q135/29.7</f>
        <v>-2.4600429659874839E-2</v>
      </c>
      <c r="R153" s="5">
        <f t="shared" si="103"/>
        <v>0</v>
      </c>
      <c r="S153" s="5">
        <f t="shared" si="103"/>
        <v>0</v>
      </c>
      <c r="T153" s="5">
        <f t="shared" si="103"/>
        <v>0</v>
      </c>
      <c r="U153" s="5">
        <f t="shared" si="103"/>
        <v>0</v>
      </c>
    </row>
    <row r="154" spans="2:23" x14ac:dyDescent="0.35">
      <c r="B154" t="s">
        <v>505</v>
      </c>
      <c r="C154" t="s">
        <v>3</v>
      </c>
      <c r="D154" t="s">
        <v>22</v>
      </c>
      <c r="E154">
        <v>1</v>
      </c>
      <c r="F154" s="6">
        <f t="shared" ref="F154:N154" si="104">F136/29.7</f>
        <v>0.10191284580112776</v>
      </c>
      <c r="G154" s="6">
        <f t="shared" si="104"/>
        <v>1.5185014024368038</v>
      </c>
      <c r="H154" s="5">
        <f t="shared" si="104"/>
        <v>0</v>
      </c>
      <c r="I154" s="5">
        <f t="shared" si="104"/>
        <v>0.31589212116544441</v>
      </c>
      <c r="J154" s="5">
        <f t="shared" si="104"/>
        <v>0</v>
      </c>
      <c r="K154" s="5">
        <f t="shared" si="104"/>
        <v>8.2639432293473789E-3</v>
      </c>
      <c r="L154" s="5">
        <f t="shared" si="104"/>
        <v>0.34564231679109497</v>
      </c>
      <c r="M154" s="5">
        <f t="shared" si="104"/>
        <v>8.2411966354980673E-2</v>
      </c>
      <c r="N154" s="45">
        <f t="shared" si="104"/>
        <v>1</v>
      </c>
      <c r="O154" s="31">
        <f t="shared" si="89"/>
        <v>0.65854400818811065</v>
      </c>
      <c r="P154" s="31">
        <f t="shared" si="92"/>
        <v>0.54269446058223481</v>
      </c>
      <c r="Q154" s="5">
        <f t="shared" ref="Q154:U154" si="105">Q136/29.7</f>
        <v>0</v>
      </c>
      <c r="R154" s="5">
        <f t="shared" si="105"/>
        <v>-1.0669076498138585E-2</v>
      </c>
      <c r="S154" s="5">
        <f t="shared" si="105"/>
        <v>0</v>
      </c>
      <c r="T154" s="5">
        <f t="shared" si="105"/>
        <v>0</v>
      </c>
      <c r="U154" s="5">
        <f t="shared" si="105"/>
        <v>0</v>
      </c>
    </row>
    <row r="155" spans="2:23" x14ac:dyDescent="0.35">
      <c r="B155" t="s">
        <v>506</v>
      </c>
      <c r="C155" t="s">
        <v>3</v>
      </c>
      <c r="D155" t="s">
        <v>22</v>
      </c>
      <c r="E155">
        <v>1</v>
      </c>
      <c r="F155" s="6">
        <f t="shared" ref="F155:N155" si="106">F137/29.7</f>
        <v>1.178117822061131</v>
      </c>
      <c r="G155" s="6">
        <f t="shared" si="106"/>
        <v>5.3109551418515792</v>
      </c>
      <c r="H155" s="5">
        <f t="shared" si="106"/>
        <v>0</v>
      </c>
      <c r="I155" s="5">
        <f t="shared" si="106"/>
        <v>0</v>
      </c>
      <c r="J155" s="5">
        <f t="shared" si="106"/>
        <v>0</v>
      </c>
      <c r="K155" s="5">
        <f t="shared" si="106"/>
        <v>0</v>
      </c>
      <c r="L155" s="5">
        <f t="shared" si="106"/>
        <v>0</v>
      </c>
      <c r="M155" s="5">
        <f t="shared" si="106"/>
        <v>0.44355996042831525</v>
      </c>
      <c r="N155" s="45">
        <f t="shared" si="106"/>
        <v>1</v>
      </c>
      <c r="O155" s="31">
        <f t="shared" si="89"/>
        <v>0.18829004826641524</v>
      </c>
      <c r="P155" s="31">
        <f t="shared" si="92"/>
        <v>0.18829004826641524</v>
      </c>
      <c r="Q155" s="5">
        <f>Q137/29.7</f>
        <v>-9.7068171810576045E-2</v>
      </c>
      <c r="R155" s="5">
        <f>R137/29.7</f>
        <v>0</v>
      </c>
      <c r="S155" s="5">
        <f>S137/29.7</f>
        <v>-3.4664497017733475E-4</v>
      </c>
      <c r="T155" s="5">
        <f>T137/29.7</f>
        <v>-8.614642328169409E-4</v>
      </c>
      <c r="U155" s="5">
        <f>U137/29.7</f>
        <v>0</v>
      </c>
    </row>
    <row r="156" spans="2:23" x14ac:dyDescent="0.35">
      <c r="B156" t="s">
        <v>507</v>
      </c>
      <c r="C156" t="s">
        <v>3</v>
      </c>
      <c r="D156" t="s">
        <v>22</v>
      </c>
      <c r="E156">
        <v>1</v>
      </c>
      <c r="F156" s="6">
        <f t="shared" ref="F156:N156" si="107">F138/29.7</f>
        <v>0.63304815031583506</v>
      </c>
      <c r="G156" s="6">
        <f t="shared" si="107"/>
        <v>2.8373218097155735</v>
      </c>
      <c r="H156" s="5">
        <f t="shared" si="107"/>
        <v>0</v>
      </c>
      <c r="I156" s="5">
        <f t="shared" si="107"/>
        <v>0</v>
      </c>
      <c r="J156" s="5">
        <f t="shared" si="107"/>
        <v>0</v>
      </c>
      <c r="K156" s="5">
        <f t="shared" si="107"/>
        <v>0</v>
      </c>
      <c r="L156" s="5">
        <f t="shared" si="107"/>
        <v>0</v>
      </c>
      <c r="M156" s="5">
        <f t="shared" si="107"/>
        <v>0.19877697645687981</v>
      </c>
      <c r="N156" s="45">
        <f t="shared" si="107"/>
        <v>1</v>
      </c>
      <c r="O156" s="31">
        <f t="shared" si="89"/>
        <v>0.35244504045180719</v>
      </c>
      <c r="P156" s="31">
        <f t="shared" si="92"/>
        <v>0.35244504045180719</v>
      </c>
      <c r="Q156" s="5">
        <f t="shared" ref="Q156:U156" si="108">Q138/29.7</f>
        <v>-1.8178348878480979E-2</v>
      </c>
      <c r="R156" s="5">
        <f t="shared" si="108"/>
        <v>0</v>
      </c>
      <c r="S156" s="5">
        <f t="shared" si="108"/>
        <v>0</v>
      </c>
      <c r="T156" s="5">
        <f t="shared" si="108"/>
        <v>0</v>
      </c>
      <c r="U156" s="5">
        <f t="shared" si="108"/>
        <v>0</v>
      </c>
    </row>
    <row r="157" spans="2:23" x14ac:dyDescent="0.35">
      <c r="B157" t="s">
        <v>508</v>
      </c>
      <c r="C157" t="s">
        <v>3</v>
      </c>
      <c r="D157" t="s">
        <v>22</v>
      </c>
      <c r="E157">
        <v>1</v>
      </c>
      <c r="F157" s="6">
        <f t="shared" ref="F157:N158" si="109">F139/29.7</f>
        <v>0.10013115269271644</v>
      </c>
      <c r="G157" s="6">
        <f t="shared" si="109"/>
        <v>1.386415940183352</v>
      </c>
      <c r="H157" s="5">
        <f t="shared" si="109"/>
        <v>0</v>
      </c>
      <c r="I157" s="5">
        <f t="shared" si="109"/>
        <v>0.28384612875620707</v>
      </c>
      <c r="J157" s="5">
        <f t="shared" si="109"/>
        <v>0</v>
      </c>
      <c r="K157" s="5">
        <f t="shared" si="109"/>
        <v>8.2903772740634037E-3</v>
      </c>
      <c r="L157" s="5">
        <f t="shared" si="109"/>
        <v>0.31369148694283533</v>
      </c>
      <c r="M157" s="5">
        <f t="shared" si="109"/>
        <v>8.337917627581283E-2</v>
      </c>
      <c r="N157" s="45">
        <f t="shared" si="109"/>
        <v>1</v>
      </c>
      <c r="O157" s="31">
        <f t="shared" si="89"/>
        <v>0.72128426326932671</v>
      </c>
      <c r="P157" s="31">
        <f t="shared" si="92"/>
        <v>0.59575141798860065</v>
      </c>
      <c r="Q157" s="5">
        <f t="shared" ref="Q157:U158" si="110">Q139/29.7</f>
        <v>0</v>
      </c>
      <c r="R157" s="5">
        <f t="shared" si="110"/>
        <v>-4.8394930995556617E-3</v>
      </c>
      <c r="S157" s="5">
        <f t="shared" si="110"/>
        <v>0</v>
      </c>
      <c r="T157" s="5">
        <f t="shared" si="110"/>
        <v>0</v>
      </c>
      <c r="U157" s="5">
        <f t="shared" si="110"/>
        <v>0</v>
      </c>
      <c r="V157" s="5">
        <f>V139/29.7</f>
        <v>-9.6560929181553558E-4</v>
      </c>
      <c r="W157" s="5">
        <f>W139/29.7</f>
        <v>0</v>
      </c>
    </row>
    <row r="158" spans="2:23" x14ac:dyDescent="0.35">
      <c r="B158" t="s">
        <v>590</v>
      </c>
      <c r="C158" t="s">
        <v>3</v>
      </c>
      <c r="D158" t="s">
        <v>22</v>
      </c>
      <c r="E158">
        <v>1</v>
      </c>
      <c r="F158" s="6">
        <f>F140/29.7</f>
        <v>0.10013115269271644</v>
      </c>
      <c r="G158" s="6">
        <f t="shared" si="109"/>
        <v>1.386415940183352</v>
      </c>
      <c r="H158" s="5">
        <f t="shared" si="109"/>
        <v>0</v>
      </c>
      <c r="I158" s="5">
        <f t="shared" si="109"/>
        <v>0.28384612875620707</v>
      </c>
      <c r="J158" s="5">
        <f t="shared" si="109"/>
        <v>0</v>
      </c>
      <c r="K158" s="5">
        <f t="shared" si="109"/>
        <v>2.3298629003709711E-2</v>
      </c>
      <c r="L158" s="5">
        <f t="shared" si="109"/>
        <v>0.36772119316956203</v>
      </c>
      <c r="M158" s="5">
        <f t="shared" si="109"/>
        <v>2.0844794068953227E-3</v>
      </c>
      <c r="N158" s="45">
        <f t="shared" si="109"/>
        <v>1</v>
      </c>
      <c r="O158" s="31">
        <f t="shared" ref="O158" si="111">N158/G158</f>
        <v>0.72128426326932671</v>
      </c>
      <c r="P158" s="31">
        <f t="shared" ref="P158" si="112">N158/SUM(G158:K158)</f>
        <v>0.59047189818141266</v>
      </c>
      <c r="Q158" s="5">
        <f t="shared" si="110"/>
        <v>0</v>
      </c>
      <c r="R158" s="5">
        <f t="shared" si="110"/>
        <v>-4.8394930995556617E-3</v>
      </c>
      <c r="S158" s="5">
        <f t="shared" si="110"/>
        <v>0</v>
      </c>
      <c r="T158" s="5">
        <f t="shared" si="110"/>
        <v>0</v>
      </c>
      <c r="U158" s="5">
        <f t="shared" si="110"/>
        <v>0</v>
      </c>
      <c r="V158" s="5">
        <f>V140/29.7</f>
        <v>-9.6560929181553558E-4</v>
      </c>
      <c r="W158" s="5">
        <f>W140/29.7</f>
        <v>-8.1294696868917521E-2</v>
      </c>
    </row>
    <row r="159" spans="2:23" x14ac:dyDescent="0.35">
      <c r="B159" t="s">
        <v>504</v>
      </c>
      <c r="C159" t="s">
        <v>276</v>
      </c>
      <c r="D159" t="s">
        <v>486</v>
      </c>
      <c r="E159">
        <v>1</v>
      </c>
      <c r="F159" s="6">
        <f t="shared" ref="F159:N159" si="113">F141/29.7</f>
        <v>0.50087222891688032</v>
      </c>
      <c r="G159" s="6">
        <f t="shared" si="113"/>
        <v>1.8532272469924571</v>
      </c>
      <c r="H159" s="5">
        <f t="shared" si="113"/>
        <v>0</v>
      </c>
      <c r="I159" s="5">
        <f t="shared" si="113"/>
        <v>0</v>
      </c>
      <c r="J159" s="5">
        <f t="shared" si="113"/>
        <v>0</v>
      </c>
      <c r="K159" s="5">
        <f t="shared" si="113"/>
        <v>0</v>
      </c>
      <c r="L159" s="5">
        <f t="shared" si="113"/>
        <v>0</v>
      </c>
      <c r="M159" s="5">
        <f t="shared" si="113"/>
        <v>0.18543300483558875</v>
      </c>
      <c r="N159" s="45">
        <f t="shared" si="113"/>
        <v>1</v>
      </c>
      <c r="O159" s="31">
        <f t="shared" si="89"/>
        <v>0.53959923243243257</v>
      </c>
      <c r="P159" s="31">
        <f t="shared" si="92"/>
        <v>0.53959923243243257</v>
      </c>
      <c r="Q159" s="5">
        <f t="shared" ref="Q159:U159" si="114">Q141/29.7</f>
        <v>-1.3072765174730579E-2</v>
      </c>
      <c r="R159" s="5">
        <f t="shared" si="114"/>
        <v>0</v>
      </c>
      <c r="S159" s="5">
        <f t="shared" si="114"/>
        <v>0</v>
      </c>
      <c r="T159" s="5">
        <f t="shared" si="114"/>
        <v>0</v>
      </c>
      <c r="U159" s="5">
        <f t="shared" si="114"/>
        <v>0</v>
      </c>
    </row>
    <row r="160" spans="2:23" x14ac:dyDescent="0.35">
      <c r="B160" t="s">
        <v>509</v>
      </c>
      <c r="C160" t="s">
        <v>276</v>
      </c>
      <c r="D160" t="s">
        <v>486</v>
      </c>
      <c r="E160">
        <v>1</v>
      </c>
      <c r="F160" s="6">
        <f t="shared" ref="F160:N160" si="115">F142/29.7</f>
        <v>0.15</v>
      </c>
      <c r="G160" s="6">
        <f t="shared" si="115"/>
        <v>2.3406000000000002</v>
      </c>
      <c r="H160" s="5">
        <f t="shared" si="115"/>
        <v>0</v>
      </c>
      <c r="I160" s="5">
        <f t="shared" si="115"/>
        <v>0</v>
      </c>
      <c r="J160" s="5">
        <f t="shared" si="115"/>
        <v>0</v>
      </c>
      <c r="K160" s="5">
        <f t="shared" si="115"/>
        <v>0</v>
      </c>
      <c r="L160" s="5">
        <f t="shared" si="115"/>
        <v>0</v>
      </c>
      <c r="M160" s="5">
        <f t="shared" si="115"/>
        <v>0.15036905555555555</v>
      </c>
      <c r="N160" s="45">
        <f t="shared" si="115"/>
        <v>1</v>
      </c>
      <c r="O160" s="31">
        <f t="shared" si="89"/>
        <v>0.42724087840724595</v>
      </c>
      <c r="P160" s="31">
        <f t="shared" si="92"/>
        <v>0.42724087840724595</v>
      </c>
      <c r="Q160" s="5">
        <f t="shared" ref="Q160:U160" si="116">Q142/29.7</f>
        <v>-3.6111111111111115E-2</v>
      </c>
      <c r="R160" s="5">
        <f t="shared" si="116"/>
        <v>0</v>
      </c>
      <c r="S160" s="5">
        <f t="shared" si="116"/>
        <v>0</v>
      </c>
      <c r="T160" s="5">
        <f t="shared" si="116"/>
        <v>0</v>
      </c>
      <c r="U160" s="5">
        <f t="shared" si="116"/>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44 G46:G47">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29:G139 G141:G142">
    <cfRule type="colorScale" priority="25">
      <colorScale>
        <cfvo type="min"/>
        <cfvo type="max"/>
        <color rgb="FFFCFCFF"/>
        <color rgb="FF63BE7B"/>
      </colorScale>
    </cfRule>
  </conditionalFormatting>
  <conditionalFormatting sqref="G45">
    <cfRule type="colorScale" priority="23">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02">
    <cfRule type="colorScale" priority="21">
      <colorScale>
        <cfvo type="min"/>
        <cfvo type="max"/>
        <color rgb="FFFCFCFF"/>
        <color rgb="FF63BE7B"/>
      </colorScale>
    </cfRule>
  </conditionalFormatting>
  <conditionalFormatting sqref="L102">
    <cfRule type="colorScale" priority="20">
      <colorScale>
        <cfvo type="min"/>
        <cfvo type="max"/>
        <color rgb="FFFCFCFF"/>
        <color rgb="FF63BE7B"/>
      </colorScale>
    </cfRule>
  </conditionalFormatting>
  <conditionalFormatting sqref="G140">
    <cfRule type="colorScale" priority="17">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91:G101 G103:G104 G48:G57">
    <cfRule type="colorScale" priority="71">
      <colorScale>
        <cfvo type="min"/>
        <cfvo type="max"/>
        <color rgb="FFFCFCFF"/>
        <color rgb="FF63BE7B"/>
      </colorScale>
    </cfRule>
  </conditionalFormatting>
  <conditionalFormatting sqref="L91:L104 L48:L57">
    <cfRule type="colorScale" priority="75">
      <colorScale>
        <cfvo type="min"/>
        <cfvo type="max"/>
        <color rgb="FFFCFCFF"/>
        <color rgb="FF63BE7B"/>
      </colorScale>
    </cfRule>
  </conditionalFormatting>
  <conditionalFormatting sqref="G91:G104 G48:G57">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29:L142">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108"/>
  <sheetViews>
    <sheetView topLeftCell="A545" workbookViewId="0">
      <selection activeCell="A570" sqref="A570:XFD570"/>
    </sheetView>
  </sheetViews>
  <sheetFormatPr defaultRowHeight="14.5" x14ac:dyDescent="0.35"/>
  <cols>
    <col min="1" max="1" width="42.54296875" bestFit="1" customWidth="1"/>
    <col min="2" max="2" width="32.453125" customWidth="1"/>
    <col min="3" max="3" width="7.6328125" bestFit="1" customWidth="1"/>
    <col min="4" max="4" width="16.08984375" bestFit="1" customWidth="1"/>
    <col min="5" max="5" width="31.6328125" bestFit="1" customWidth="1"/>
    <col min="6" max="6" width="12.08984375" bestFit="1" customWidth="1"/>
    <col min="7" max="7" width="33.36328125" bestFit="1" customWidth="1"/>
    <col min="8" max="8" width="33.08984375" bestFit="1" customWidth="1"/>
  </cols>
  <sheetData>
    <row r="1" spans="1:8" ht="15.5" x14ac:dyDescent="0.35">
      <c r="A1" s="1" t="s">
        <v>0</v>
      </c>
      <c r="B1" s="1" t="s">
        <v>270</v>
      </c>
    </row>
    <row r="2" spans="1:8" ht="15.5" x14ac:dyDescent="0.35">
      <c r="A2" s="1"/>
      <c r="B2" s="1"/>
    </row>
    <row r="3" spans="1:8" ht="15.5" x14ac:dyDescent="0.35">
      <c r="A3" s="1" t="s">
        <v>1</v>
      </c>
      <c r="B3" s="1" t="s">
        <v>67</v>
      </c>
    </row>
    <row r="4" spans="1:8" x14ac:dyDescent="0.35">
      <c r="A4" t="s">
        <v>2</v>
      </c>
      <c r="B4" t="s">
        <v>3</v>
      </c>
    </row>
    <row r="5" spans="1:8" x14ac:dyDescent="0.35">
      <c r="A5" t="s">
        <v>4</v>
      </c>
      <c r="B5">
        <v>1</v>
      </c>
    </row>
    <row r="6" spans="1:8" ht="15.5" x14ac:dyDescent="0.35">
      <c r="A6" t="s">
        <v>5</v>
      </c>
      <c r="B6" s="2" t="s">
        <v>62</v>
      </c>
    </row>
    <row r="7" spans="1:8" x14ac:dyDescent="0.35">
      <c r="A7" t="s">
        <v>6</v>
      </c>
      <c r="B7" t="s">
        <v>7</v>
      </c>
    </row>
    <row r="8" spans="1:8" x14ac:dyDescent="0.35">
      <c r="A8" t="s">
        <v>8</v>
      </c>
      <c r="B8" t="s">
        <v>9</v>
      </c>
    </row>
    <row r="9" spans="1:8" x14ac:dyDescent="0.35">
      <c r="A9" t="s">
        <v>10</v>
      </c>
      <c r="B9" t="s">
        <v>11</v>
      </c>
    </row>
    <row r="10" spans="1:8" x14ac:dyDescent="0.35">
      <c r="A10" t="s">
        <v>28</v>
      </c>
      <c r="B10" t="s">
        <v>29</v>
      </c>
    </row>
    <row r="11" spans="1:8" ht="15.5" x14ac:dyDescent="0.35">
      <c r="A11" s="1" t="s">
        <v>13</v>
      </c>
    </row>
    <row r="12" spans="1:8" x14ac:dyDescent="0.35">
      <c r="A12" t="s">
        <v>14</v>
      </c>
      <c r="B12" t="s">
        <v>15</v>
      </c>
      <c r="C12" t="s">
        <v>2</v>
      </c>
      <c r="D12" t="s">
        <v>8</v>
      </c>
      <c r="E12" t="s">
        <v>16</v>
      </c>
      <c r="F12" t="s">
        <v>6</v>
      </c>
      <c r="G12" t="s">
        <v>12</v>
      </c>
      <c r="H12" t="s">
        <v>5</v>
      </c>
    </row>
    <row r="13" spans="1:8" ht="15.5" x14ac:dyDescent="0.35">
      <c r="A13" s="2" t="s">
        <v>67</v>
      </c>
      <c r="B13">
        <v>1</v>
      </c>
      <c r="C13" t="s">
        <v>3</v>
      </c>
      <c r="D13" t="s">
        <v>9</v>
      </c>
      <c r="F13" t="s">
        <v>18</v>
      </c>
      <c r="G13" t="s">
        <v>19</v>
      </c>
      <c r="H13" s="2" t="s">
        <v>62</v>
      </c>
    </row>
    <row r="14" spans="1:8" x14ac:dyDescent="0.35">
      <c r="A14" t="s">
        <v>23</v>
      </c>
      <c r="B14" s="5">
        <f>62618*Allocation!$B$3/1000</f>
        <v>6.606549034619999E-2</v>
      </c>
      <c r="C14" t="s">
        <v>27</v>
      </c>
      <c r="D14" t="s">
        <v>20</v>
      </c>
      <c r="F14" t="s">
        <v>21</v>
      </c>
      <c r="G14" t="s">
        <v>36</v>
      </c>
      <c r="H14" t="s">
        <v>24</v>
      </c>
    </row>
    <row r="15" spans="1:8" x14ac:dyDescent="0.35">
      <c r="A15" t="s">
        <v>30</v>
      </c>
      <c r="B15" s="5">
        <f>4858*Allocation!$B$3/1000/3.6</f>
        <v>1.4237393228333332E-3</v>
      </c>
      <c r="C15" t="s">
        <v>3</v>
      </c>
      <c r="D15" t="s">
        <v>31</v>
      </c>
      <c r="F15" t="s">
        <v>21</v>
      </c>
      <c r="G15" t="s">
        <v>37</v>
      </c>
      <c r="H15" t="s">
        <v>32</v>
      </c>
    </row>
    <row r="16" spans="1:8" x14ac:dyDescent="0.35">
      <c r="A16" t="s">
        <v>43</v>
      </c>
      <c r="B16">
        <f>53*Allocation!$B$7/1000</f>
        <v>8.5330000000000003E-2</v>
      </c>
      <c r="C16" t="s">
        <v>33</v>
      </c>
      <c r="D16" t="s">
        <v>45</v>
      </c>
      <c r="F16" t="s">
        <v>21</v>
      </c>
      <c r="G16" t="s">
        <v>76</v>
      </c>
      <c r="H16" t="s">
        <v>44</v>
      </c>
    </row>
    <row r="17" spans="1:8" x14ac:dyDescent="0.35">
      <c r="A17" t="s">
        <v>46</v>
      </c>
      <c r="B17">
        <f>4.877/1000</f>
        <v>4.8769999999999994E-3</v>
      </c>
      <c r="C17" t="s">
        <v>3</v>
      </c>
      <c r="D17" t="s">
        <v>9</v>
      </c>
      <c r="F17" t="s">
        <v>21</v>
      </c>
      <c r="H17" t="s">
        <v>47</v>
      </c>
    </row>
    <row r="18" spans="1:8" x14ac:dyDescent="0.35">
      <c r="A18" t="s">
        <v>48</v>
      </c>
      <c r="B18">
        <f>2.307/1000</f>
        <v>2.307E-3</v>
      </c>
      <c r="C18" t="s">
        <v>3</v>
      </c>
      <c r="D18" t="s">
        <v>9</v>
      </c>
      <c r="F18" t="s">
        <v>21</v>
      </c>
      <c r="H18" t="s">
        <v>49</v>
      </c>
    </row>
    <row r="19" spans="1:8" x14ac:dyDescent="0.35">
      <c r="A19" t="s">
        <v>50</v>
      </c>
      <c r="B19">
        <f>3.2/1000</f>
        <v>3.2000000000000002E-3</v>
      </c>
      <c r="C19" t="s">
        <v>3</v>
      </c>
      <c r="D19" t="s">
        <v>9</v>
      </c>
      <c r="F19" t="s">
        <v>21</v>
      </c>
      <c r="H19" t="s">
        <v>51</v>
      </c>
    </row>
    <row r="20" spans="1:8" x14ac:dyDescent="0.35">
      <c r="A20" s="8" t="s">
        <v>52</v>
      </c>
      <c r="B20">
        <f>5.847/1000</f>
        <v>5.8470000000000006E-3</v>
      </c>
      <c r="C20" t="s">
        <v>27</v>
      </c>
      <c r="D20" t="s">
        <v>9</v>
      </c>
      <c r="F20" t="s">
        <v>21</v>
      </c>
      <c r="H20" s="8" t="s">
        <v>53</v>
      </c>
    </row>
    <row r="21" spans="1:8" x14ac:dyDescent="0.35">
      <c r="A21" t="s">
        <v>54</v>
      </c>
      <c r="B21">
        <f>53.1/1000/1000</f>
        <v>5.3100000000000003E-5</v>
      </c>
      <c r="C21" t="s">
        <v>27</v>
      </c>
      <c r="D21" t="s">
        <v>9</v>
      </c>
      <c r="F21" t="s">
        <v>21</v>
      </c>
      <c r="G21" t="s">
        <v>55</v>
      </c>
      <c r="H21" t="s">
        <v>57</v>
      </c>
    </row>
    <row r="22" spans="1:8" x14ac:dyDescent="0.35">
      <c r="A22" t="s">
        <v>58</v>
      </c>
      <c r="B22">
        <f>0.744/1000*Allocation!$B$6</f>
        <v>3.3747839999999997E-4</v>
      </c>
      <c r="C22" t="s">
        <v>27</v>
      </c>
      <c r="D22" t="s">
        <v>9</v>
      </c>
      <c r="F22" t="s">
        <v>21</v>
      </c>
      <c r="G22" t="s">
        <v>60</v>
      </c>
      <c r="H22" t="s">
        <v>59</v>
      </c>
    </row>
    <row r="23" spans="1:8" x14ac:dyDescent="0.35">
      <c r="A23" t="s">
        <v>120</v>
      </c>
      <c r="B23">
        <f>0.466*(44/12)*0.85</f>
        <v>1.4523666666666668</v>
      </c>
      <c r="D23" t="s">
        <v>9</v>
      </c>
      <c r="E23" t="s">
        <v>121</v>
      </c>
      <c r="F23" t="s">
        <v>38</v>
      </c>
      <c r="G23" s="9" t="s">
        <v>381</v>
      </c>
    </row>
    <row r="24" spans="1:8" x14ac:dyDescent="0.35">
      <c r="A24" t="s">
        <v>116</v>
      </c>
      <c r="B24">
        <v>15.7</v>
      </c>
      <c r="D24" t="s">
        <v>20</v>
      </c>
      <c r="E24" t="s">
        <v>122</v>
      </c>
      <c r="F24" t="s">
        <v>38</v>
      </c>
      <c r="G24" s="9" t="s">
        <v>381</v>
      </c>
    </row>
    <row r="25" spans="1:8" x14ac:dyDescent="0.35">
      <c r="A25" t="s">
        <v>205</v>
      </c>
      <c r="B25" s="4">
        <f>0.001*Allocation!$B$11/4</f>
        <v>1.0117499999999999</v>
      </c>
      <c r="D25" t="s">
        <v>123</v>
      </c>
      <c r="E25" t="s">
        <v>124</v>
      </c>
      <c r="F25" t="s">
        <v>38</v>
      </c>
      <c r="G25" t="s">
        <v>240</v>
      </c>
    </row>
    <row r="26" spans="1:8" x14ac:dyDescent="0.35">
      <c r="A26" t="s">
        <v>206</v>
      </c>
      <c r="B26" s="4">
        <f>(1/4)*Allocation!$B$11/1000</f>
        <v>1.0117499999999999</v>
      </c>
      <c r="D26" t="s">
        <v>125</v>
      </c>
      <c r="E26" t="s">
        <v>124</v>
      </c>
      <c r="F26" t="s">
        <v>38</v>
      </c>
      <c r="G26" t="s">
        <v>239</v>
      </c>
    </row>
    <row r="27" spans="1:8" x14ac:dyDescent="0.35">
      <c r="A27" t="s">
        <v>207</v>
      </c>
      <c r="B27" s="4">
        <f>(1/4)*Allocation!$B$11/1000</f>
        <v>1.0117499999999999</v>
      </c>
      <c r="D27" t="s">
        <v>125</v>
      </c>
      <c r="E27" t="s">
        <v>124</v>
      </c>
      <c r="F27" t="s">
        <v>38</v>
      </c>
      <c r="G27" t="s">
        <v>239</v>
      </c>
    </row>
    <row r="29" spans="1:8" ht="15.5" x14ac:dyDescent="0.35">
      <c r="A29" s="1" t="s">
        <v>1</v>
      </c>
      <c r="B29" s="1" t="s">
        <v>393</v>
      </c>
    </row>
    <row r="30" spans="1:8" x14ac:dyDescent="0.35">
      <c r="A30" t="s">
        <v>2</v>
      </c>
      <c r="B30" t="s">
        <v>3</v>
      </c>
    </row>
    <row r="31" spans="1:8" x14ac:dyDescent="0.35">
      <c r="A31" t="s">
        <v>4</v>
      </c>
      <c r="B31">
        <v>1</v>
      </c>
    </row>
    <row r="32" spans="1:8" ht="15.5" x14ac:dyDescent="0.35">
      <c r="A32" t="s">
        <v>5</v>
      </c>
      <c r="B32" s="2" t="s">
        <v>394</v>
      </c>
    </row>
    <row r="33" spans="1:8" x14ac:dyDescent="0.35">
      <c r="A33" t="s">
        <v>6</v>
      </c>
      <c r="B33" t="s">
        <v>7</v>
      </c>
    </row>
    <row r="34" spans="1:8" x14ac:dyDescent="0.35">
      <c r="A34" t="s">
        <v>8</v>
      </c>
      <c r="B34" t="s">
        <v>9</v>
      </c>
    </row>
    <row r="35" spans="1:8" x14ac:dyDescent="0.35">
      <c r="A35" t="s">
        <v>10</v>
      </c>
      <c r="B35" t="s">
        <v>11</v>
      </c>
    </row>
    <row r="36" spans="1:8" x14ac:dyDescent="0.35">
      <c r="A36" t="s">
        <v>28</v>
      </c>
      <c r="B36" t="s">
        <v>241</v>
      </c>
    </row>
    <row r="37" spans="1:8" ht="15.5" x14ac:dyDescent="0.35">
      <c r="A37" s="1" t="s">
        <v>13</v>
      </c>
    </row>
    <row r="38" spans="1:8" x14ac:dyDescent="0.35">
      <c r="A38" t="s">
        <v>14</v>
      </c>
      <c r="B38" t="s">
        <v>15</v>
      </c>
      <c r="C38" t="s">
        <v>2</v>
      </c>
      <c r="D38" t="s">
        <v>8</v>
      </c>
      <c r="E38" t="s">
        <v>16</v>
      </c>
      <c r="F38" t="s">
        <v>6</v>
      </c>
      <c r="G38" t="s">
        <v>12</v>
      </c>
      <c r="H38" t="s">
        <v>5</v>
      </c>
    </row>
    <row r="39" spans="1:8" ht="15.5" x14ac:dyDescent="0.35">
      <c r="A39" s="2" t="s">
        <v>393</v>
      </c>
      <c r="B39">
        <v>1</v>
      </c>
      <c r="C39" t="s">
        <v>3</v>
      </c>
      <c r="D39" t="s">
        <v>9</v>
      </c>
      <c r="F39" t="s">
        <v>18</v>
      </c>
      <c r="G39" t="s">
        <v>19</v>
      </c>
      <c r="H39" s="2" t="s">
        <v>394</v>
      </c>
    </row>
    <row r="40" spans="1:8" ht="15.5" x14ac:dyDescent="0.35">
      <c r="A40" s="2" t="s">
        <v>67</v>
      </c>
      <c r="B40" s="6">
        <f>(1/((Allocation!C20*Allocation!B4*Allocation!B10)/1000))*Allocation!F32</f>
        <v>3.2444757981354098</v>
      </c>
      <c r="C40" t="s">
        <v>3</v>
      </c>
      <c r="D40" t="s">
        <v>9</v>
      </c>
      <c r="F40" t="s">
        <v>21</v>
      </c>
      <c r="G40" t="s">
        <v>19</v>
      </c>
      <c r="H40" s="2" t="s">
        <v>395</v>
      </c>
    </row>
    <row r="41" spans="1:8" ht="15.5" x14ac:dyDescent="0.35">
      <c r="A41" s="2" t="s">
        <v>232</v>
      </c>
      <c r="B41" s="4">
        <f>(180*Allocation!$B$3)/(Allocation!$B$4*Allocation!$B$10)*Allocation!F32</f>
        <v>5.2373480998418598E-2</v>
      </c>
      <c r="C41" t="s">
        <v>27</v>
      </c>
      <c r="D41" t="s">
        <v>20</v>
      </c>
      <c r="F41" t="s">
        <v>21</v>
      </c>
      <c r="H41" s="2" t="s">
        <v>233</v>
      </c>
    </row>
    <row r="42" spans="1:8" ht="15.5" x14ac:dyDescent="0.35">
      <c r="A42" s="2" t="s">
        <v>263</v>
      </c>
      <c r="B42" s="5">
        <f>((346.23/1000)/(Allocation!$B$4*Allocation!$B$10))*Allocation!$F$32</f>
        <v>9.5483462725015969E-2</v>
      </c>
      <c r="C42" t="s">
        <v>33</v>
      </c>
      <c r="D42" t="s">
        <v>9</v>
      </c>
      <c r="F42" t="s">
        <v>21</v>
      </c>
      <c r="H42" s="2" t="s">
        <v>264</v>
      </c>
    </row>
    <row r="43" spans="1:8" ht="15.5" x14ac:dyDescent="0.35">
      <c r="A43" s="2" t="s">
        <v>265</v>
      </c>
      <c r="B43" s="5">
        <f>((41.55/1000)/(Allocation!$B$4*Allocation!$B$10))*Allocation!$F$32</f>
        <v>1.1458677400064735E-2</v>
      </c>
      <c r="C43" t="s">
        <v>266</v>
      </c>
      <c r="D43" t="s">
        <v>9</v>
      </c>
      <c r="F43" t="s">
        <v>21</v>
      </c>
      <c r="H43" s="2" t="s">
        <v>267</v>
      </c>
    </row>
    <row r="44" spans="1:8" ht="15.5" x14ac:dyDescent="0.35">
      <c r="A44" s="2" t="s">
        <v>268</v>
      </c>
      <c r="B44" s="5">
        <f>((20.77/1000)/(Allocation!$B$4*Allocation!$B$10))*Allocation!$F$32</f>
        <v>5.7279597978181608E-3</v>
      </c>
      <c r="C44" t="s">
        <v>33</v>
      </c>
      <c r="D44" t="s">
        <v>9</v>
      </c>
      <c r="F44" t="s">
        <v>21</v>
      </c>
      <c r="H44" s="2" t="s">
        <v>427</v>
      </c>
    </row>
    <row r="45" spans="1:8" ht="15.5" x14ac:dyDescent="0.35">
      <c r="A45" s="2" t="s">
        <v>383</v>
      </c>
      <c r="B45" s="4">
        <f>((76.17/1000)/(Allocation!$B$4*Allocation!$B$10))*Allocation!$F$32</f>
        <v>2.1006196331237806E-2</v>
      </c>
      <c r="C45" t="s">
        <v>33</v>
      </c>
      <c r="D45" t="s">
        <v>9</v>
      </c>
      <c r="F45" t="s">
        <v>21</v>
      </c>
      <c r="G45" t="s">
        <v>400</v>
      </c>
      <c r="H45" s="2" t="s">
        <v>384</v>
      </c>
    </row>
    <row r="46" spans="1:8" ht="15.5" x14ac:dyDescent="0.35">
      <c r="A46" s="2" t="s">
        <v>328</v>
      </c>
      <c r="B46" s="4">
        <f>((106.73/1000)/(Allocation!$B$4*Allocation!$B$10))*Allocation!$F$32</f>
        <v>2.9434046664474352E-2</v>
      </c>
      <c r="C46" t="s">
        <v>33</v>
      </c>
      <c r="D46" t="s">
        <v>9</v>
      </c>
      <c r="F46" t="s">
        <v>21</v>
      </c>
      <c r="G46" t="s">
        <v>327</v>
      </c>
      <c r="H46" s="2" t="s">
        <v>329</v>
      </c>
    </row>
    <row r="47" spans="1:8" ht="15.5" x14ac:dyDescent="0.35">
      <c r="A47" s="2" t="s">
        <v>397</v>
      </c>
      <c r="B47" s="4">
        <f>((26.58/1000)/(Allocation!$B$4*Allocation!$B$10))*Allocation!$F$32</f>
        <v>7.3302441707273321E-3</v>
      </c>
      <c r="C47" t="s">
        <v>27</v>
      </c>
      <c r="D47" t="s">
        <v>9</v>
      </c>
      <c r="F47" t="s">
        <v>21</v>
      </c>
      <c r="G47" t="s">
        <v>399</v>
      </c>
      <c r="H47" s="2" t="s">
        <v>398</v>
      </c>
    </row>
    <row r="48" spans="1:8" ht="15.5" x14ac:dyDescent="0.35">
      <c r="A48" s="2" t="s">
        <v>401</v>
      </c>
      <c r="B48" s="4">
        <f>((117.72/1000)/(Allocation!$B$4*Allocation!$B$10))*Allocation!$F$32</f>
        <v>3.2464873731302545E-2</v>
      </c>
      <c r="C48" t="s">
        <v>27</v>
      </c>
      <c r="D48" t="s">
        <v>9</v>
      </c>
      <c r="F48" t="s">
        <v>21</v>
      </c>
      <c r="G48" t="s">
        <v>403</v>
      </c>
      <c r="H48" s="2" t="s">
        <v>402</v>
      </c>
    </row>
    <row r="49" spans="1:8" x14ac:dyDescent="0.35">
      <c r="A49" t="s">
        <v>201</v>
      </c>
      <c r="B49" s="6">
        <f>(B23*B40)-Allocation!$B$13</f>
        <v>2.7981685000185985</v>
      </c>
      <c r="D49" t="s">
        <v>9</v>
      </c>
      <c r="E49" t="s">
        <v>39</v>
      </c>
      <c r="F49" t="s">
        <v>38</v>
      </c>
      <c r="G49" t="s">
        <v>441</v>
      </c>
    </row>
    <row r="50" spans="1:8" x14ac:dyDescent="0.35">
      <c r="A50" t="s">
        <v>319</v>
      </c>
      <c r="B50" s="7">
        <f>1/(90000000*20)</f>
        <v>5.5555555555555553E-10</v>
      </c>
      <c r="C50" t="s">
        <v>27</v>
      </c>
      <c r="D50" t="s">
        <v>8</v>
      </c>
      <c r="F50" t="s">
        <v>21</v>
      </c>
      <c r="G50" t="s">
        <v>321</v>
      </c>
      <c r="H50" t="s">
        <v>320</v>
      </c>
    </row>
    <row r="51" spans="1:8" ht="15.5" x14ac:dyDescent="0.35">
      <c r="A51" s="2"/>
      <c r="B51" s="4"/>
      <c r="H51" s="2"/>
    </row>
    <row r="52" spans="1:8" ht="15.5" x14ac:dyDescent="0.35">
      <c r="A52" s="2"/>
      <c r="H52" s="2"/>
    </row>
    <row r="53" spans="1:8" ht="15.5" x14ac:dyDescent="0.35">
      <c r="A53" s="1" t="s">
        <v>1</v>
      </c>
      <c r="B53" s="1" t="s">
        <v>396</v>
      </c>
    </row>
    <row r="54" spans="1:8" x14ac:dyDescent="0.35">
      <c r="A54" t="s">
        <v>2</v>
      </c>
      <c r="B54" t="s">
        <v>3</v>
      </c>
    </row>
    <row r="55" spans="1:8" x14ac:dyDescent="0.35">
      <c r="A55" t="s">
        <v>4</v>
      </c>
      <c r="B55">
        <v>1</v>
      </c>
    </row>
    <row r="56" spans="1:8" ht="15.5" x14ac:dyDescent="0.35">
      <c r="A56" t="s">
        <v>5</v>
      </c>
      <c r="B56" s="2" t="s">
        <v>394</v>
      </c>
    </row>
    <row r="57" spans="1:8" x14ac:dyDescent="0.35">
      <c r="A57" t="s">
        <v>6</v>
      </c>
      <c r="B57" t="s">
        <v>7</v>
      </c>
    </row>
    <row r="58" spans="1:8" x14ac:dyDescent="0.35">
      <c r="A58" t="s">
        <v>8</v>
      </c>
      <c r="B58" t="s">
        <v>9</v>
      </c>
    </row>
    <row r="59" spans="1:8" x14ac:dyDescent="0.35">
      <c r="A59" t="s">
        <v>10</v>
      </c>
      <c r="B59" t="s">
        <v>11</v>
      </c>
    </row>
    <row r="60" spans="1:8" x14ac:dyDescent="0.35">
      <c r="A60" t="s">
        <v>28</v>
      </c>
      <c r="B60" t="s">
        <v>386</v>
      </c>
    </row>
    <row r="61" spans="1:8" ht="15.5" x14ac:dyDescent="0.35">
      <c r="A61" s="1" t="s">
        <v>13</v>
      </c>
    </row>
    <row r="62" spans="1:8" x14ac:dyDescent="0.35">
      <c r="A62" t="s">
        <v>14</v>
      </c>
      <c r="B62" t="s">
        <v>15</v>
      </c>
      <c r="C62" t="s">
        <v>2</v>
      </c>
      <c r="D62" t="s">
        <v>8</v>
      </c>
      <c r="E62" t="s">
        <v>16</v>
      </c>
      <c r="F62" t="s">
        <v>6</v>
      </c>
      <c r="G62" t="s">
        <v>12</v>
      </c>
      <c r="H62" t="s">
        <v>5</v>
      </c>
    </row>
    <row r="63" spans="1:8" ht="15.5" x14ac:dyDescent="0.35">
      <c r="A63" s="2" t="s">
        <v>396</v>
      </c>
      <c r="B63">
        <v>1</v>
      </c>
      <c r="C63" t="s">
        <v>3</v>
      </c>
      <c r="D63" t="s">
        <v>9</v>
      </c>
      <c r="F63" t="s">
        <v>18</v>
      </c>
      <c r="G63" t="s">
        <v>19</v>
      </c>
      <c r="H63" s="2" t="s">
        <v>394</v>
      </c>
    </row>
    <row r="64" spans="1:8" ht="15.5" x14ac:dyDescent="0.35">
      <c r="A64" s="2" t="s">
        <v>67</v>
      </c>
      <c r="B64" s="6">
        <f>(1/((Allocation!C20*Allocation!B4*Allocation!B10)/1000))*Allocation!G32</f>
        <v>3.5882226085354634</v>
      </c>
      <c r="C64" t="s">
        <v>3</v>
      </c>
      <c r="D64" t="s">
        <v>9</v>
      </c>
      <c r="F64" t="s">
        <v>21</v>
      </c>
      <c r="G64" t="s">
        <v>19</v>
      </c>
      <c r="H64" s="2" t="s">
        <v>395</v>
      </c>
    </row>
    <row r="65" spans="1:8" ht="15.5" x14ac:dyDescent="0.35">
      <c r="A65" s="2" t="s">
        <v>232</v>
      </c>
      <c r="B65" s="4">
        <f>(180*Allocation!$B$3)/(Allocation!$B$4*Allocation!$B$10)*Allocation!G32</f>
        <v>5.7922364134825585E-2</v>
      </c>
      <c r="C65" t="s">
        <v>27</v>
      </c>
      <c r="D65" t="s">
        <v>20</v>
      </c>
      <c r="F65" t="s">
        <v>21</v>
      </c>
      <c r="H65" s="2" t="s">
        <v>233</v>
      </c>
    </row>
    <row r="66" spans="1:8" ht="15.5" x14ac:dyDescent="0.35">
      <c r="A66" s="2" t="s">
        <v>263</v>
      </c>
      <c r="B66" s="5">
        <f>((346.23/1000)/(Allocation!$B$4*Allocation!$B$10))*Allocation!$G$32</f>
        <v>0.10559977666902486</v>
      </c>
      <c r="C66" t="s">
        <v>33</v>
      </c>
      <c r="D66" t="s">
        <v>9</v>
      </c>
      <c r="F66" t="s">
        <v>21</v>
      </c>
      <c r="H66" s="2" t="s">
        <v>264</v>
      </c>
    </row>
    <row r="67" spans="1:8" ht="15.5" x14ac:dyDescent="0.35">
      <c r="A67" s="2" t="s">
        <v>265</v>
      </c>
      <c r="B67" s="5">
        <f>((41.55/1000)/(Allocation!$B$4*Allocation!$B$10))*Allocation!$G$32</f>
        <v>1.2672705197695122E-2</v>
      </c>
      <c r="C67" t="s">
        <v>266</v>
      </c>
      <c r="D67" t="s">
        <v>9</v>
      </c>
      <c r="F67" t="s">
        <v>21</v>
      </c>
      <c r="H67" s="2" t="s">
        <v>267</v>
      </c>
    </row>
    <row r="68" spans="1:8" ht="15.5" x14ac:dyDescent="0.35">
      <c r="A68" s="2" t="s">
        <v>268</v>
      </c>
      <c r="B68" s="5">
        <f>((20.77/1000)/(Allocation!$B$4*Allocation!$B$10))*Allocation!$G$32</f>
        <v>6.3348276042389344E-3</v>
      </c>
      <c r="C68" t="s">
        <v>33</v>
      </c>
      <c r="D68" t="s">
        <v>9</v>
      </c>
      <c r="F68" t="s">
        <v>21</v>
      </c>
      <c r="H68" s="2" t="s">
        <v>427</v>
      </c>
    </row>
    <row r="69" spans="1:8" ht="15.5" x14ac:dyDescent="0.35">
      <c r="A69" s="2" t="s">
        <v>383</v>
      </c>
      <c r="B69" s="4">
        <f>((76.17/1000)/(Allocation!$B$4*Allocation!$B$10))*Allocation!$G$32</f>
        <v>2.3231767867832431E-2</v>
      </c>
      <c r="C69" t="s">
        <v>33</v>
      </c>
      <c r="D69" t="s">
        <v>9</v>
      </c>
      <c r="F69" t="s">
        <v>21</v>
      </c>
      <c r="H69" s="2" t="s">
        <v>384</v>
      </c>
    </row>
    <row r="70" spans="1:8" ht="15.5" x14ac:dyDescent="0.35">
      <c r="A70" s="2" t="s">
        <v>328</v>
      </c>
      <c r="B70" s="4">
        <f>((106.73/1000)/(Allocation!$B$4*Allocation!$B$10))*Allocation!$G$32</f>
        <v>3.2552534915764153E-2</v>
      </c>
      <c r="C70" t="s">
        <v>33</v>
      </c>
      <c r="D70" t="s">
        <v>9</v>
      </c>
      <c r="F70" t="s">
        <v>21</v>
      </c>
      <c r="G70" t="s">
        <v>327</v>
      </c>
      <c r="H70" s="2" t="s">
        <v>329</v>
      </c>
    </row>
    <row r="71" spans="1:8" ht="15.5" x14ac:dyDescent="0.35">
      <c r="A71" s="2" t="s">
        <v>397</v>
      </c>
      <c r="B71" s="4">
        <f>((26.58/1000)/(Allocation!$B$4*Allocation!$B$10))*Allocation!$G$32</f>
        <v>8.1068713394641719E-3</v>
      </c>
      <c r="C71" t="s">
        <v>27</v>
      </c>
      <c r="D71" t="s">
        <v>9</v>
      </c>
      <c r="F71" t="s">
        <v>21</v>
      </c>
      <c r="G71" t="s">
        <v>399</v>
      </c>
      <c r="H71" s="2" t="s">
        <v>398</v>
      </c>
    </row>
    <row r="72" spans="1:8" ht="15.5" x14ac:dyDescent="0.35">
      <c r="A72" s="2" t="s">
        <v>401</v>
      </c>
      <c r="B72" s="4">
        <f>((117.72/1000)/(Allocation!$B$4*Allocation!$B$10))*Allocation!G$32</f>
        <v>3.5904473065527555E-2</v>
      </c>
      <c r="C72" t="s">
        <v>27</v>
      </c>
      <c r="D72" t="s">
        <v>9</v>
      </c>
      <c r="F72" t="s">
        <v>21</v>
      </c>
      <c r="G72" t="s">
        <v>403</v>
      </c>
      <c r="H72" s="2" t="s">
        <v>402</v>
      </c>
    </row>
    <row r="73" spans="1:8" x14ac:dyDescent="0.35">
      <c r="A73" t="s">
        <v>201</v>
      </c>
      <c r="B73" s="6">
        <f>(B23*B64)-Allocation!$B$13</f>
        <v>3.2974149092166236</v>
      </c>
      <c r="D73" t="s">
        <v>9</v>
      </c>
      <c r="E73" t="s">
        <v>39</v>
      </c>
      <c r="F73" t="s">
        <v>38</v>
      </c>
      <c r="G73" t="s">
        <v>441</v>
      </c>
    </row>
    <row r="74" spans="1:8" x14ac:dyDescent="0.35">
      <c r="A74" t="s">
        <v>319</v>
      </c>
      <c r="B74" s="7">
        <f>1/(90000000*20)</f>
        <v>5.5555555555555553E-10</v>
      </c>
      <c r="C74" t="s">
        <v>27</v>
      </c>
      <c r="D74" t="s">
        <v>8</v>
      </c>
      <c r="F74" t="s">
        <v>21</v>
      </c>
      <c r="G74" t="s">
        <v>321</v>
      </c>
      <c r="H74" t="s">
        <v>320</v>
      </c>
    </row>
    <row r="75" spans="1:8" ht="15.5" x14ac:dyDescent="0.35">
      <c r="A75" s="2"/>
      <c r="B75" s="4"/>
      <c r="H75" s="2"/>
    </row>
    <row r="76" spans="1:8" ht="15.5" x14ac:dyDescent="0.35">
      <c r="A76" s="1" t="s">
        <v>1</v>
      </c>
      <c r="B76" s="1" t="s">
        <v>521</v>
      </c>
    </row>
    <row r="77" spans="1:8" x14ac:dyDescent="0.35">
      <c r="A77" t="s">
        <v>2</v>
      </c>
      <c r="B77" t="s">
        <v>3</v>
      </c>
    </row>
    <row r="78" spans="1:8" x14ac:dyDescent="0.35">
      <c r="A78" t="s">
        <v>4</v>
      </c>
      <c r="B78">
        <v>1</v>
      </c>
    </row>
    <row r="79" spans="1:8" ht="15.5" x14ac:dyDescent="0.35">
      <c r="A79" t="s">
        <v>5</v>
      </c>
      <c r="B79" s="2" t="s">
        <v>394</v>
      </c>
    </row>
    <row r="80" spans="1:8" x14ac:dyDescent="0.35">
      <c r="A80" t="s">
        <v>6</v>
      </c>
      <c r="B80" t="s">
        <v>7</v>
      </c>
    </row>
    <row r="81" spans="1:8" x14ac:dyDescent="0.35">
      <c r="A81" t="s">
        <v>8</v>
      </c>
      <c r="B81" t="s">
        <v>9</v>
      </c>
    </row>
    <row r="82" spans="1:8" x14ac:dyDescent="0.35">
      <c r="A82" t="s">
        <v>10</v>
      </c>
      <c r="B82" t="s">
        <v>11</v>
      </c>
    </row>
    <row r="83" spans="1:8" x14ac:dyDescent="0.35">
      <c r="A83" t="s">
        <v>28</v>
      </c>
      <c r="B83" t="s">
        <v>522</v>
      </c>
    </row>
    <row r="84" spans="1:8" ht="15.5" x14ac:dyDescent="0.35">
      <c r="A84" s="1" t="s">
        <v>13</v>
      </c>
    </row>
    <row r="85" spans="1:8" x14ac:dyDescent="0.35">
      <c r="A85" t="s">
        <v>14</v>
      </c>
      <c r="B85" t="s">
        <v>15</v>
      </c>
      <c r="C85" t="s">
        <v>2</v>
      </c>
      <c r="D85" t="s">
        <v>8</v>
      </c>
      <c r="E85" t="s">
        <v>16</v>
      </c>
      <c r="F85" t="s">
        <v>6</v>
      </c>
      <c r="G85" t="s">
        <v>12</v>
      </c>
      <c r="H85" t="s">
        <v>5</v>
      </c>
    </row>
    <row r="86" spans="1:8" ht="15.5" x14ac:dyDescent="0.35">
      <c r="A86" s="2" t="s">
        <v>521</v>
      </c>
      <c r="B86">
        <v>1</v>
      </c>
      <c r="C86" t="s">
        <v>3</v>
      </c>
      <c r="D86" t="s">
        <v>9</v>
      </c>
      <c r="F86" t="s">
        <v>18</v>
      </c>
      <c r="G86" t="s">
        <v>19</v>
      </c>
      <c r="H86" s="2" t="s">
        <v>394</v>
      </c>
    </row>
    <row r="87" spans="1:8" ht="15.5" x14ac:dyDescent="0.35">
      <c r="A87" s="2" t="s">
        <v>67</v>
      </c>
      <c r="B87" s="6">
        <f>(1/((Allocation!C20*Allocation!B4*Allocation!B10)/1000))</f>
        <v>3.9394735346660368</v>
      </c>
      <c r="C87" t="s">
        <v>3</v>
      </c>
      <c r="D87" t="s">
        <v>9</v>
      </c>
      <c r="F87" t="s">
        <v>21</v>
      </c>
      <c r="G87" t="s">
        <v>19</v>
      </c>
      <c r="H87" s="2" t="s">
        <v>395</v>
      </c>
    </row>
    <row r="88" spans="1:8" ht="15.5" x14ac:dyDescent="0.35">
      <c r="A88" s="2" t="s">
        <v>232</v>
      </c>
      <c r="B88" s="4">
        <f>(180*Allocation!$B$3)/(Allocation!$B$4*Allocation!$B$10)</f>
        <v>6.3592381373341833E-2</v>
      </c>
      <c r="C88" t="s">
        <v>27</v>
      </c>
      <c r="D88" t="s">
        <v>20</v>
      </c>
      <c r="F88" t="s">
        <v>21</v>
      </c>
      <c r="H88" s="2" t="s">
        <v>233</v>
      </c>
    </row>
    <row r="89" spans="1:8" ht="15.5" x14ac:dyDescent="0.35">
      <c r="A89" s="2" t="s">
        <v>263</v>
      </c>
      <c r="B89" s="5">
        <f>((346.23/1000)/(Allocation!$B$4*Allocation!$B$10))</f>
        <v>0.11593693336213089</v>
      </c>
      <c r="C89" t="s">
        <v>33</v>
      </c>
      <c r="D89" t="s">
        <v>9</v>
      </c>
      <c r="F89" t="s">
        <v>21</v>
      </c>
      <c r="H89" s="2" t="s">
        <v>264</v>
      </c>
    </row>
    <row r="90" spans="1:8" ht="15.5" x14ac:dyDescent="0.35">
      <c r="A90" s="2" t="s">
        <v>265</v>
      </c>
      <c r="B90" s="5">
        <f>((41.55/1000)/(Allocation!$B$4*Allocation!$B$10))</f>
        <v>1.3913235656056776E-2</v>
      </c>
      <c r="C90" t="s">
        <v>266</v>
      </c>
      <c r="D90" t="s">
        <v>9</v>
      </c>
      <c r="F90" t="s">
        <v>21</v>
      </c>
      <c r="H90" s="2" t="s">
        <v>267</v>
      </c>
    </row>
    <row r="91" spans="1:8" ht="15.5" x14ac:dyDescent="0.35">
      <c r="A91" s="2" t="s">
        <v>268</v>
      </c>
      <c r="B91" s="5">
        <f>((20.77/1000)/(Allocation!$B$4*Allocation!$B$10))</f>
        <v>6.9549435517761559E-3</v>
      </c>
      <c r="C91" t="s">
        <v>33</v>
      </c>
      <c r="D91" t="s">
        <v>9</v>
      </c>
      <c r="F91" t="s">
        <v>21</v>
      </c>
      <c r="H91" s="2" t="s">
        <v>427</v>
      </c>
    </row>
    <row r="92" spans="1:8" ht="15.5" x14ac:dyDescent="0.35">
      <c r="A92" s="2" t="s">
        <v>383</v>
      </c>
      <c r="B92" s="4">
        <f>((76.17/1000)/(Allocation!$B$4*Allocation!$B$10))</f>
        <v>2.5505924426518525E-2</v>
      </c>
      <c r="C92" t="s">
        <v>33</v>
      </c>
      <c r="D92" t="s">
        <v>9</v>
      </c>
      <c r="F92" t="s">
        <v>21</v>
      </c>
      <c r="H92" s="2" t="s">
        <v>384</v>
      </c>
    </row>
    <row r="93" spans="1:8" ht="15.5" x14ac:dyDescent="0.35">
      <c r="A93" s="2" t="s">
        <v>328</v>
      </c>
      <c r="B93" s="4">
        <f>((106.73/1000)/(Allocation!$B$4*Allocation!$B$10))</f>
        <v>3.5739100880167025E-2</v>
      </c>
      <c r="C93" t="s">
        <v>33</v>
      </c>
      <c r="D93" t="s">
        <v>9</v>
      </c>
      <c r="F93" t="s">
        <v>21</v>
      </c>
      <c r="G93" t="s">
        <v>327</v>
      </c>
      <c r="H93" s="2" t="s">
        <v>329</v>
      </c>
    </row>
    <row r="94" spans="1:8" ht="15.5" x14ac:dyDescent="0.35">
      <c r="A94" s="2" t="s">
        <v>397</v>
      </c>
      <c r="B94" s="4">
        <f>((26.58/1000)/(Allocation!$B$4*Allocation!$B$10))</f>
        <v>8.9004525568709778E-3</v>
      </c>
      <c r="C94" t="s">
        <v>27</v>
      </c>
      <c r="D94" t="s">
        <v>9</v>
      </c>
      <c r="F94" t="s">
        <v>21</v>
      </c>
      <c r="G94" t="s">
        <v>399</v>
      </c>
      <c r="H94" s="2" t="s">
        <v>398</v>
      </c>
    </row>
    <row r="95" spans="1:8" ht="15.5" x14ac:dyDescent="0.35">
      <c r="A95" s="2" t="s">
        <v>401</v>
      </c>
      <c r="B95" s="4">
        <f>((117.72/1000)/(Allocation!$B$4*Allocation!$B$10))</f>
        <v>3.9419160082575302E-2</v>
      </c>
      <c r="C95" t="s">
        <v>27</v>
      </c>
      <c r="D95" t="s">
        <v>9</v>
      </c>
      <c r="F95" t="s">
        <v>21</v>
      </c>
      <c r="G95" t="s">
        <v>403</v>
      </c>
      <c r="H95" s="2" t="s">
        <v>402</v>
      </c>
    </row>
    <row r="96" spans="1:8" x14ac:dyDescent="0.35">
      <c r="A96" t="s">
        <v>201</v>
      </c>
      <c r="B96" s="6">
        <f>(B23*B87)-Allocation!$B$13</f>
        <v>3.8075600459644638</v>
      </c>
      <c r="D96" t="s">
        <v>9</v>
      </c>
      <c r="E96" t="s">
        <v>39</v>
      </c>
      <c r="F96" t="s">
        <v>38</v>
      </c>
      <c r="G96" t="s">
        <v>441</v>
      </c>
    </row>
    <row r="97" spans="1:10" x14ac:dyDescent="0.35">
      <c r="A97" t="s">
        <v>319</v>
      </c>
      <c r="B97" s="7">
        <f>1/(90000000*20)</f>
        <v>5.5555555555555553E-10</v>
      </c>
      <c r="C97" t="s">
        <v>27</v>
      </c>
      <c r="D97" t="s">
        <v>8</v>
      </c>
      <c r="F97" t="s">
        <v>21</v>
      </c>
      <c r="G97" t="s">
        <v>321</v>
      </c>
      <c r="H97" t="s">
        <v>320</v>
      </c>
    </row>
    <row r="98" spans="1:10" x14ac:dyDescent="0.35">
      <c r="A98" s="38" t="s">
        <v>30</v>
      </c>
      <c r="B98" s="38">
        <f>Allocation!C19/Allocation!B4*Allocation!B10*-1</f>
        <v>-0.50274302587613584</v>
      </c>
      <c r="C98" t="s">
        <v>3</v>
      </c>
      <c r="D98" s="38" t="s">
        <v>31</v>
      </c>
      <c r="E98" s="38"/>
      <c r="F98" s="38" t="s">
        <v>21</v>
      </c>
      <c r="G98" s="38" t="s">
        <v>523</v>
      </c>
      <c r="H98" s="38" t="s">
        <v>32</v>
      </c>
      <c r="I98" s="38"/>
    </row>
    <row r="99" spans="1:10" ht="15.5" x14ac:dyDescent="0.35">
      <c r="A99" s="2"/>
      <c r="B99" s="4"/>
      <c r="H99" s="2"/>
    </row>
    <row r="100" spans="1:10" ht="15.5" x14ac:dyDescent="0.35">
      <c r="A100" s="1" t="s">
        <v>1</v>
      </c>
      <c r="B100" s="1" t="s">
        <v>404</v>
      </c>
    </row>
    <row r="101" spans="1:10" x14ac:dyDescent="0.35">
      <c r="A101" t="s">
        <v>2</v>
      </c>
      <c r="B101" t="s">
        <v>3</v>
      </c>
    </row>
    <row r="102" spans="1:10" x14ac:dyDescent="0.35">
      <c r="A102" t="s">
        <v>4</v>
      </c>
      <c r="B102">
        <v>1</v>
      </c>
    </row>
    <row r="103" spans="1:10" ht="15.5" x14ac:dyDescent="0.35">
      <c r="A103" t="s">
        <v>5</v>
      </c>
      <c r="B103" s="2" t="s">
        <v>350</v>
      </c>
    </row>
    <row r="104" spans="1:10" x14ac:dyDescent="0.35">
      <c r="A104" t="s">
        <v>6</v>
      </c>
      <c r="B104" t="s">
        <v>7</v>
      </c>
    </row>
    <row r="105" spans="1:10" x14ac:dyDescent="0.35">
      <c r="A105" t="s">
        <v>8</v>
      </c>
      <c r="B105" t="s">
        <v>9</v>
      </c>
    </row>
    <row r="106" spans="1:10" x14ac:dyDescent="0.35">
      <c r="A106" t="s">
        <v>10</v>
      </c>
      <c r="B106" t="s">
        <v>406</v>
      </c>
    </row>
    <row r="107" spans="1:10" x14ac:dyDescent="0.35">
      <c r="A107" t="s">
        <v>12</v>
      </c>
      <c r="B107" t="s">
        <v>375</v>
      </c>
    </row>
    <row r="108" spans="1:10" ht="15.5" x14ac:dyDescent="0.35">
      <c r="A108" s="1" t="s">
        <v>13</v>
      </c>
    </row>
    <row r="109" spans="1:10" x14ac:dyDescent="0.35">
      <c r="A109" t="s">
        <v>14</v>
      </c>
      <c r="B109" t="s">
        <v>15</v>
      </c>
      <c r="C109" t="s">
        <v>2</v>
      </c>
      <c r="D109" t="s">
        <v>8</v>
      </c>
      <c r="E109" t="s">
        <v>16</v>
      </c>
      <c r="F109" t="s">
        <v>6</v>
      </c>
      <c r="G109" t="s">
        <v>351</v>
      </c>
      <c r="H109" t="s">
        <v>352</v>
      </c>
      <c r="I109" t="s">
        <v>12</v>
      </c>
      <c r="J109" t="s">
        <v>5</v>
      </c>
    </row>
    <row r="110" spans="1:10" x14ac:dyDescent="0.35">
      <c r="A110" s="38" t="s">
        <v>404</v>
      </c>
      <c r="B110" s="38">
        <v>1</v>
      </c>
      <c r="C110" t="s">
        <v>3</v>
      </c>
      <c r="D110" s="38" t="s">
        <v>9</v>
      </c>
      <c r="E110" s="38"/>
      <c r="F110" s="38" t="s">
        <v>18</v>
      </c>
      <c r="G110" s="38"/>
      <c r="H110" s="38"/>
      <c r="I110" s="38" t="s">
        <v>19</v>
      </c>
      <c r="J110" s="38" t="s">
        <v>350</v>
      </c>
    </row>
    <row r="111" spans="1:10" ht="15.5" x14ac:dyDescent="0.35">
      <c r="A111" s="2" t="s">
        <v>393</v>
      </c>
      <c r="B111">
        <v>1.00057</v>
      </c>
      <c r="C111" t="s">
        <v>3</v>
      </c>
      <c r="D111" t="s">
        <v>9</v>
      </c>
      <c r="F111" s="38" t="s">
        <v>21</v>
      </c>
      <c r="G111" t="s">
        <v>19</v>
      </c>
      <c r="I111" s="38"/>
      <c r="J111" s="2" t="s">
        <v>394</v>
      </c>
    </row>
    <row r="112" spans="1:10" x14ac:dyDescent="0.35">
      <c r="A112" s="38" t="s">
        <v>30</v>
      </c>
      <c r="B112" s="38">
        <v>6.7000000000000002E-3</v>
      </c>
      <c r="C112" t="s">
        <v>3</v>
      </c>
      <c r="D112" s="38" t="s">
        <v>31</v>
      </c>
      <c r="E112" s="38"/>
      <c r="F112" s="38" t="s">
        <v>21</v>
      </c>
      <c r="G112" s="38"/>
      <c r="H112" s="38"/>
      <c r="I112" s="38"/>
      <c r="J112" s="38" t="s">
        <v>32</v>
      </c>
    </row>
    <row r="113" spans="1:10" x14ac:dyDescent="0.35">
      <c r="A113" s="38" t="s">
        <v>353</v>
      </c>
      <c r="B113" s="38">
        <v>-1.6799999999999999E-4</v>
      </c>
      <c r="C113" s="38" t="s">
        <v>33</v>
      </c>
      <c r="D113" s="38" t="s">
        <v>9</v>
      </c>
      <c r="E113" s="38"/>
      <c r="F113" s="38" t="s">
        <v>21</v>
      </c>
      <c r="G113" s="38"/>
      <c r="H113" s="38"/>
      <c r="I113" s="38"/>
      <c r="J113" s="38" t="s">
        <v>354</v>
      </c>
    </row>
    <row r="114" spans="1:10" x14ac:dyDescent="0.35">
      <c r="A114" s="38" t="s">
        <v>355</v>
      </c>
      <c r="B114" s="39">
        <v>5.8399999999999999E-4</v>
      </c>
      <c r="C114" s="38" t="s">
        <v>33</v>
      </c>
      <c r="D114" s="38" t="s">
        <v>20</v>
      </c>
      <c r="E114" s="38"/>
      <c r="F114" s="38" t="s">
        <v>21</v>
      </c>
      <c r="G114" s="38"/>
      <c r="H114" s="38"/>
      <c r="I114" s="38"/>
      <c r="J114" s="38" t="s">
        <v>356</v>
      </c>
    </row>
    <row r="115" spans="1:10" x14ac:dyDescent="0.35">
      <c r="A115" s="38" t="s">
        <v>357</v>
      </c>
      <c r="B115" s="39">
        <v>2.5999999999999998E-10</v>
      </c>
      <c r="C115" s="38" t="s">
        <v>33</v>
      </c>
      <c r="D115" s="38" t="s">
        <v>8</v>
      </c>
      <c r="E115" s="38"/>
      <c r="F115" s="38" t="s">
        <v>21</v>
      </c>
      <c r="G115" s="38"/>
      <c r="H115" s="38"/>
      <c r="I115" s="38"/>
      <c r="J115" s="38" t="s">
        <v>358</v>
      </c>
    </row>
    <row r="116" spans="1:10" x14ac:dyDescent="0.35">
      <c r="A116" s="38" t="s">
        <v>359</v>
      </c>
      <c r="B116" s="39">
        <v>-6.2700000000000001E-6</v>
      </c>
      <c r="C116" s="38" t="s">
        <v>33</v>
      </c>
      <c r="D116" s="38" t="s">
        <v>9</v>
      </c>
      <c r="E116" s="38"/>
      <c r="F116" s="38" t="s">
        <v>21</v>
      </c>
      <c r="G116" s="38"/>
      <c r="H116" s="38"/>
      <c r="I116" s="38"/>
      <c r="J116" s="38" t="s">
        <v>360</v>
      </c>
    </row>
    <row r="117" spans="1:10" x14ac:dyDescent="0.35">
      <c r="A117" s="38" t="s">
        <v>361</v>
      </c>
      <c r="B117" s="39">
        <v>-7.4999999999999993E-5</v>
      </c>
      <c r="C117" s="38" t="s">
        <v>33</v>
      </c>
      <c r="D117" s="38" t="s">
        <v>131</v>
      </c>
      <c r="E117" s="38"/>
      <c r="F117" s="38" t="s">
        <v>21</v>
      </c>
      <c r="G117" s="38"/>
      <c r="H117" s="38"/>
      <c r="I117" s="38"/>
      <c r="J117" s="38" t="s">
        <v>362</v>
      </c>
    </row>
    <row r="118" spans="1:10" x14ac:dyDescent="0.35">
      <c r="A118" s="38" t="s">
        <v>363</v>
      </c>
      <c r="B118" s="39">
        <v>6.8900000000000005E-4</v>
      </c>
      <c r="C118" s="38" t="s">
        <v>33</v>
      </c>
      <c r="D118" s="38" t="s">
        <v>9</v>
      </c>
      <c r="E118" s="38"/>
      <c r="F118" s="38" t="s">
        <v>21</v>
      </c>
      <c r="G118" s="38"/>
      <c r="H118" s="38"/>
      <c r="I118" s="38"/>
      <c r="J118" s="38" t="s">
        <v>364</v>
      </c>
    </row>
    <row r="119" spans="1:10" x14ac:dyDescent="0.35">
      <c r="A119" s="38" t="s">
        <v>108</v>
      </c>
      <c r="B119" s="38">
        <v>3.3599999999999998E-2</v>
      </c>
      <c r="C119" s="38" t="s">
        <v>33</v>
      </c>
      <c r="D119" s="38" t="s">
        <v>45</v>
      </c>
      <c r="E119" s="38"/>
      <c r="F119" s="38" t="s">
        <v>21</v>
      </c>
      <c r="G119" s="38"/>
      <c r="H119" s="38"/>
      <c r="I119" s="38"/>
      <c r="J119" s="38" t="s">
        <v>111</v>
      </c>
    </row>
    <row r="120" spans="1:10" x14ac:dyDescent="0.35">
      <c r="A120" s="38" t="s">
        <v>365</v>
      </c>
      <c r="B120" s="38">
        <v>3.2599999999999997E-2</v>
      </c>
      <c r="C120" s="38" t="s">
        <v>33</v>
      </c>
      <c r="D120" s="38" t="s">
        <v>45</v>
      </c>
      <c r="E120" s="38"/>
      <c r="F120" s="38" t="s">
        <v>21</v>
      </c>
      <c r="G120" s="38"/>
      <c r="H120" s="38"/>
      <c r="I120" s="38"/>
      <c r="J120" s="38" t="s">
        <v>366</v>
      </c>
    </row>
    <row r="121" spans="1:10" x14ac:dyDescent="0.35">
      <c r="A121" s="38" t="s">
        <v>367</v>
      </c>
      <c r="B121" s="39">
        <v>-6.8899999999999999E-7</v>
      </c>
      <c r="C121" s="38" t="s">
        <v>33</v>
      </c>
      <c r="D121" s="38" t="s">
        <v>131</v>
      </c>
      <c r="E121" s="38"/>
      <c r="F121" s="38" t="s">
        <v>21</v>
      </c>
      <c r="G121" s="38"/>
      <c r="H121" s="38"/>
      <c r="I121" s="38"/>
      <c r="J121" s="38" t="s">
        <v>368</v>
      </c>
    </row>
    <row r="123" spans="1:10" ht="15.5" x14ac:dyDescent="0.35">
      <c r="A123" s="1" t="s">
        <v>1</v>
      </c>
      <c r="B123" s="1" t="s">
        <v>405</v>
      </c>
    </row>
    <row r="124" spans="1:10" x14ac:dyDescent="0.35">
      <c r="A124" t="s">
        <v>2</v>
      </c>
      <c r="B124" t="s">
        <v>3</v>
      </c>
    </row>
    <row r="125" spans="1:10" x14ac:dyDescent="0.35">
      <c r="A125" t="s">
        <v>4</v>
      </c>
      <c r="B125">
        <v>1</v>
      </c>
    </row>
    <row r="126" spans="1:10" ht="15.5" x14ac:dyDescent="0.35">
      <c r="A126" t="s">
        <v>5</v>
      </c>
      <c r="B126" s="2" t="s">
        <v>350</v>
      </c>
    </row>
    <row r="127" spans="1:10" x14ac:dyDescent="0.35">
      <c r="A127" t="s">
        <v>6</v>
      </c>
      <c r="B127" t="s">
        <v>7</v>
      </c>
    </row>
    <row r="128" spans="1:10" x14ac:dyDescent="0.35">
      <c r="A128" t="s">
        <v>8</v>
      </c>
      <c r="B128" t="s">
        <v>9</v>
      </c>
    </row>
    <row r="129" spans="1:10" x14ac:dyDescent="0.35">
      <c r="A129" t="s">
        <v>10</v>
      </c>
      <c r="B129" t="s">
        <v>406</v>
      </c>
    </row>
    <row r="130" spans="1:10" x14ac:dyDescent="0.35">
      <c r="A130" t="s">
        <v>12</v>
      </c>
      <c r="B130" t="s">
        <v>374</v>
      </c>
    </row>
    <row r="131" spans="1:10" ht="15.5" x14ac:dyDescent="0.35">
      <c r="A131" s="1" t="s">
        <v>13</v>
      </c>
    </row>
    <row r="132" spans="1:10" x14ac:dyDescent="0.35">
      <c r="A132" t="s">
        <v>14</v>
      </c>
      <c r="B132" t="s">
        <v>15</v>
      </c>
      <c r="C132" t="s">
        <v>2</v>
      </c>
      <c r="D132" t="s">
        <v>8</v>
      </c>
      <c r="E132" t="s">
        <v>16</v>
      </c>
      <c r="F132" t="s">
        <v>6</v>
      </c>
      <c r="G132" t="s">
        <v>351</v>
      </c>
      <c r="H132" t="s">
        <v>352</v>
      </c>
      <c r="I132" t="s">
        <v>12</v>
      </c>
      <c r="J132" t="s">
        <v>5</v>
      </c>
    </row>
    <row r="133" spans="1:10" x14ac:dyDescent="0.35">
      <c r="A133" s="38" t="s">
        <v>405</v>
      </c>
      <c r="B133" s="38">
        <v>1</v>
      </c>
      <c r="C133" t="s">
        <v>3</v>
      </c>
      <c r="D133" s="38" t="s">
        <v>9</v>
      </c>
      <c r="E133" s="38"/>
      <c r="F133" s="38" t="s">
        <v>18</v>
      </c>
      <c r="G133" s="38"/>
      <c r="H133" s="38"/>
      <c r="I133" s="38" t="s">
        <v>19</v>
      </c>
      <c r="J133" s="38" t="s">
        <v>350</v>
      </c>
    </row>
    <row r="134" spans="1:10" ht="15.5" x14ac:dyDescent="0.35">
      <c r="A134" s="2" t="s">
        <v>396</v>
      </c>
      <c r="B134">
        <v>1.00057</v>
      </c>
      <c r="C134" t="s">
        <v>3</v>
      </c>
      <c r="D134" t="s">
        <v>9</v>
      </c>
      <c r="F134" s="38" t="s">
        <v>21</v>
      </c>
      <c r="G134" t="s">
        <v>19</v>
      </c>
      <c r="I134" s="38"/>
      <c r="J134" s="2" t="s">
        <v>394</v>
      </c>
    </row>
    <row r="135" spans="1:10" x14ac:dyDescent="0.35">
      <c r="A135" s="38" t="s">
        <v>30</v>
      </c>
      <c r="B135" s="38">
        <v>6.7000000000000002E-3</v>
      </c>
      <c r="C135" t="s">
        <v>3</v>
      </c>
      <c r="D135" s="38" t="s">
        <v>31</v>
      </c>
      <c r="E135" s="38"/>
      <c r="F135" s="38" t="s">
        <v>21</v>
      </c>
      <c r="G135" s="38"/>
      <c r="H135" s="38"/>
      <c r="I135" s="38"/>
      <c r="J135" s="38" t="s">
        <v>32</v>
      </c>
    </row>
    <row r="136" spans="1:10" x14ac:dyDescent="0.35">
      <c r="A136" s="38" t="s">
        <v>353</v>
      </c>
      <c r="B136" s="38">
        <v>-1.6799999999999999E-4</v>
      </c>
      <c r="C136" s="38" t="s">
        <v>33</v>
      </c>
      <c r="D136" s="38" t="s">
        <v>9</v>
      </c>
      <c r="E136" s="38"/>
      <c r="F136" s="38" t="s">
        <v>21</v>
      </c>
      <c r="G136" s="38"/>
      <c r="H136" s="38"/>
      <c r="I136" s="38"/>
      <c r="J136" s="38" t="s">
        <v>354</v>
      </c>
    </row>
    <row r="137" spans="1:10" x14ac:dyDescent="0.35">
      <c r="A137" s="38" t="s">
        <v>355</v>
      </c>
      <c r="B137" s="39">
        <v>5.8399999999999999E-4</v>
      </c>
      <c r="C137" s="38" t="s">
        <v>33</v>
      </c>
      <c r="D137" s="38" t="s">
        <v>20</v>
      </c>
      <c r="E137" s="38"/>
      <c r="F137" s="38" t="s">
        <v>21</v>
      </c>
      <c r="G137" s="38"/>
      <c r="H137" s="38"/>
      <c r="I137" s="38"/>
      <c r="J137" s="38" t="s">
        <v>356</v>
      </c>
    </row>
    <row r="138" spans="1:10" x14ac:dyDescent="0.35">
      <c r="A138" s="38" t="s">
        <v>357</v>
      </c>
      <c r="B138" s="39">
        <v>2.5999999999999998E-10</v>
      </c>
      <c r="C138" s="38" t="s">
        <v>33</v>
      </c>
      <c r="D138" s="38" t="s">
        <v>8</v>
      </c>
      <c r="E138" s="38"/>
      <c r="F138" s="38" t="s">
        <v>21</v>
      </c>
      <c r="G138" s="38"/>
      <c r="H138" s="38"/>
      <c r="I138" s="38"/>
      <c r="J138" s="38" t="s">
        <v>358</v>
      </c>
    </row>
    <row r="139" spans="1:10" x14ac:dyDescent="0.35">
      <c r="A139" s="38" t="s">
        <v>359</v>
      </c>
      <c r="B139" s="39">
        <v>-6.2700000000000001E-6</v>
      </c>
      <c r="C139" s="38" t="s">
        <v>33</v>
      </c>
      <c r="D139" s="38" t="s">
        <v>9</v>
      </c>
      <c r="E139" s="38"/>
      <c r="F139" s="38" t="s">
        <v>21</v>
      </c>
      <c r="G139" s="38"/>
      <c r="H139" s="38"/>
      <c r="I139" s="38"/>
      <c r="J139" s="38" t="s">
        <v>360</v>
      </c>
    </row>
    <row r="140" spans="1:10" x14ac:dyDescent="0.35">
      <c r="A140" s="38" t="s">
        <v>361</v>
      </c>
      <c r="B140" s="39">
        <v>-7.4999999999999993E-5</v>
      </c>
      <c r="C140" s="38" t="s">
        <v>33</v>
      </c>
      <c r="D140" s="38" t="s">
        <v>131</v>
      </c>
      <c r="E140" s="38"/>
      <c r="F140" s="38" t="s">
        <v>21</v>
      </c>
      <c r="G140" s="38"/>
      <c r="H140" s="38"/>
      <c r="I140" s="38"/>
      <c r="J140" s="38" t="s">
        <v>362</v>
      </c>
    </row>
    <row r="141" spans="1:10" x14ac:dyDescent="0.35">
      <c r="A141" s="38" t="s">
        <v>363</v>
      </c>
      <c r="B141" s="39">
        <v>6.8900000000000005E-4</v>
      </c>
      <c r="C141" s="38" t="s">
        <v>33</v>
      </c>
      <c r="D141" s="38" t="s">
        <v>9</v>
      </c>
      <c r="E141" s="38"/>
      <c r="F141" s="38" t="s">
        <v>21</v>
      </c>
      <c r="G141" s="38"/>
      <c r="H141" s="38"/>
      <c r="I141" s="38"/>
      <c r="J141" s="38" t="s">
        <v>364</v>
      </c>
    </row>
    <row r="142" spans="1:10" x14ac:dyDescent="0.35">
      <c r="A142" s="38" t="s">
        <v>108</v>
      </c>
      <c r="B142" s="38">
        <v>3.3599999999999998E-2</v>
      </c>
      <c r="C142" s="38" t="s">
        <v>33</v>
      </c>
      <c r="D142" s="38" t="s">
        <v>45</v>
      </c>
      <c r="E142" s="38"/>
      <c r="F142" s="38" t="s">
        <v>21</v>
      </c>
      <c r="G142" s="38"/>
      <c r="H142" s="38"/>
      <c r="I142" s="38"/>
      <c r="J142" s="38" t="s">
        <v>111</v>
      </c>
    </row>
    <row r="143" spans="1:10" x14ac:dyDescent="0.35">
      <c r="A143" s="38" t="s">
        <v>365</v>
      </c>
      <c r="B143" s="38">
        <v>3.2599999999999997E-2</v>
      </c>
      <c r="C143" s="38" t="s">
        <v>33</v>
      </c>
      <c r="D143" s="38" t="s">
        <v>45</v>
      </c>
      <c r="E143" s="38"/>
      <c r="F143" s="38" t="s">
        <v>21</v>
      </c>
      <c r="G143" s="38"/>
      <c r="H143" s="38"/>
      <c r="I143" s="38"/>
      <c r="J143" s="38" t="s">
        <v>366</v>
      </c>
    </row>
    <row r="144" spans="1:10" x14ac:dyDescent="0.35">
      <c r="A144" s="38" t="s">
        <v>367</v>
      </c>
      <c r="B144" s="39">
        <v>-6.8899999999999999E-7</v>
      </c>
      <c r="C144" s="38" t="s">
        <v>33</v>
      </c>
      <c r="D144" s="38" t="s">
        <v>131</v>
      </c>
      <c r="E144" s="38"/>
      <c r="F144" s="38" t="s">
        <v>21</v>
      </c>
      <c r="G144" s="38"/>
      <c r="H144" s="38"/>
      <c r="I144" s="38"/>
      <c r="J144" s="38" t="s">
        <v>368</v>
      </c>
    </row>
    <row r="145" spans="1:10" x14ac:dyDescent="0.35">
      <c r="A145" s="38"/>
      <c r="B145" s="39"/>
      <c r="C145" s="38"/>
      <c r="D145" s="38"/>
      <c r="E145" s="38"/>
      <c r="F145" s="38"/>
      <c r="G145" s="38"/>
      <c r="H145" s="38"/>
      <c r="I145" s="38"/>
      <c r="J145" s="38"/>
    </row>
    <row r="146" spans="1:10" ht="15.5" x14ac:dyDescent="0.35">
      <c r="A146" s="1" t="s">
        <v>1</v>
      </c>
      <c r="B146" s="1" t="s">
        <v>524</v>
      </c>
    </row>
    <row r="147" spans="1:10" x14ac:dyDescent="0.35">
      <c r="A147" t="s">
        <v>2</v>
      </c>
      <c r="B147" t="s">
        <v>3</v>
      </c>
    </row>
    <row r="148" spans="1:10" x14ac:dyDescent="0.35">
      <c r="A148" t="s">
        <v>4</v>
      </c>
      <c r="B148">
        <v>1</v>
      </c>
    </row>
    <row r="149" spans="1:10" ht="15.5" x14ac:dyDescent="0.35">
      <c r="A149" t="s">
        <v>5</v>
      </c>
      <c r="B149" s="2" t="s">
        <v>350</v>
      </c>
    </row>
    <row r="150" spans="1:10" x14ac:dyDescent="0.35">
      <c r="A150" t="s">
        <v>6</v>
      </c>
      <c r="B150" t="s">
        <v>7</v>
      </c>
    </row>
    <row r="151" spans="1:10" x14ac:dyDescent="0.35">
      <c r="A151" t="s">
        <v>8</v>
      </c>
      <c r="B151" t="s">
        <v>9</v>
      </c>
    </row>
    <row r="152" spans="1:10" x14ac:dyDescent="0.35">
      <c r="A152" t="s">
        <v>10</v>
      </c>
      <c r="B152" t="s">
        <v>406</v>
      </c>
    </row>
    <row r="153" spans="1:10" x14ac:dyDescent="0.35">
      <c r="A153" t="s">
        <v>12</v>
      </c>
      <c r="B153" t="s">
        <v>525</v>
      </c>
    </row>
    <row r="154" spans="1:10" ht="15.5" x14ac:dyDescent="0.35">
      <c r="A154" s="1" t="s">
        <v>13</v>
      </c>
    </row>
    <row r="155" spans="1:10" x14ac:dyDescent="0.35">
      <c r="A155" t="s">
        <v>14</v>
      </c>
      <c r="B155" t="s">
        <v>15</v>
      </c>
      <c r="C155" t="s">
        <v>2</v>
      </c>
      <c r="D155" t="s">
        <v>8</v>
      </c>
      <c r="E155" t="s">
        <v>16</v>
      </c>
      <c r="F155" t="s">
        <v>6</v>
      </c>
      <c r="G155" t="s">
        <v>351</v>
      </c>
      <c r="H155" t="s">
        <v>352</v>
      </c>
      <c r="I155" t="s">
        <v>12</v>
      </c>
      <c r="J155" t="s">
        <v>5</v>
      </c>
    </row>
    <row r="156" spans="1:10" x14ac:dyDescent="0.35">
      <c r="A156" s="38" t="s">
        <v>524</v>
      </c>
      <c r="B156" s="38">
        <v>1</v>
      </c>
      <c r="C156" t="s">
        <v>3</v>
      </c>
      <c r="D156" s="38" t="s">
        <v>9</v>
      </c>
      <c r="E156" s="38"/>
      <c r="F156" s="38" t="s">
        <v>18</v>
      </c>
      <c r="G156" s="38"/>
      <c r="H156" s="38"/>
      <c r="I156" s="38" t="s">
        <v>19</v>
      </c>
      <c r="J156" s="38" t="s">
        <v>350</v>
      </c>
    </row>
    <row r="157" spans="1:10" ht="15.5" x14ac:dyDescent="0.35">
      <c r="A157" s="2" t="s">
        <v>521</v>
      </c>
      <c r="B157">
        <v>1.00057</v>
      </c>
      <c r="C157" t="s">
        <v>3</v>
      </c>
      <c r="D157" t="s">
        <v>9</v>
      </c>
      <c r="F157" s="38" t="s">
        <v>21</v>
      </c>
      <c r="G157" t="s">
        <v>19</v>
      </c>
      <c r="I157" s="38"/>
      <c r="J157" s="2" t="s">
        <v>394</v>
      </c>
    </row>
    <row r="158" spans="1:10" x14ac:dyDescent="0.35">
      <c r="A158" s="38" t="s">
        <v>30</v>
      </c>
      <c r="B158" s="38">
        <v>6.7000000000000002E-3</v>
      </c>
      <c r="C158" t="s">
        <v>3</v>
      </c>
      <c r="D158" s="38" t="s">
        <v>31</v>
      </c>
      <c r="E158" s="38"/>
      <c r="F158" s="38" t="s">
        <v>21</v>
      </c>
      <c r="G158" s="38"/>
      <c r="H158" s="38"/>
      <c r="I158" s="38"/>
      <c r="J158" s="38" t="s">
        <v>32</v>
      </c>
    </row>
    <row r="159" spans="1:10" x14ac:dyDescent="0.35">
      <c r="A159" s="38" t="s">
        <v>353</v>
      </c>
      <c r="B159" s="38">
        <v>-1.6799999999999999E-4</v>
      </c>
      <c r="C159" s="38" t="s">
        <v>33</v>
      </c>
      <c r="D159" s="38" t="s">
        <v>9</v>
      </c>
      <c r="E159" s="38"/>
      <c r="F159" s="38" t="s">
        <v>21</v>
      </c>
      <c r="G159" s="38"/>
      <c r="H159" s="38"/>
      <c r="I159" s="38"/>
      <c r="J159" s="38" t="s">
        <v>354</v>
      </c>
    </row>
    <row r="160" spans="1:10" x14ac:dyDescent="0.35">
      <c r="A160" s="38" t="s">
        <v>355</v>
      </c>
      <c r="B160" s="39">
        <v>5.8399999999999999E-4</v>
      </c>
      <c r="C160" s="38" t="s">
        <v>33</v>
      </c>
      <c r="D160" s="38" t="s">
        <v>20</v>
      </c>
      <c r="E160" s="38"/>
      <c r="F160" s="38" t="s">
        <v>21</v>
      </c>
      <c r="G160" s="38"/>
      <c r="H160" s="38"/>
      <c r="I160" s="38"/>
      <c r="J160" s="38" t="s">
        <v>356</v>
      </c>
    </row>
    <row r="161" spans="1:10" x14ac:dyDescent="0.35">
      <c r="A161" s="38" t="s">
        <v>357</v>
      </c>
      <c r="B161" s="39">
        <v>2.5999999999999998E-10</v>
      </c>
      <c r="C161" s="38" t="s">
        <v>33</v>
      </c>
      <c r="D161" s="38" t="s">
        <v>8</v>
      </c>
      <c r="E161" s="38"/>
      <c r="F161" s="38" t="s">
        <v>21</v>
      </c>
      <c r="G161" s="38"/>
      <c r="H161" s="38"/>
      <c r="I161" s="38"/>
      <c r="J161" s="38" t="s">
        <v>358</v>
      </c>
    </row>
    <row r="162" spans="1:10" x14ac:dyDescent="0.35">
      <c r="A162" s="38" t="s">
        <v>359</v>
      </c>
      <c r="B162" s="39">
        <v>-6.2700000000000001E-6</v>
      </c>
      <c r="C162" s="38" t="s">
        <v>33</v>
      </c>
      <c r="D162" s="38" t="s">
        <v>9</v>
      </c>
      <c r="E162" s="38"/>
      <c r="F162" s="38" t="s">
        <v>21</v>
      </c>
      <c r="G162" s="38"/>
      <c r="H162" s="38"/>
      <c r="I162" s="38"/>
      <c r="J162" s="38" t="s">
        <v>360</v>
      </c>
    </row>
    <row r="163" spans="1:10" x14ac:dyDescent="0.35">
      <c r="A163" s="38" t="s">
        <v>361</v>
      </c>
      <c r="B163" s="39">
        <v>-7.4999999999999993E-5</v>
      </c>
      <c r="C163" s="38" t="s">
        <v>33</v>
      </c>
      <c r="D163" s="38" t="s">
        <v>131</v>
      </c>
      <c r="E163" s="38"/>
      <c r="F163" s="38" t="s">
        <v>21</v>
      </c>
      <c r="G163" s="38"/>
      <c r="H163" s="38"/>
      <c r="I163" s="38"/>
      <c r="J163" s="38" t="s">
        <v>362</v>
      </c>
    </row>
    <row r="164" spans="1:10" x14ac:dyDescent="0.35">
      <c r="A164" s="38" t="s">
        <v>363</v>
      </c>
      <c r="B164" s="39">
        <v>6.8900000000000005E-4</v>
      </c>
      <c r="C164" s="38" t="s">
        <v>33</v>
      </c>
      <c r="D164" s="38" t="s">
        <v>9</v>
      </c>
      <c r="E164" s="38"/>
      <c r="F164" s="38" t="s">
        <v>21</v>
      </c>
      <c r="G164" s="38"/>
      <c r="H164" s="38"/>
      <c r="I164" s="38"/>
      <c r="J164" s="38" t="s">
        <v>364</v>
      </c>
    </row>
    <row r="165" spans="1:10" x14ac:dyDescent="0.35">
      <c r="A165" s="38" t="s">
        <v>108</v>
      </c>
      <c r="B165" s="38">
        <v>3.3599999999999998E-2</v>
      </c>
      <c r="C165" s="38" t="s">
        <v>33</v>
      </c>
      <c r="D165" s="38" t="s">
        <v>45</v>
      </c>
      <c r="E165" s="38"/>
      <c r="F165" s="38" t="s">
        <v>21</v>
      </c>
      <c r="G165" s="38"/>
      <c r="H165" s="38"/>
      <c r="I165" s="38"/>
      <c r="J165" s="38" t="s">
        <v>111</v>
      </c>
    </row>
    <row r="166" spans="1:10" x14ac:dyDescent="0.35">
      <c r="A166" s="38" t="s">
        <v>365</v>
      </c>
      <c r="B166" s="38">
        <v>3.2599999999999997E-2</v>
      </c>
      <c r="C166" s="38" t="s">
        <v>33</v>
      </c>
      <c r="D166" s="38" t="s">
        <v>45</v>
      </c>
      <c r="E166" s="38"/>
      <c r="F166" s="38" t="s">
        <v>21</v>
      </c>
      <c r="G166" s="38"/>
      <c r="H166" s="38"/>
      <c r="I166" s="38"/>
      <c r="J166" s="38" t="s">
        <v>366</v>
      </c>
    </row>
    <row r="167" spans="1:10" x14ac:dyDescent="0.35">
      <c r="A167" s="38" t="s">
        <v>367</v>
      </c>
      <c r="B167" s="39">
        <v>-6.8899999999999999E-7</v>
      </c>
      <c r="C167" s="38" t="s">
        <v>33</v>
      </c>
      <c r="D167" s="38" t="s">
        <v>131</v>
      </c>
      <c r="E167" s="38"/>
      <c r="F167" s="38" t="s">
        <v>21</v>
      </c>
      <c r="G167" s="38"/>
      <c r="H167" s="38"/>
      <c r="I167" s="38"/>
      <c r="J167" s="38" t="s">
        <v>368</v>
      </c>
    </row>
    <row r="168" spans="1:10" x14ac:dyDescent="0.35">
      <c r="A168" s="38"/>
      <c r="B168" s="39"/>
      <c r="C168" s="38"/>
      <c r="D168" s="38"/>
      <c r="E168" s="38"/>
      <c r="F168" s="38"/>
      <c r="G168" s="38"/>
      <c r="H168" s="38"/>
      <c r="I168" s="38"/>
      <c r="J168" s="38"/>
    </row>
    <row r="169" spans="1:10" ht="15.5" x14ac:dyDescent="0.35">
      <c r="A169" s="1" t="s">
        <v>1</v>
      </c>
      <c r="B169" s="1" t="s">
        <v>68</v>
      </c>
    </row>
    <row r="170" spans="1:10" x14ac:dyDescent="0.35">
      <c r="A170" t="s">
        <v>2</v>
      </c>
      <c r="B170" t="s">
        <v>3</v>
      </c>
    </row>
    <row r="171" spans="1:10" x14ac:dyDescent="0.35">
      <c r="A171" t="s">
        <v>4</v>
      </c>
      <c r="B171">
        <v>1</v>
      </c>
    </row>
    <row r="172" spans="1:10" ht="15.5" x14ac:dyDescent="0.35">
      <c r="A172" t="s">
        <v>5</v>
      </c>
      <c r="B172" s="2" t="s">
        <v>63</v>
      </c>
    </row>
    <row r="173" spans="1:10" x14ac:dyDescent="0.35">
      <c r="A173" t="s">
        <v>6</v>
      </c>
      <c r="B173" t="s">
        <v>7</v>
      </c>
    </row>
    <row r="174" spans="1:10" x14ac:dyDescent="0.35">
      <c r="A174" t="s">
        <v>8</v>
      </c>
      <c r="B174" t="s">
        <v>9</v>
      </c>
    </row>
    <row r="175" spans="1:10" x14ac:dyDescent="0.35">
      <c r="A175" t="s">
        <v>10</v>
      </c>
      <c r="B175" t="s">
        <v>11</v>
      </c>
    </row>
    <row r="176" spans="1:10" x14ac:dyDescent="0.35">
      <c r="A176" t="s">
        <v>28</v>
      </c>
      <c r="B176" t="s">
        <v>229</v>
      </c>
    </row>
    <row r="177" spans="1:8" ht="15.5" x14ac:dyDescent="0.35">
      <c r="A177" s="1" t="s">
        <v>13</v>
      </c>
    </row>
    <row r="178" spans="1:8" x14ac:dyDescent="0.35">
      <c r="A178" t="s">
        <v>14</v>
      </c>
      <c r="B178" t="s">
        <v>15</v>
      </c>
      <c r="C178" t="s">
        <v>2</v>
      </c>
      <c r="D178" t="s">
        <v>8</v>
      </c>
      <c r="E178" t="s">
        <v>16</v>
      </c>
      <c r="F178" t="s">
        <v>6</v>
      </c>
      <c r="G178" t="s">
        <v>12</v>
      </c>
      <c r="H178" t="s">
        <v>5</v>
      </c>
    </row>
    <row r="179" spans="1:8" ht="15.5" x14ac:dyDescent="0.35">
      <c r="A179" s="2" t="s">
        <v>68</v>
      </c>
      <c r="B179">
        <v>1</v>
      </c>
      <c r="C179" t="s">
        <v>3</v>
      </c>
      <c r="D179" t="s">
        <v>9</v>
      </c>
      <c r="F179" t="s">
        <v>18</v>
      </c>
      <c r="G179" t="s">
        <v>19</v>
      </c>
      <c r="H179" s="2" t="s">
        <v>63</v>
      </c>
    </row>
    <row r="180" spans="1:8" x14ac:dyDescent="0.35">
      <c r="A180" t="s">
        <v>23</v>
      </c>
      <c r="B180" s="4">
        <f>268597*Allocation!B3/1000</f>
        <v>0.28338484957229998</v>
      </c>
      <c r="C180" t="s">
        <v>27</v>
      </c>
      <c r="D180" t="s">
        <v>20</v>
      </c>
      <c r="F180" t="s">
        <v>21</v>
      </c>
      <c r="G180" t="s">
        <v>64</v>
      </c>
      <c r="H180" t="s">
        <v>24</v>
      </c>
    </row>
    <row r="181" spans="1:8" x14ac:dyDescent="0.35">
      <c r="A181" t="s">
        <v>43</v>
      </c>
      <c r="B181">
        <f>50*Allocation!$B$7/1000</f>
        <v>8.0500000000000002E-2</v>
      </c>
      <c r="C181" t="s">
        <v>33</v>
      </c>
      <c r="D181" t="s">
        <v>45</v>
      </c>
      <c r="F181" t="s">
        <v>21</v>
      </c>
      <c r="G181" t="s">
        <v>77</v>
      </c>
      <c r="H181" t="s">
        <v>44</v>
      </c>
    </row>
    <row r="182" spans="1:8" x14ac:dyDescent="0.35">
      <c r="A182" t="s">
        <v>46</v>
      </c>
      <c r="B182">
        <f>1.97/1000</f>
        <v>1.97E-3</v>
      </c>
      <c r="C182" t="s">
        <v>3</v>
      </c>
      <c r="D182" t="s">
        <v>9</v>
      </c>
      <c r="F182" t="s">
        <v>21</v>
      </c>
      <c r="H182" t="s">
        <v>47</v>
      </c>
    </row>
    <row r="183" spans="1:8" x14ac:dyDescent="0.35">
      <c r="A183" t="s">
        <v>48</v>
      </c>
      <c r="B183">
        <f>0.591/1000</f>
        <v>5.9099999999999995E-4</v>
      </c>
      <c r="C183" t="s">
        <v>3</v>
      </c>
      <c r="D183" t="s">
        <v>9</v>
      </c>
      <c r="F183" t="s">
        <v>21</v>
      </c>
      <c r="H183" t="s">
        <v>49</v>
      </c>
    </row>
    <row r="184" spans="1:8" x14ac:dyDescent="0.35">
      <c r="A184" t="s">
        <v>50</v>
      </c>
      <c r="B184">
        <f>0.5225/1000</f>
        <v>5.2249999999999996E-4</v>
      </c>
      <c r="C184" t="s">
        <v>3</v>
      </c>
      <c r="D184" t="s">
        <v>9</v>
      </c>
      <c r="F184" t="s">
        <v>21</v>
      </c>
      <c r="H184" t="s">
        <v>51</v>
      </c>
    </row>
    <row r="185" spans="1:8" x14ac:dyDescent="0.35">
      <c r="A185" s="8" t="s">
        <v>52</v>
      </c>
      <c r="B185">
        <f>23.237/1000</f>
        <v>2.3236999999999997E-2</v>
      </c>
      <c r="C185" t="s">
        <v>27</v>
      </c>
      <c r="D185" t="s">
        <v>9</v>
      </c>
      <c r="F185" t="s">
        <v>21</v>
      </c>
      <c r="H185" s="8" t="s">
        <v>53</v>
      </c>
    </row>
    <row r="186" spans="1:8" x14ac:dyDescent="0.35">
      <c r="A186" t="s">
        <v>113</v>
      </c>
      <c r="B186">
        <f>11.76*1.14/1000/1000</f>
        <v>1.3406399999999998E-5</v>
      </c>
      <c r="C186" t="s">
        <v>27</v>
      </c>
      <c r="D186" t="s">
        <v>9</v>
      </c>
      <c r="F186" t="s">
        <v>21</v>
      </c>
      <c r="G186" t="s">
        <v>56</v>
      </c>
      <c r="H186" t="s">
        <v>114</v>
      </c>
    </row>
    <row r="187" spans="1:8" x14ac:dyDescent="0.35">
      <c r="A187" t="s">
        <v>54</v>
      </c>
      <c r="B187">
        <f>61.7*1.14/1000/1000</f>
        <v>7.0338000000000003E-5</v>
      </c>
      <c r="C187" t="s">
        <v>27</v>
      </c>
      <c r="D187" t="s">
        <v>9</v>
      </c>
      <c r="F187" t="s">
        <v>21</v>
      </c>
      <c r="G187" t="s">
        <v>55</v>
      </c>
      <c r="H187" t="s">
        <v>57</v>
      </c>
    </row>
    <row r="188" spans="1:8" x14ac:dyDescent="0.35">
      <c r="A188" t="s">
        <v>197</v>
      </c>
      <c r="B188" s="7">
        <v>4.5800000000000002E-6</v>
      </c>
      <c r="C188" t="s">
        <v>27</v>
      </c>
      <c r="D188" t="s">
        <v>129</v>
      </c>
      <c r="F188" t="s">
        <v>21</v>
      </c>
      <c r="G188" t="s">
        <v>227</v>
      </c>
      <c r="H188" t="s">
        <v>198</v>
      </c>
    </row>
    <row r="189" spans="1:8" x14ac:dyDescent="0.35">
      <c r="A189" t="s">
        <v>191</v>
      </c>
      <c r="B189" s="7">
        <v>9.1700000000000003E-6</v>
      </c>
      <c r="C189" t="s">
        <v>27</v>
      </c>
      <c r="D189" t="s">
        <v>129</v>
      </c>
      <c r="F189" t="s">
        <v>21</v>
      </c>
      <c r="G189" t="s">
        <v>227</v>
      </c>
      <c r="H189" t="s">
        <v>192</v>
      </c>
    </row>
    <row r="190" spans="1:8" x14ac:dyDescent="0.35">
      <c r="A190" t="s">
        <v>195</v>
      </c>
      <c r="B190" s="7">
        <v>3.6699999999999998E-5</v>
      </c>
      <c r="C190" t="s">
        <v>27</v>
      </c>
      <c r="D190" t="s">
        <v>129</v>
      </c>
      <c r="F190" t="s">
        <v>21</v>
      </c>
      <c r="G190" t="s">
        <v>227</v>
      </c>
      <c r="H190" t="s">
        <v>196</v>
      </c>
    </row>
    <row r="191" spans="1:8" x14ac:dyDescent="0.35">
      <c r="A191" t="s">
        <v>218</v>
      </c>
      <c r="B191" s="7">
        <v>9.1700000000000006E-5</v>
      </c>
      <c r="C191" t="s">
        <v>27</v>
      </c>
      <c r="D191" t="s">
        <v>9</v>
      </c>
      <c r="F191" t="s">
        <v>21</v>
      </c>
      <c r="G191" t="s">
        <v>227</v>
      </c>
      <c r="H191" t="s">
        <v>219</v>
      </c>
    </row>
    <row r="192" spans="1:8" x14ac:dyDescent="0.35">
      <c r="A192" t="s">
        <v>137</v>
      </c>
      <c r="B192" s="7">
        <v>3.3464999999999999E-5</v>
      </c>
      <c r="D192" t="s">
        <v>9</v>
      </c>
      <c r="E192" t="s">
        <v>179</v>
      </c>
      <c r="F192" t="s">
        <v>38</v>
      </c>
      <c r="G192" t="s">
        <v>227</v>
      </c>
    </row>
    <row r="193" spans="1:7" x14ac:dyDescent="0.35">
      <c r="A193" t="s">
        <v>158</v>
      </c>
      <c r="B193" s="7">
        <v>-3.0948E-8</v>
      </c>
      <c r="D193" t="s">
        <v>9</v>
      </c>
      <c r="E193" t="s">
        <v>180</v>
      </c>
      <c r="F193" t="s">
        <v>38</v>
      </c>
      <c r="G193" t="s">
        <v>227</v>
      </c>
    </row>
    <row r="194" spans="1:7" x14ac:dyDescent="0.35">
      <c r="A194" t="s">
        <v>209</v>
      </c>
      <c r="B194" s="7">
        <v>1.5651999999999999E-10</v>
      </c>
      <c r="D194" t="s">
        <v>9</v>
      </c>
      <c r="E194" t="s">
        <v>181</v>
      </c>
      <c r="F194" t="s">
        <v>38</v>
      </c>
      <c r="G194" t="s">
        <v>227</v>
      </c>
    </row>
    <row r="195" spans="1:7" x14ac:dyDescent="0.35">
      <c r="A195" t="s">
        <v>209</v>
      </c>
      <c r="B195" s="7">
        <v>1.5720999999999999E-10</v>
      </c>
      <c r="D195" t="s">
        <v>9</v>
      </c>
      <c r="E195" t="s">
        <v>189</v>
      </c>
      <c r="F195" t="s">
        <v>38</v>
      </c>
      <c r="G195" t="s">
        <v>227</v>
      </c>
    </row>
    <row r="196" spans="1:7" x14ac:dyDescent="0.35">
      <c r="A196" t="s">
        <v>120</v>
      </c>
      <c r="B196">
        <f>0.501*(44/12)*0.85</f>
        <v>1.56145</v>
      </c>
      <c r="D196" t="s">
        <v>9</v>
      </c>
      <c r="E196" t="s">
        <v>121</v>
      </c>
      <c r="F196" t="s">
        <v>38</v>
      </c>
      <c r="G196" s="9" t="s">
        <v>380</v>
      </c>
    </row>
    <row r="197" spans="1:7" x14ac:dyDescent="0.35">
      <c r="A197" t="s">
        <v>155</v>
      </c>
      <c r="B197" s="7">
        <v>3.0170999999999999E-6</v>
      </c>
      <c r="D197" t="s">
        <v>9</v>
      </c>
      <c r="E197" t="s">
        <v>180</v>
      </c>
      <c r="F197" t="s">
        <v>38</v>
      </c>
      <c r="G197" t="s">
        <v>227</v>
      </c>
    </row>
    <row r="198" spans="1:7" x14ac:dyDescent="0.35">
      <c r="A198" t="s">
        <v>210</v>
      </c>
      <c r="B198" s="7">
        <v>5.8163000000000003E-8</v>
      </c>
      <c r="D198" t="s">
        <v>9</v>
      </c>
      <c r="E198" t="s">
        <v>181</v>
      </c>
      <c r="F198" t="s">
        <v>38</v>
      </c>
      <c r="G198" t="s">
        <v>227</v>
      </c>
    </row>
    <row r="199" spans="1:7" x14ac:dyDescent="0.35">
      <c r="A199" t="s">
        <v>210</v>
      </c>
      <c r="B199" s="7">
        <v>2.4666000000000001E-7</v>
      </c>
      <c r="D199" t="s">
        <v>9</v>
      </c>
      <c r="E199" t="s">
        <v>189</v>
      </c>
      <c r="F199" t="s">
        <v>38</v>
      </c>
      <c r="G199" t="s">
        <v>227</v>
      </c>
    </row>
    <row r="200" spans="1:7" x14ac:dyDescent="0.35">
      <c r="A200" t="s">
        <v>142</v>
      </c>
      <c r="B200" s="7">
        <v>-1.2501999999999999E-6</v>
      </c>
      <c r="D200" t="s">
        <v>9</v>
      </c>
      <c r="E200" t="s">
        <v>180</v>
      </c>
      <c r="F200" t="s">
        <v>38</v>
      </c>
      <c r="G200" t="s">
        <v>227</v>
      </c>
    </row>
    <row r="201" spans="1:7" x14ac:dyDescent="0.35">
      <c r="A201" t="s">
        <v>211</v>
      </c>
      <c r="B201" s="7">
        <v>6.0438000000000002E-8</v>
      </c>
      <c r="D201" t="s">
        <v>9</v>
      </c>
      <c r="E201" t="s">
        <v>181</v>
      </c>
      <c r="F201" t="s">
        <v>38</v>
      </c>
      <c r="G201" t="s">
        <v>227</v>
      </c>
    </row>
    <row r="202" spans="1:7" x14ac:dyDescent="0.35">
      <c r="A202" t="s">
        <v>211</v>
      </c>
      <c r="B202" s="7">
        <v>5.2185E-8</v>
      </c>
      <c r="D202" t="s">
        <v>9</v>
      </c>
      <c r="E202" t="s">
        <v>189</v>
      </c>
      <c r="F202" t="s">
        <v>38</v>
      </c>
      <c r="G202" t="s">
        <v>227</v>
      </c>
    </row>
    <row r="203" spans="1:7" x14ac:dyDescent="0.35">
      <c r="A203" t="s">
        <v>223</v>
      </c>
      <c r="B203" s="7">
        <v>6.8807000000000005E-7</v>
      </c>
      <c r="D203" t="s">
        <v>9</v>
      </c>
      <c r="E203" t="s">
        <v>180</v>
      </c>
      <c r="F203" t="s">
        <v>38</v>
      </c>
      <c r="G203" t="s">
        <v>227</v>
      </c>
    </row>
    <row r="204" spans="1:7" x14ac:dyDescent="0.35">
      <c r="A204" t="s">
        <v>42</v>
      </c>
      <c r="B204" s="7">
        <v>2.2058000000000001E-5</v>
      </c>
      <c r="D204" t="s">
        <v>9</v>
      </c>
      <c r="E204" t="s">
        <v>179</v>
      </c>
      <c r="F204" t="s">
        <v>38</v>
      </c>
      <c r="G204" t="s">
        <v>227</v>
      </c>
    </row>
    <row r="205" spans="1:7" x14ac:dyDescent="0.35">
      <c r="A205" t="s">
        <v>116</v>
      </c>
      <c r="B205">
        <f>19.38*0.85</f>
        <v>16.472999999999999</v>
      </c>
      <c r="D205" t="s">
        <v>20</v>
      </c>
      <c r="E205" t="s">
        <v>122</v>
      </c>
      <c r="F205" t="s">
        <v>38</v>
      </c>
      <c r="G205" s="9" t="s">
        <v>380</v>
      </c>
    </row>
    <row r="206" spans="1:7" x14ac:dyDescent="0.35">
      <c r="A206" t="s">
        <v>224</v>
      </c>
      <c r="B206" s="7">
        <v>1.7202000000000001E-6</v>
      </c>
      <c r="D206" t="s">
        <v>9</v>
      </c>
      <c r="E206" t="s">
        <v>180</v>
      </c>
      <c r="F206" t="s">
        <v>38</v>
      </c>
      <c r="G206" t="s">
        <v>227</v>
      </c>
    </row>
    <row r="207" spans="1:7" x14ac:dyDescent="0.35">
      <c r="A207" t="s">
        <v>165</v>
      </c>
      <c r="B207" s="7">
        <v>8.2661000000000004E-6</v>
      </c>
      <c r="D207" t="s">
        <v>9</v>
      </c>
      <c r="E207" t="s">
        <v>180</v>
      </c>
      <c r="F207" t="s">
        <v>38</v>
      </c>
      <c r="G207" t="s">
        <v>227</v>
      </c>
    </row>
    <row r="208" spans="1:7" x14ac:dyDescent="0.35">
      <c r="A208" t="s">
        <v>178</v>
      </c>
      <c r="B208" s="7">
        <v>1.8898999999999999E-9</v>
      </c>
      <c r="D208" t="s">
        <v>9</v>
      </c>
      <c r="E208" t="s">
        <v>189</v>
      </c>
      <c r="F208" t="s">
        <v>38</v>
      </c>
      <c r="G208" t="s">
        <v>227</v>
      </c>
    </row>
    <row r="209" spans="1:7" x14ac:dyDescent="0.35">
      <c r="A209" t="s">
        <v>178</v>
      </c>
      <c r="B209" s="7">
        <v>1.274E-8</v>
      </c>
      <c r="D209" t="s">
        <v>9</v>
      </c>
      <c r="E209" t="s">
        <v>181</v>
      </c>
      <c r="F209" t="s">
        <v>38</v>
      </c>
      <c r="G209" t="s">
        <v>227</v>
      </c>
    </row>
    <row r="210" spans="1:7" x14ac:dyDescent="0.35">
      <c r="A210" t="s">
        <v>178</v>
      </c>
      <c r="B210" s="7">
        <v>3.9080999999999998E-8</v>
      </c>
      <c r="D210" t="s">
        <v>9</v>
      </c>
      <c r="E210" t="s">
        <v>180</v>
      </c>
      <c r="F210" t="s">
        <v>38</v>
      </c>
      <c r="G210" t="s">
        <v>227</v>
      </c>
    </row>
    <row r="211" spans="1:7" x14ac:dyDescent="0.35">
      <c r="A211" t="s">
        <v>212</v>
      </c>
      <c r="B211" s="7">
        <v>8.7036000000000004E-13</v>
      </c>
      <c r="D211" t="s">
        <v>9</v>
      </c>
      <c r="E211" t="s">
        <v>181</v>
      </c>
      <c r="F211" t="s">
        <v>38</v>
      </c>
      <c r="G211" t="s">
        <v>227</v>
      </c>
    </row>
    <row r="212" spans="1:7" x14ac:dyDescent="0.35">
      <c r="A212" t="s">
        <v>212</v>
      </c>
      <c r="B212" s="7">
        <v>6.4951000000000003E-13</v>
      </c>
      <c r="D212" t="s">
        <v>9</v>
      </c>
      <c r="E212" t="s">
        <v>189</v>
      </c>
      <c r="F212" t="s">
        <v>38</v>
      </c>
      <c r="G212" t="s">
        <v>227</v>
      </c>
    </row>
    <row r="213" spans="1:7" x14ac:dyDescent="0.35">
      <c r="A213" t="s">
        <v>212</v>
      </c>
      <c r="B213" s="7">
        <v>1.3905E-12</v>
      </c>
      <c r="D213" t="s">
        <v>9</v>
      </c>
      <c r="E213" t="s">
        <v>180</v>
      </c>
      <c r="F213" t="s">
        <v>38</v>
      </c>
      <c r="G213" t="s">
        <v>227</v>
      </c>
    </row>
    <row r="214" spans="1:7" x14ac:dyDescent="0.35">
      <c r="A214" t="s">
        <v>148</v>
      </c>
      <c r="B214" s="7">
        <v>6.4755E-8</v>
      </c>
      <c r="D214" t="s">
        <v>9</v>
      </c>
      <c r="E214" t="s">
        <v>180</v>
      </c>
      <c r="F214" t="s">
        <v>38</v>
      </c>
      <c r="G214" t="s">
        <v>227</v>
      </c>
    </row>
    <row r="215" spans="1:7" x14ac:dyDescent="0.35">
      <c r="A215" t="s">
        <v>213</v>
      </c>
      <c r="B215" s="7">
        <v>4.8989000000000003E-8</v>
      </c>
      <c r="D215" t="s">
        <v>9</v>
      </c>
      <c r="E215" t="s">
        <v>181</v>
      </c>
      <c r="F215" t="s">
        <v>38</v>
      </c>
      <c r="G215" t="s">
        <v>227</v>
      </c>
    </row>
    <row r="216" spans="1:7" x14ac:dyDescent="0.35">
      <c r="A216" t="s">
        <v>182</v>
      </c>
      <c r="B216">
        <v>4.3628E-3</v>
      </c>
      <c r="D216" t="s">
        <v>9</v>
      </c>
      <c r="E216" t="s">
        <v>189</v>
      </c>
      <c r="F216" t="s">
        <v>38</v>
      </c>
      <c r="G216" t="s">
        <v>227</v>
      </c>
    </row>
    <row r="217" spans="1:7" x14ac:dyDescent="0.35">
      <c r="A217" t="s">
        <v>40</v>
      </c>
      <c r="B217" s="7">
        <v>7.0705000000000003E-6</v>
      </c>
      <c r="D217" t="s">
        <v>9</v>
      </c>
      <c r="E217" t="s">
        <v>179</v>
      </c>
      <c r="F217" t="s">
        <v>38</v>
      </c>
      <c r="G217" t="s">
        <v>227</v>
      </c>
    </row>
    <row r="218" spans="1:7" x14ac:dyDescent="0.35">
      <c r="A218" t="s">
        <v>214</v>
      </c>
      <c r="B218">
        <v>0.92522000000000004</v>
      </c>
      <c r="D218" t="s">
        <v>123</v>
      </c>
      <c r="E218" t="s">
        <v>124</v>
      </c>
      <c r="F218" t="s">
        <v>38</v>
      </c>
      <c r="G218" t="s">
        <v>227</v>
      </c>
    </row>
    <row r="219" spans="1:7" x14ac:dyDescent="0.35">
      <c r="A219" t="s">
        <v>184</v>
      </c>
      <c r="B219" s="7">
        <v>1.9848E-5</v>
      </c>
      <c r="D219" t="s">
        <v>9</v>
      </c>
      <c r="E219" t="s">
        <v>189</v>
      </c>
      <c r="F219" t="s">
        <v>38</v>
      </c>
      <c r="G219" t="s">
        <v>227</v>
      </c>
    </row>
    <row r="220" spans="1:7" x14ac:dyDescent="0.35">
      <c r="A220" t="s">
        <v>184</v>
      </c>
      <c r="B220" s="7">
        <v>7.4398000000000002E-5</v>
      </c>
      <c r="D220" t="s">
        <v>9</v>
      </c>
      <c r="E220" t="s">
        <v>181</v>
      </c>
      <c r="F220" t="s">
        <v>38</v>
      </c>
      <c r="G220" t="s">
        <v>227</v>
      </c>
    </row>
    <row r="221" spans="1:7" x14ac:dyDescent="0.35">
      <c r="A221" t="s">
        <v>183</v>
      </c>
      <c r="B221" s="7">
        <v>1.8232000000000001E-5</v>
      </c>
      <c r="D221" t="s">
        <v>9</v>
      </c>
      <c r="E221" t="s">
        <v>181</v>
      </c>
      <c r="F221" t="s">
        <v>38</v>
      </c>
      <c r="G221" t="s">
        <v>227</v>
      </c>
    </row>
    <row r="222" spans="1:7" x14ac:dyDescent="0.35">
      <c r="A222" t="s">
        <v>215</v>
      </c>
      <c r="B222">
        <v>4.5872000000000003E-2</v>
      </c>
      <c r="D222" t="s">
        <v>125</v>
      </c>
      <c r="E222" t="s">
        <v>124</v>
      </c>
      <c r="F222" t="s">
        <v>38</v>
      </c>
      <c r="G222" t="s">
        <v>227</v>
      </c>
    </row>
    <row r="223" spans="1:7" x14ac:dyDescent="0.35">
      <c r="A223" t="s">
        <v>216</v>
      </c>
      <c r="B223">
        <v>4.5872000000000003E-2</v>
      </c>
      <c r="D223" t="s">
        <v>125</v>
      </c>
      <c r="E223" t="s">
        <v>124</v>
      </c>
      <c r="F223" t="s">
        <v>38</v>
      </c>
      <c r="G223" t="s">
        <v>227</v>
      </c>
    </row>
    <row r="224" spans="1:7" x14ac:dyDescent="0.35">
      <c r="A224" t="s">
        <v>152</v>
      </c>
      <c r="B224" s="7">
        <v>-8.3893999999999997E-6</v>
      </c>
      <c r="D224" t="s">
        <v>9</v>
      </c>
      <c r="E224" t="s">
        <v>180</v>
      </c>
      <c r="F224" t="s">
        <v>38</v>
      </c>
      <c r="G224" t="s">
        <v>227</v>
      </c>
    </row>
    <row r="225" spans="1:8" x14ac:dyDescent="0.35">
      <c r="A225" t="s">
        <v>217</v>
      </c>
      <c r="B225" s="7">
        <v>1.5839999999999999E-7</v>
      </c>
      <c r="D225" t="s">
        <v>9</v>
      </c>
      <c r="E225" t="s">
        <v>189</v>
      </c>
      <c r="F225" t="s">
        <v>38</v>
      </c>
      <c r="G225" t="s">
        <v>227</v>
      </c>
    </row>
    <row r="226" spans="1:8" x14ac:dyDescent="0.35">
      <c r="A226" t="s">
        <v>217</v>
      </c>
      <c r="B226" s="7">
        <v>4.9386000000000003E-8</v>
      </c>
      <c r="D226" t="s">
        <v>9</v>
      </c>
      <c r="E226" t="s">
        <v>181</v>
      </c>
      <c r="F226" t="s">
        <v>38</v>
      </c>
      <c r="G226" t="s">
        <v>227</v>
      </c>
    </row>
    <row r="228" spans="1:8" ht="15.5" x14ac:dyDescent="0.35">
      <c r="A228" s="1" t="s">
        <v>1</v>
      </c>
      <c r="B228" s="1" t="s">
        <v>387</v>
      </c>
    </row>
    <row r="229" spans="1:8" x14ac:dyDescent="0.35">
      <c r="A229" t="s">
        <v>2</v>
      </c>
      <c r="B229" t="s">
        <v>3</v>
      </c>
    </row>
    <row r="230" spans="1:8" x14ac:dyDescent="0.35">
      <c r="A230" t="s">
        <v>4</v>
      </c>
      <c r="B230">
        <v>1</v>
      </c>
    </row>
    <row r="231" spans="1:8" ht="15.5" x14ac:dyDescent="0.35">
      <c r="A231" t="s">
        <v>5</v>
      </c>
      <c r="B231" s="2" t="s">
        <v>388</v>
      </c>
    </row>
    <row r="232" spans="1:8" x14ac:dyDescent="0.35">
      <c r="A232" t="s">
        <v>6</v>
      </c>
      <c r="B232" t="s">
        <v>7</v>
      </c>
    </row>
    <row r="233" spans="1:8" x14ac:dyDescent="0.35">
      <c r="A233" t="s">
        <v>8</v>
      </c>
      <c r="B233" t="s">
        <v>9</v>
      </c>
    </row>
    <row r="234" spans="1:8" x14ac:dyDescent="0.35">
      <c r="A234" t="s">
        <v>10</v>
      </c>
      <c r="B234" t="s">
        <v>11</v>
      </c>
    </row>
    <row r="235" spans="1:8" x14ac:dyDescent="0.35">
      <c r="A235" t="s">
        <v>28</v>
      </c>
      <c r="B235" t="s">
        <v>241</v>
      </c>
    </row>
    <row r="236" spans="1:8" ht="15.5" x14ac:dyDescent="0.35">
      <c r="A236" s="1" t="s">
        <v>13</v>
      </c>
    </row>
    <row r="237" spans="1:8" x14ac:dyDescent="0.35">
      <c r="A237" t="s">
        <v>14</v>
      </c>
      <c r="B237" t="s">
        <v>15</v>
      </c>
      <c r="C237" t="s">
        <v>2</v>
      </c>
      <c r="D237" t="s">
        <v>8</v>
      </c>
      <c r="E237" t="s">
        <v>16</v>
      </c>
      <c r="F237" t="s">
        <v>6</v>
      </c>
      <c r="G237" t="s">
        <v>12</v>
      </c>
      <c r="H237" t="s">
        <v>5</v>
      </c>
    </row>
    <row r="238" spans="1:8" ht="15.5" x14ac:dyDescent="0.35">
      <c r="A238" s="2" t="s">
        <v>387</v>
      </c>
      <c r="B238">
        <v>1</v>
      </c>
      <c r="C238" t="s">
        <v>3</v>
      </c>
      <c r="D238" t="s">
        <v>9</v>
      </c>
      <c r="F238" t="s">
        <v>18</v>
      </c>
      <c r="G238" t="s">
        <v>19</v>
      </c>
      <c r="H238" s="2" t="s">
        <v>388</v>
      </c>
    </row>
    <row r="239" spans="1:8" ht="15.5" x14ac:dyDescent="0.35">
      <c r="A239" s="2" t="s">
        <v>68</v>
      </c>
      <c r="B239" s="6">
        <f>(1/((Allocation!C20*Allocation!B4*Allocation!B10)/1000))*Allocation!F32</f>
        <v>3.2444757981354098</v>
      </c>
      <c r="C239" t="s">
        <v>3</v>
      </c>
      <c r="D239" t="s">
        <v>9</v>
      </c>
      <c r="F239" t="s">
        <v>21</v>
      </c>
      <c r="G239" t="s">
        <v>19</v>
      </c>
      <c r="H239" s="2" t="s">
        <v>389</v>
      </c>
    </row>
    <row r="240" spans="1:8" ht="15.5" x14ac:dyDescent="0.35">
      <c r="A240" s="2" t="s">
        <v>232</v>
      </c>
      <c r="B240" s="4">
        <f>(337*Allocation!$B$3)/(Allocation!$B$4*Allocation!$B$10)*Allocation!F32</f>
        <v>9.8054794980372589E-2</v>
      </c>
      <c r="C240" t="s">
        <v>27</v>
      </c>
      <c r="D240" t="s">
        <v>20</v>
      </c>
      <c r="F240" t="s">
        <v>21</v>
      </c>
      <c r="H240" s="2" t="s">
        <v>233</v>
      </c>
    </row>
    <row r="241" spans="1:8" ht="15.5" x14ac:dyDescent="0.35">
      <c r="A241" s="2" t="s">
        <v>263</v>
      </c>
      <c r="B241" s="5">
        <f>((346.23/1000)/(Allocation!$B$4*Allocation!$B$10))*Allocation!$F$32</f>
        <v>9.5483462725015969E-2</v>
      </c>
      <c r="C241" t="s">
        <v>33</v>
      </c>
      <c r="D241" t="s">
        <v>9</v>
      </c>
      <c r="F241" t="s">
        <v>21</v>
      </c>
      <c r="H241" s="2" t="s">
        <v>264</v>
      </c>
    </row>
    <row r="242" spans="1:8" ht="15.5" x14ac:dyDescent="0.35">
      <c r="A242" s="2" t="s">
        <v>265</v>
      </c>
      <c r="B242" s="5">
        <f>((41.55/1000)/(Allocation!$B$4*Allocation!$B$10))*Allocation!$F$32</f>
        <v>1.1458677400064735E-2</v>
      </c>
      <c r="C242" t="s">
        <v>266</v>
      </c>
      <c r="D242" t="s">
        <v>9</v>
      </c>
      <c r="F242" t="s">
        <v>21</v>
      </c>
      <c r="H242" s="2" t="s">
        <v>267</v>
      </c>
    </row>
    <row r="243" spans="1:8" ht="15.5" x14ac:dyDescent="0.35">
      <c r="A243" s="2" t="s">
        <v>268</v>
      </c>
      <c r="B243" s="5">
        <f>((20.77/1000)/(Allocation!$B$4*Allocation!$B$10))*Allocation!$F$32</f>
        <v>5.7279597978181608E-3</v>
      </c>
      <c r="C243" t="s">
        <v>33</v>
      </c>
      <c r="D243" t="s">
        <v>9</v>
      </c>
      <c r="F243" t="s">
        <v>21</v>
      </c>
      <c r="H243" s="2" t="s">
        <v>427</v>
      </c>
    </row>
    <row r="244" spans="1:8" ht="15.5" x14ac:dyDescent="0.35">
      <c r="A244" s="2" t="s">
        <v>383</v>
      </c>
      <c r="B244" s="4">
        <f>((76.17/1000)/(Allocation!$B$4*Allocation!$B$10))*Allocation!$F$32</f>
        <v>2.1006196331237806E-2</v>
      </c>
      <c r="C244" t="s">
        <v>33</v>
      </c>
      <c r="D244" t="s">
        <v>9</v>
      </c>
      <c r="F244" t="s">
        <v>21</v>
      </c>
      <c r="H244" s="2" t="s">
        <v>384</v>
      </c>
    </row>
    <row r="245" spans="1:8" ht="15.5" x14ac:dyDescent="0.35">
      <c r="A245" s="2" t="s">
        <v>401</v>
      </c>
      <c r="B245" s="4">
        <f>((117.72/1000)/(Allocation!$B$4*Allocation!$B$10))*Allocation!$F$32</f>
        <v>3.2464873731302545E-2</v>
      </c>
      <c r="C245" t="s">
        <v>27</v>
      </c>
      <c r="D245" t="s">
        <v>9</v>
      </c>
      <c r="F245" t="s">
        <v>21</v>
      </c>
      <c r="G245" t="s">
        <v>403</v>
      </c>
      <c r="H245" s="2" t="s">
        <v>402</v>
      </c>
    </row>
    <row r="246" spans="1:8" x14ac:dyDescent="0.35">
      <c r="A246" t="s">
        <v>201</v>
      </c>
      <c r="B246" s="6">
        <f>(B196*B239)-Allocation!$B$13</f>
        <v>3.1520867349985355</v>
      </c>
      <c r="D246" t="s">
        <v>9</v>
      </c>
      <c r="E246" t="s">
        <v>39</v>
      </c>
      <c r="F246" t="s">
        <v>38</v>
      </c>
      <c r="G246" t="s">
        <v>441</v>
      </c>
    </row>
    <row r="247" spans="1:8" x14ac:dyDescent="0.35">
      <c r="A247" t="s">
        <v>319</v>
      </c>
      <c r="B247" s="7">
        <f>1/(90000000*20)</f>
        <v>5.5555555555555553E-10</v>
      </c>
      <c r="C247" t="s">
        <v>27</v>
      </c>
      <c r="D247" t="s">
        <v>8</v>
      </c>
      <c r="F247" t="s">
        <v>21</v>
      </c>
      <c r="G247" t="s">
        <v>321</v>
      </c>
      <c r="H247" t="s">
        <v>320</v>
      </c>
    </row>
    <row r="248" spans="1:8" ht="15.5" x14ac:dyDescent="0.35">
      <c r="A248" s="2"/>
      <c r="H248" s="2"/>
    </row>
    <row r="249" spans="1:8" ht="15.5" x14ac:dyDescent="0.35">
      <c r="A249" s="1" t="s">
        <v>1</v>
      </c>
      <c r="B249" s="1" t="s">
        <v>390</v>
      </c>
    </row>
    <row r="250" spans="1:8" x14ac:dyDescent="0.35">
      <c r="A250" t="s">
        <v>2</v>
      </c>
      <c r="B250" t="s">
        <v>3</v>
      </c>
    </row>
    <row r="251" spans="1:8" x14ac:dyDescent="0.35">
      <c r="A251" t="s">
        <v>4</v>
      </c>
      <c r="B251">
        <v>1</v>
      </c>
    </row>
    <row r="252" spans="1:8" ht="15.5" x14ac:dyDescent="0.35">
      <c r="A252" t="s">
        <v>5</v>
      </c>
      <c r="B252" s="2" t="s">
        <v>388</v>
      </c>
    </row>
    <row r="253" spans="1:8" x14ac:dyDescent="0.35">
      <c r="A253" t="s">
        <v>6</v>
      </c>
      <c r="B253" t="s">
        <v>7</v>
      </c>
    </row>
    <row r="254" spans="1:8" x14ac:dyDescent="0.35">
      <c r="A254" t="s">
        <v>8</v>
      </c>
      <c r="B254" t="s">
        <v>9</v>
      </c>
    </row>
    <row r="255" spans="1:8" x14ac:dyDescent="0.35">
      <c r="A255" t="s">
        <v>10</v>
      </c>
      <c r="B255" t="s">
        <v>11</v>
      </c>
    </row>
    <row r="256" spans="1:8" x14ac:dyDescent="0.35">
      <c r="A256" t="s">
        <v>28</v>
      </c>
      <c r="B256" t="s">
        <v>386</v>
      </c>
    </row>
    <row r="257" spans="1:8" ht="15.5" x14ac:dyDescent="0.35">
      <c r="A257" s="1" t="s">
        <v>13</v>
      </c>
    </row>
    <row r="258" spans="1:8" x14ac:dyDescent="0.35">
      <c r="A258" t="s">
        <v>14</v>
      </c>
      <c r="B258" t="s">
        <v>15</v>
      </c>
      <c r="C258" t="s">
        <v>2</v>
      </c>
      <c r="D258" t="s">
        <v>8</v>
      </c>
      <c r="E258" t="s">
        <v>16</v>
      </c>
      <c r="F258" t="s">
        <v>6</v>
      </c>
      <c r="G258" t="s">
        <v>12</v>
      </c>
      <c r="H258" t="s">
        <v>5</v>
      </c>
    </row>
    <row r="259" spans="1:8" ht="15.5" x14ac:dyDescent="0.35">
      <c r="A259" s="2" t="s">
        <v>390</v>
      </c>
      <c r="B259">
        <v>1</v>
      </c>
      <c r="C259" t="s">
        <v>3</v>
      </c>
      <c r="D259" t="s">
        <v>9</v>
      </c>
      <c r="F259" t="s">
        <v>18</v>
      </c>
      <c r="G259" t="s">
        <v>19</v>
      </c>
      <c r="H259" s="2" t="s">
        <v>388</v>
      </c>
    </row>
    <row r="260" spans="1:8" ht="15.5" x14ac:dyDescent="0.35">
      <c r="A260" s="2" t="s">
        <v>68</v>
      </c>
      <c r="B260" s="6">
        <f>(1/((Allocation!C20*Allocation!B4*Allocation!B10)/1000))*Allocation!G32</f>
        <v>3.5882226085354634</v>
      </c>
      <c r="C260" t="s">
        <v>3</v>
      </c>
      <c r="D260" t="s">
        <v>9</v>
      </c>
      <c r="F260" t="s">
        <v>21</v>
      </c>
      <c r="G260" t="s">
        <v>19</v>
      </c>
      <c r="H260" s="2" t="s">
        <v>389</v>
      </c>
    </row>
    <row r="261" spans="1:8" ht="15.5" x14ac:dyDescent="0.35">
      <c r="A261" s="2" t="s">
        <v>232</v>
      </c>
      <c r="B261" s="4">
        <f>(337*Allocation!$B$3)/(Allocation!$B$4*Allocation!$B$10)*Allocation!G32</f>
        <v>0.1084435372968679</v>
      </c>
      <c r="C261" t="s">
        <v>27</v>
      </c>
      <c r="D261" t="s">
        <v>20</v>
      </c>
      <c r="F261" t="s">
        <v>21</v>
      </c>
      <c r="H261" s="2" t="s">
        <v>233</v>
      </c>
    </row>
    <row r="262" spans="1:8" ht="15.5" x14ac:dyDescent="0.35">
      <c r="A262" s="2" t="s">
        <v>263</v>
      </c>
      <c r="B262" s="5">
        <f>((346.23/1000)/(Allocation!$B$4*Allocation!$B$10))*Allocation!$G$32</f>
        <v>0.10559977666902486</v>
      </c>
      <c r="C262" t="s">
        <v>33</v>
      </c>
      <c r="D262" t="s">
        <v>9</v>
      </c>
      <c r="F262" t="s">
        <v>21</v>
      </c>
      <c r="H262" s="2" t="s">
        <v>264</v>
      </c>
    </row>
    <row r="263" spans="1:8" ht="15.5" x14ac:dyDescent="0.35">
      <c r="A263" s="2" t="s">
        <v>265</v>
      </c>
      <c r="B263" s="5">
        <f>((41.55/1000)/(Allocation!$B$4*Allocation!$B$10))*Allocation!$G$32</f>
        <v>1.2672705197695122E-2</v>
      </c>
      <c r="C263" t="s">
        <v>266</v>
      </c>
      <c r="D263" t="s">
        <v>9</v>
      </c>
      <c r="F263" t="s">
        <v>21</v>
      </c>
      <c r="H263" s="2" t="s">
        <v>267</v>
      </c>
    </row>
    <row r="264" spans="1:8" ht="15.5" x14ac:dyDescent="0.35">
      <c r="A264" s="2" t="s">
        <v>268</v>
      </c>
      <c r="B264" s="5">
        <f>((20.77/1000)/(Allocation!$B$4*Allocation!$B$10))*Allocation!$G$32</f>
        <v>6.3348276042389344E-3</v>
      </c>
      <c r="C264" t="s">
        <v>33</v>
      </c>
      <c r="D264" t="s">
        <v>9</v>
      </c>
      <c r="F264" t="s">
        <v>21</v>
      </c>
      <c r="H264" s="2" t="s">
        <v>427</v>
      </c>
    </row>
    <row r="265" spans="1:8" ht="15.5" x14ac:dyDescent="0.35">
      <c r="A265" s="2" t="s">
        <v>383</v>
      </c>
      <c r="B265" s="4">
        <f>((76.17/1000)/(Allocation!$B$4*Allocation!$B$10))*Allocation!$G$32</f>
        <v>2.3231767867832431E-2</v>
      </c>
      <c r="C265" t="s">
        <v>33</v>
      </c>
      <c r="D265" t="s">
        <v>9</v>
      </c>
      <c r="F265" t="s">
        <v>21</v>
      </c>
      <c r="H265" s="2" t="s">
        <v>384</v>
      </c>
    </row>
    <row r="266" spans="1:8" ht="15.5" x14ac:dyDescent="0.35">
      <c r="A266" s="2" t="s">
        <v>401</v>
      </c>
      <c r="B266" s="4">
        <f>((117.72/1000)/(Allocation!$B$4*Allocation!$B$10))*Allocation!$G$32</f>
        <v>3.5904473065527555E-2</v>
      </c>
      <c r="C266" t="s">
        <v>27</v>
      </c>
      <c r="D266" t="s">
        <v>9</v>
      </c>
      <c r="F266" t="s">
        <v>21</v>
      </c>
      <c r="G266" t="s">
        <v>403</v>
      </c>
      <c r="H266" s="2" t="s">
        <v>402</v>
      </c>
    </row>
    <row r="267" spans="1:8" x14ac:dyDescent="0.35">
      <c r="A267" t="s">
        <v>201</v>
      </c>
      <c r="B267" s="6">
        <f>(B196*B260)-Allocation!$B$13</f>
        <v>3.6888301920976998</v>
      </c>
      <c r="D267" t="s">
        <v>9</v>
      </c>
      <c r="E267" t="s">
        <v>39</v>
      </c>
      <c r="F267" t="s">
        <v>38</v>
      </c>
      <c r="G267" t="s">
        <v>441</v>
      </c>
    </row>
    <row r="268" spans="1:8" x14ac:dyDescent="0.35">
      <c r="A268" t="s">
        <v>319</v>
      </c>
      <c r="B268" s="7">
        <f>1/(90000000*20)</f>
        <v>5.5555555555555553E-10</v>
      </c>
      <c r="C268" t="s">
        <v>27</v>
      </c>
      <c r="D268" t="s">
        <v>8</v>
      </c>
      <c r="F268" t="s">
        <v>21</v>
      </c>
      <c r="G268" t="s">
        <v>321</v>
      </c>
      <c r="H268" t="s">
        <v>320</v>
      </c>
    </row>
    <row r="269" spans="1:8" ht="15.5" x14ac:dyDescent="0.35">
      <c r="A269" s="2"/>
      <c r="H269" s="2"/>
    </row>
    <row r="270" spans="1:8" ht="15.5" x14ac:dyDescent="0.35">
      <c r="A270" s="1" t="s">
        <v>1</v>
      </c>
      <c r="B270" s="1" t="s">
        <v>526</v>
      </c>
    </row>
    <row r="271" spans="1:8" x14ac:dyDescent="0.35">
      <c r="A271" t="s">
        <v>2</v>
      </c>
      <c r="B271" t="s">
        <v>3</v>
      </c>
    </row>
    <row r="272" spans="1:8" x14ac:dyDescent="0.35">
      <c r="A272" t="s">
        <v>4</v>
      </c>
      <c r="B272">
        <v>1</v>
      </c>
    </row>
    <row r="273" spans="1:8" ht="15.5" x14ac:dyDescent="0.35">
      <c r="A273" t="s">
        <v>5</v>
      </c>
      <c r="B273" s="2" t="s">
        <v>388</v>
      </c>
    </row>
    <row r="274" spans="1:8" x14ac:dyDescent="0.35">
      <c r="A274" t="s">
        <v>6</v>
      </c>
      <c r="B274" t="s">
        <v>7</v>
      </c>
    </row>
    <row r="275" spans="1:8" x14ac:dyDescent="0.35">
      <c r="A275" t="s">
        <v>8</v>
      </c>
      <c r="B275" t="s">
        <v>9</v>
      </c>
    </row>
    <row r="276" spans="1:8" x14ac:dyDescent="0.35">
      <c r="A276" t="s">
        <v>10</v>
      </c>
      <c r="B276" t="s">
        <v>11</v>
      </c>
    </row>
    <row r="277" spans="1:8" x14ac:dyDescent="0.35">
      <c r="A277" t="s">
        <v>28</v>
      </c>
      <c r="B277" t="s">
        <v>522</v>
      </c>
    </row>
    <row r="278" spans="1:8" ht="15.5" x14ac:dyDescent="0.35">
      <c r="A278" s="1" t="s">
        <v>13</v>
      </c>
    </row>
    <row r="279" spans="1:8" x14ac:dyDescent="0.35">
      <c r="A279" t="s">
        <v>14</v>
      </c>
      <c r="B279" t="s">
        <v>15</v>
      </c>
      <c r="C279" t="s">
        <v>2</v>
      </c>
      <c r="D279" t="s">
        <v>8</v>
      </c>
      <c r="E279" t="s">
        <v>16</v>
      </c>
      <c r="F279" t="s">
        <v>6</v>
      </c>
      <c r="G279" t="s">
        <v>12</v>
      </c>
      <c r="H279" t="s">
        <v>5</v>
      </c>
    </row>
    <row r="280" spans="1:8" ht="15.5" x14ac:dyDescent="0.35">
      <c r="A280" s="2" t="s">
        <v>526</v>
      </c>
      <c r="B280">
        <v>1</v>
      </c>
      <c r="C280" t="s">
        <v>3</v>
      </c>
      <c r="D280" t="s">
        <v>9</v>
      </c>
      <c r="F280" t="s">
        <v>18</v>
      </c>
      <c r="G280" t="s">
        <v>19</v>
      </c>
      <c r="H280" s="2" t="s">
        <v>388</v>
      </c>
    </row>
    <row r="281" spans="1:8" ht="15.5" x14ac:dyDescent="0.35">
      <c r="A281" s="2" t="s">
        <v>68</v>
      </c>
      <c r="B281" s="6">
        <f>(1/((Allocation!C20*Allocation!B4*Allocation!B10)/1000))</f>
        <v>3.9394735346660368</v>
      </c>
      <c r="C281" t="s">
        <v>3</v>
      </c>
      <c r="D281" t="s">
        <v>9</v>
      </c>
      <c r="F281" t="s">
        <v>21</v>
      </c>
      <c r="G281" t="s">
        <v>19</v>
      </c>
      <c r="H281" s="2" t="s">
        <v>389</v>
      </c>
    </row>
    <row r="282" spans="1:8" ht="15.5" x14ac:dyDescent="0.35">
      <c r="A282" s="2" t="s">
        <v>232</v>
      </c>
      <c r="B282" s="4">
        <f>(337*Allocation!$B$3)/(Allocation!$B$4*Allocation!$B$10)</f>
        <v>0.11905906957120109</v>
      </c>
      <c r="C282" t="s">
        <v>27</v>
      </c>
      <c r="D282" t="s">
        <v>20</v>
      </c>
      <c r="F282" t="s">
        <v>21</v>
      </c>
      <c r="H282" s="2" t="s">
        <v>233</v>
      </c>
    </row>
    <row r="283" spans="1:8" ht="15.5" x14ac:dyDescent="0.35">
      <c r="A283" s="2" t="s">
        <v>263</v>
      </c>
      <c r="B283" s="5">
        <f>((346.23/1000)/(Allocation!$B$4*Allocation!$B$10))</f>
        <v>0.11593693336213089</v>
      </c>
      <c r="C283" t="s">
        <v>33</v>
      </c>
      <c r="D283" t="s">
        <v>9</v>
      </c>
      <c r="F283" t="s">
        <v>21</v>
      </c>
      <c r="H283" s="2" t="s">
        <v>264</v>
      </c>
    </row>
    <row r="284" spans="1:8" ht="15.5" x14ac:dyDescent="0.35">
      <c r="A284" s="2" t="s">
        <v>265</v>
      </c>
      <c r="B284" s="5">
        <f>((41.55/1000)/(Allocation!$B$4*Allocation!$B$10))</f>
        <v>1.3913235656056776E-2</v>
      </c>
      <c r="C284" t="s">
        <v>266</v>
      </c>
      <c r="D284" t="s">
        <v>9</v>
      </c>
      <c r="F284" t="s">
        <v>21</v>
      </c>
      <c r="H284" s="2" t="s">
        <v>267</v>
      </c>
    </row>
    <row r="285" spans="1:8" ht="15.5" x14ac:dyDescent="0.35">
      <c r="A285" s="2" t="s">
        <v>268</v>
      </c>
      <c r="B285" s="5">
        <f>((20.77/1000)/(Allocation!$B$4*Allocation!$B$10))</f>
        <v>6.9549435517761559E-3</v>
      </c>
      <c r="C285" t="s">
        <v>33</v>
      </c>
      <c r="D285" t="s">
        <v>9</v>
      </c>
      <c r="F285" t="s">
        <v>21</v>
      </c>
      <c r="H285" s="2" t="s">
        <v>427</v>
      </c>
    </row>
    <row r="286" spans="1:8" ht="15.5" x14ac:dyDescent="0.35">
      <c r="A286" s="2" t="s">
        <v>383</v>
      </c>
      <c r="B286" s="4">
        <f>((76.17/1000)/(Allocation!$B$4*Allocation!$B$10))</f>
        <v>2.5505924426518525E-2</v>
      </c>
      <c r="C286" t="s">
        <v>33</v>
      </c>
      <c r="D286" t="s">
        <v>9</v>
      </c>
      <c r="F286" t="s">
        <v>21</v>
      </c>
      <c r="H286" s="2" t="s">
        <v>384</v>
      </c>
    </row>
    <row r="287" spans="1:8" ht="15.5" x14ac:dyDescent="0.35">
      <c r="A287" s="2" t="s">
        <v>328</v>
      </c>
      <c r="B287" s="4">
        <f>((106.73/1000)/(Allocation!$B$4*Allocation!$B$10))</f>
        <v>3.5739100880167025E-2</v>
      </c>
      <c r="C287" t="s">
        <v>33</v>
      </c>
      <c r="D287" t="s">
        <v>9</v>
      </c>
      <c r="F287" t="s">
        <v>21</v>
      </c>
      <c r="G287" t="s">
        <v>327</v>
      </c>
      <c r="H287" s="2" t="s">
        <v>329</v>
      </c>
    </row>
    <row r="288" spans="1:8" ht="15.5" x14ac:dyDescent="0.35">
      <c r="A288" s="2" t="s">
        <v>397</v>
      </c>
      <c r="B288" s="4">
        <f>((26.58/1000)/(Allocation!$B$4*Allocation!$B$10))</f>
        <v>8.9004525568709778E-3</v>
      </c>
      <c r="C288" t="s">
        <v>27</v>
      </c>
      <c r="D288" t="s">
        <v>9</v>
      </c>
      <c r="F288" t="s">
        <v>21</v>
      </c>
      <c r="G288" t="s">
        <v>399</v>
      </c>
      <c r="H288" s="2" t="s">
        <v>398</v>
      </c>
    </row>
    <row r="289" spans="1:10" ht="15.5" x14ac:dyDescent="0.35">
      <c r="A289" s="2" t="s">
        <v>401</v>
      </c>
      <c r="B289" s="4">
        <f>((117.72/1000)/(Allocation!$B$4*Allocation!$B$10))</f>
        <v>3.9419160082575302E-2</v>
      </c>
      <c r="C289" t="s">
        <v>27</v>
      </c>
      <c r="D289" t="s">
        <v>9</v>
      </c>
      <c r="F289" t="s">
        <v>21</v>
      </c>
      <c r="G289" t="s">
        <v>403</v>
      </c>
      <c r="H289" s="2" t="s">
        <v>402</v>
      </c>
    </row>
    <row r="290" spans="1:10" x14ac:dyDescent="0.35">
      <c r="A290" t="s">
        <v>201</v>
      </c>
      <c r="B290" s="6">
        <f>(B196*B281)-Allocation!$B$13</f>
        <v>4.2372909507042831</v>
      </c>
      <c r="D290" t="s">
        <v>9</v>
      </c>
      <c r="E290" t="s">
        <v>39</v>
      </c>
      <c r="F290" t="s">
        <v>38</v>
      </c>
      <c r="G290" t="s">
        <v>441</v>
      </c>
    </row>
    <row r="291" spans="1:10" x14ac:dyDescent="0.35">
      <c r="A291" t="s">
        <v>319</v>
      </c>
      <c r="B291" s="7">
        <f>1/(90000000*20)</f>
        <v>5.5555555555555553E-10</v>
      </c>
      <c r="C291" t="s">
        <v>27</v>
      </c>
      <c r="D291" t="s">
        <v>8</v>
      </c>
      <c r="F291" t="s">
        <v>21</v>
      </c>
      <c r="G291" t="s">
        <v>321</v>
      </c>
      <c r="H291" t="s">
        <v>320</v>
      </c>
    </row>
    <row r="292" spans="1:10" x14ac:dyDescent="0.35">
      <c r="A292" s="38" t="s">
        <v>30</v>
      </c>
      <c r="B292" s="38">
        <f>Allocation!D19/Allocation!B4*Allocation!B10*-1</f>
        <v>-0.50274302587613584</v>
      </c>
      <c r="C292" t="s">
        <v>3</v>
      </c>
      <c r="D292" s="38" t="s">
        <v>31</v>
      </c>
      <c r="E292" s="38"/>
      <c r="F292" s="38" t="s">
        <v>21</v>
      </c>
      <c r="G292" s="38" t="s">
        <v>523</v>
      </c>
      <c r="H292" s="38" t="s">
        <v>32</v>
      </c>
      <c r="I292" s="38"/>
    </row>
    <row r="293" spans="1:10" ht="15.5" x14ac:dyDescent="0.35">
      <c r="A293" s="2"/>
      <c r="B293" s="4"/>
      <c r="H293" s="2"/>
    </row>
    <row r="294" spans="1:10" ht="15.5" x14ac:dyDescent="0.35">
      <c r="A294" s="1" t="s">
        <v>1</v>
      </c>
      <c r="B294" s="1" t="s">
        <v>407</v>
      </c>
    </row>
    <row r="295" spans="1:10" x14ac:dyDescent="0.35">
      <c r="A295" t="s">
        <v>2</v>
      </c>
      <c r="B295" t="s">
        <v>3</v>
      </c>
    </row>
    <row r="296" spans="1:10" x14ac:dyDescent="0.35">
      <c r="A296" t="s">
        <v>4</v>
      </c>
      <c r="B296">
        <v>1</v>
      </c>
    </row>
    <row r="297" spans="1:10" ht="15.5" x14ac:dyDescent="0.35">
      <c r="A297" t="s">
        <v>5</v>
      </c>
      <c r="B297" s="2" t="s">
        <v>350</v>
      </c>
    </row>
    <row r="298" spans="1:10" x14ac:dyDescent="0.35">
      <c r="A298" t="s">
        <v>6</v>
      </c>
      <c r="B298" t="s">
        <v>7</v>
      </c>
    </row>
    <row r="299" spans="1:10" x14ac:dyDescent="0.35">
      <c r="A299" t="s">
        <v>8</v>
      </c>
      <c r="B299" t="s">
        <v>9</v>
      </c>
    </row>
    <row r="300" spans="1:10" x14ac:dyDescent="0.35">
      <c r="A300" t="s">
        <v>10</v>
      </c>
      <c r="B300" t="s">
        <v>406</v>
      </c>
    </row>
    <row r="301" spans="1:10" x14ac:dyDescent="0.35">
      <c r="A301" t="s">
        <v>12</v>
      </c>
      <c r="B301" t="s">
        <v>375</v>
      </c>
    </row>
    <row r="302" spans="1:10" ht="15.5" x14ac:dyDescent="0.35">
      <c r="A302" s="1" t="s">
        <v>13</v>
      </c>
    </row>
    <row r="303" spans="1:10" x14ac:dyDescent="0.35">
      <c r="A303" t="s">
        <v>14</v>
      </c>
      <c r="B303" t="s">
        <v>15</v>
      </c>
      <c r="C303" t="s">
        <v>2</v>
      </c>
      <c r="D303" t="s">
        <v>8</v>
      </c>
      <c r="E303" t="s">
        <v>16</v>
      </c>
      <c r="F303" t="s">
        <v>6</v>
      </c>
      <c r="G303" t="s">
        <v>351</v>
      </c>
      <c r="H303" t="s">
        <v>352</v>
      </c>
      <c r="I303" t="s">
        <v>12</v>
      </c>
      <c r="J303" t="s">
        <v>5</v>
      </c>
    </row>
    <row r="304" spans="1:10" x14ac:dyDescent="0.35">
      <c r="A304" s="38" t="s">
        <v>407</v>
      </c>
      <c r="B304" s="38">
        <v>1</v>
      </c>
      <c r="C304" t="s">
        <v>3</v>
      </c>
      <c r="D304" s="38" t="s">
        <v>9</v>
      </c>
      <c r="E304" s="38"/>
      <c r="F304" s="38" t="s">
        <v>18</v>
      </c>
      <c r="G304" s="38"/>
      <c r="H304" s="38"/>
      <c r="I304" s="38" t="s">
        <v>19</v>
      </c>
      <c r="J304" s="38" t="s">
        <v>350</v>
      </c>
    </row>
    <row r="305" spans="1:10" ht="15.5" x14ac:dyDescent="0.35">
      <c r="A305" s="2" t="s">
        <v>387</v>
      </c>
      <c r="B305">
        <v>1.00057</v>
      </c>
      <c r="C305" t="s">
        <v>3</v>
      </c>
      <c r="D305" t="s">
        <v>9</v>
      </c>
      <c r="F305" s="38" t="s">
        <v>21</v>
      </c>
      <c r="G305" t="s">
        <v>19</v>
      </c>
      <c r="I305" s="38"/>
      <c r="J305" s="2" t="s">
        <v>388</v>
      </c>
    </row>
    <row r="306" spans="1:10" x14ac:dyDescent="0.35">
      <c r="A306" s="38" t="s">
        <v>30</v>
      </c>
      <c r="B306" s="38">
        <v>6.7000000000000002E-3</v>
      </c>
      <c r="C306" t="s">
        <v>3</v>
      </c>
      <c r="D306" s="38" t="s">
        <v>31</v>
      </c>
      <c r="E306" s="38"/>
      <c r="F306" s="38" t="s">
        <v>21</v>
      </c>
      <c r="G306" s="38"/>
      <c r="H306" s="38"/>
      <c r="I306" s="38"/>
      <c r="J306" s="38" t="s">
        <v>32</v>
      </c>
    </row>
    <row r="307" spans="1:10" x14ac:dyDescent="0.35">
      <c r="A307" s="38" t="s">
        <v>353</v>
      </c>
      <c r="B307" s="38">
        <v>-1.6799999999999999E-4</v>
      </c>
      <c r="C307" s="38" t="s">
        <v>33</v>
      </c>
      <c r="D307" s="38" t="s">
        <v>9</v>
      </c>
      <c r="E307" s="38"/>
      <c r="F307" s="38" t="s">
        <v>21</v>
      </c>
      <c r="G307" s="38"/>
      <c r="H307" s="38"/>
      <c r="I307" s="38"/>
      <c r="J307" s="38" t="s">
        <v>354</v>
      </c>
    </row>
    <row r="308" spans="1:10" x14ac:dyDescent="0.35">
      <c r="A308" s="38" t="s">
        <v>355</v>
      </c>
      <c r="B308" s="39">
        <v>5.8399999999999999E-4</v>
      </c>
      <c r="C308" s="38" t="s">
        <v>33</v>
      </c>
      <c r="D308" s="38" t="s">
        <v>20</v>
      </c>
      <c r="E308" s="38"/>
      <c r="F308" s="38" t="s">
        <v>21</v>
      </c>
      <c r="G308" s="38"/>
      <c r="H308" s="38"/>
      <c r="I308" s="38"/>
      <c r="J308" s="38" t="s">
        <v>356</v>
      </c>
    </row>
    <row r="309" spans="1:10" x14ac:dyDescent="0.35">
      <c r="A309" s="38" t="s">
        <v>357</v>
      </c>
      <c r="B309" s="39">
        <v>2.5999999999999998E-10</v>
      </c>
      <c r="C309" s="38" t="s">
        <v>33</v>
      </c>
      <c r="D309" s="38" t="s">
        <v>8</v>
      </c>
      <c r="E309" s="38"/>
      <c r="F309" s="38" t="s">
        <v>21</v>
      </c>
      <c r="G309" s="38"/>
      <c r="H309" s="38"/>
      <c r="I309" s="38"/>
      <c r="J309" s="38" t="s">
        <v>358</v>
      </c>
    </row>
    <row r="310" spans="1:10" x14ac:dyDescent="0.35">
      <c r="A310" s="38" t="s">
        <v>359</v>
      </c>
      <c r="B310" s="39">
        <v>-6.2700000000000001E-6</v>
      </c>
      <c r="C310" s="38" t="s">
        <v>33</v>
      </c>
      <c r="D310" s="38" t="s">
        <v>9</v>
      </c>
      <c r="E310" s="38"/>
      <c r="F310" s="38" t="s">
        <v>21</v>
      </c>
      <c r="G310" s="38"/>
      <c r="H310" s="38"/>
      <c r="I310" s="38"/>
      <c r="J310" s="38" t="s">
        <v>360</v>
      </c>
    </row>
    <row r="311" spans="1:10" x14ac:dyDescent="0.35">
      <c r="A311" s="38" t="s">
        <v>361</v>
      </c>
      <c r="B311" s="39">
        <v>-7.4999999999999993E-5</v>
      </c>
      <c r="C311" s="38" t="s">
        <v>33</v>
      </c>
      <c r="D311" s="38" t="s">
        <v>131</v>
      </c>
      <c r="E311" s="38"/>
      <c r="F311" s="38" t="s">
        <v>21</v>
      </c>
      <c r="G311" s="38"/>
      <c r="H311" s="38"/>
      <c r="I311" s="38"/>
      <c r="J311" s="38" t="s">
        <v>362</v>
      </c>
    </row>
    <row r="312" spans="1:10" x14ac:dyDescent="0.35">
      <c r="A312" s="38" t="s">
        <v>363</v>
      </c>
      <c r="B312" s="39">
        <v>6.8900000000000005E-4</v>
      </c>
      <c r="C312" s="38" t="s">
        <v>33</v>
      </c>
      <c r="D312" s="38" t="s">
        <v>9</v>
      </c>
      <c r="E312" s="38"/>
      <c r="F312" s="38" t="s">
        <v>21</v>
      </c>
      <c r="G312" s="38"/>
      <c r="H312" s="38"/>
      <c r="I312" s="38"/>
      <c r="J312" s="38" t="s">
        <v>364</v>
      </c>
    </row>
    <row r="313" spans="1:10" x14ac:dyDescent="0.35">
      <c r="A313" s="38" t="s">
        <v>108</v>
      </c>
      <c r="B313" s="38">
        <v>3.3599999999999998E-2</v>
      </c>
      <c r="C313" s="38" t="s">
        <v>33</v>
      </c>
      <c r="D313" s="38" t="s">
        <v>45</v>
      </c>
      <c r="E313" s="38"/>
      <c r="F313" s="38" t="s">
        <v>21</v>
      </c>
      <c r="G313" s="38"/>
      <c r="H313" s="38"/>
      <c r="I313" s="38"/>
      <c r="J313" s="38" t="s">
        <v>111</v>
      </c>
    </row>
    <row r="314" spans="1:10" x14ac:dyDescent="0.35">
      <c r="A314" s="38" t="s">
        <v>365</v>
      </c>
      <c r="B314" s="38">
        <v>3.2599999999999997E-2</v>
      </c>
      <c r="C314" s="38" t="s">
        <v>33</v>
      </c>
      <c r="D314" s="38" t="s">
        <v>45</v>
      </c>
      <c r="E314" s="38"/>
      <c r="F314" s="38" t="s">
        <v>21</v>
      </c>
      <c r="G314" s="38"/>
      <c r="H314" s="38"/>
      <c r="I314" s="38"/>
      <c r="J314" s="38" t="s">
        <v>366</v>
      </c>
    </row>
    <row r="315" spans="1:10" x14ac:dyDescent="0.35">
      <c r="A315" s="38" t="s">
        <v>367</v>
      </c>
      <c r="B315" s="39">
        <v>-6.8899999999999999E-7</v>
      </c>
      <c r="C315" s="38" t="s">
        <v>33</v>
      </c>
      <c r="D315" s="38" t="s">
        <v>131</v>
      </c>
      <c r="E315" s="38"/>
      <c r="F315" s="38" t="s">
        <v>21</v>
      </c>
      <c r="G315" s="38"/>
      <c r="H315" s="38"/>
      <c r="I315" s="38"/>
      <c r="J315" s="38" t="s">
        <v>368</v>
      </c>
    </row>
    <row r="317" spans="1:10" ht="15.5" x14ac:dyDescent="0.35">
      <c r="A317" s="1" t="s">
        <v>1</v>
      </c>
      <c r="B317" s="1" t="s">
        <v>408</v>
      </c>
    </row>
    <row r="318" spans="1:10" x14ac:dyDescent="0.35">
      <c r="A318" t="s">
        <v>2</v>
      </c>
      <c r="B318" t="s">
        <v>3</v>
      </c>
    </row>
    <row r="319" spans="1:10" x14ac:dyDescent="0.35">
      <c r="A319" t="s">
        <v>4</v>
      </c>
      <c r="B319">
        <v>1</v>
      </c>
    </row>
    <row r="320" spans="1:10" ht="15.5" x14ac:dyDescent="0.35">
      <c r="A320" t="s">
        <v>5</v>
      </c>
      <c r="B320" s="2" t="s">
        <v>350</v>
      </c>
    </row>
    <row r="321" spans="1:10" x14ac:dyDescent="0.35">
      <c r="A321" t="s">
        <v>6</v>
      </c>
      <c r="B321" t="s">
        <v>7</v>
      </c>
    </row>
    <row r="322" spans="1:10" x14ac:dyDescent="0.35">
      <c r="A322" t="s">
        <v>8</v>
      </c>
      <c r="B322" t="s">
        <v>9</v>
      </c>
    </row>
    <row r="323" spans="1:10" x14ac:dyDescent="0.35">
      <c r="A323" t="s">
        <v>10</v>
      </c>
      <c r="B323" t="s">
        <v>406</v>
      </c>
    </row>
    <row r="324" spans="1:10" x14ac:dyDescent="0.35">
      <c r="A324" t="s">
        <v>12</v>
      </c>
      <c r="B324" t="s">
        <v>374</v>
      </c>
    </row>
    <row r="325" spans="1:10" ht="15.5" x14ac:dyDescent="0.35">
      <c r="A325" s="1" t="s">
        <v>13</v>
      </c>
    </row>
    <row r="326" spans="1:10" x14ac:dyDescent="0.35">
      <c r="A326" t="s">
        <v>14</v>
      </c>
      <c r="B326" t="s">
        <v>15</v>
      </c>
      <c r="C326" t="s">
        <v>2</v>
      </c>
      <c r="D326" t="s">
        <v>8</v>
      </c>
      <c r="E326" t="s">
        <v>16</v>
      </c>
      <c r="F326" t="s">
        <v>6</v>
      </c>
      <c r="G326" t="s">
        <v>351</v>
      </c>
      <c r="H326" t="s">
        <v>352</v>
      </c>
      <c r="I326" t="s">
        <v>12</v>
      </c>
      <c r="J326" t="s">
        <v>5</v>
      </c>
    </row>
    <row r="327" spans="1:10" x14ac:dyDescent="0.35">
      <c r="A327" s="38" t="s">
        <v>408</v>
      </c>
      <c r="B327" s="38">
        <v>1</v>
      </c>
      <c r="C327" t="s">
        <v>3</v>
      </c>
      <c r="D327" s="38" t="s">
        <v>9</v>
      </c>
      <c r="E327" s="38"/>
      <c r="F327" s="38" t="s">
        <v>18</v>
      </c>
      <c r="G327" s="38"/>
      <c r="H327" s="38"/>
      <c r="I327" s="38" t="s">
        <v>19</v>
      </c>
      <c r="J327" s="38" t="s">
        <v>350</v>
      </c>
    </row>
    <row r="328" spans="1:10" ht="15.5" x14ac:dyDescent="0.35">
      <c r="A328" s="2" t="s">
        <v>390</v>
      </c>
      <c r="B328">
        <v>1.00057</v>
      </c>
      <c r="C328" t="s">
        <v>3</v>
      </c>
      <c r="D328" t="s">
        <v>9</v>
      </c>
      <c r="F328" s="38" t="s">
        <v>21</v>
      </c>
      <c r="G328" t="s">
        <v>19</v>
      </c>
      <c r="I328" s="38"/>
      <c r="J328" s="2" t="s">
        <v>388</v>
      </c>
    </row>
    <row r="329" spans="1:10" x14ac:dyDescent="0.35">
      <c r="A329" s="38" t="s">
        <v>30</v>
      </c>
      <c r="B329" s="38">
        <v>6.7000000000000002E-3</v>
      </c>
      <c r="C329" t="s">
        <v>3</v>
      </c>
      <c r="D329" s="38" t="s">
        <v>31</v>
      </c>
      <c r="E329" s="38"/>
      <c r="F329" s="38" t="s">
        <v>21</v>
      </c>
      <c r="G329" s="38"/>
      <c r="H329" s="38"/>
      <c r="I329" s="38"/>
      <c r="J329" s="38" t="s">
        <v>32</v>
      </c>
    </row>
    <row r="330" spans="1:10" x14ac:dyDescent="0.35">
      <c r="A330" s="38" t="s">
        <v>353</v>
      </c>
      <c r="B330" s="38">
        <v>-1.6799999999999999E-4</v>
      </c>
      <c r="C330" s="38" t="s">
        <v>33</v>
      </c>
      <c r="D330" s="38" t="s">
        <v>9</v>
      </c>
      <c r="E330" s="38"/>
      <c r="F330" s="38" t="s">
        <v>21</v>
      </c>
      <c r="G330" s="38"/>
      <c r="H330" s="38"/>
      <c r="I330" s="38"/>
      <c r="J330" s="38" t="s">
        <v>354</v>
      </c>
    </row>
    <row r="331" spans="1:10" x14ac:dyDescent="0.35">
      <c r="A331" s="38" t="s">
        <v>355</v>
      </c>
      <c r="B331" s="39">
        <v>5.8399999999999999E-4</v>
      </c>
      <c r="C331" s="38" t="s">
        <v>33</v>
      </c>
      <c r="D331" s="38" t="s">
        <v>20</v>
      </c>
      <c r="E331" s="38"/>
      <c r="F331" s="38" t="s">
        <v>21</v>
      </c>
      <c r="G331" s="38"/>
      <c r="H331" s="38"/>
      <c r="I331" s="38"/>
      <c r="J331" s="38" t="s">
        <v>356</v>
      </c>
    </row>
    <row r="332" spans="1:10" x14ac:dyDescent="0.35">
      <c r="A332" s="38" t="s">
        <v>357</v>
      </c>
      <c r="B332" s="39">
        <v>2.5999999999999998E-10</v>
      </c>
      <c r="C332" s="38" t="s">
        <v>33</v>
      </c>
      <c r="D332" s="38" t="s">
        <v>8</v>
      </c>
      <c r="E332" s="38"/>
      <c r="F332" s="38" t="s">
        <v>21</v>
      </c>
      <c r="G332" s="38"/>
      <c r="H332" s="38"/>
      <c r="I332" s="38"/>
      <c r="J332" s="38" t="s">
        <v>358</v>
      </c>
    </row>
    <row r="333" spans="1:10" x14ac:dyDescent="0.35">
      <c r="A333" s="38" t="s">
        <v>359</v>
      </c>
      <c r="B333" s="39">
        <v>-6.2700000000000001E-6</v>
      </c>
      <c r="C333" s="38" t="s">
        <v>33</v>
      </c>
      <c r="D333" s="38" t="s">
        <v>9</v>
      </c>
      <c r="E333" s="38"/>
      <c r="F333" s="38" t="s">
        <v>21</v>
      </c>
      <c r="G333" s="38"/>
      <c r="H333" s="38"/>
      <c r="I333" s="38"/>
      <c r="J333" s="38" t="s">
        <v>360</v>
      </c>
    </row>
    <row r="334" spans="1:10" x14ac:dyDescent="0.35">
      <c r="A334" s="38" t="s">
        <v>361</v>
      </c>
      <c r="B334" s="39">
        <v>-7.4999999999999993E-5</v>
      </c>
      <c r="C334" s="38" t="s">
        <v>33</v>
      </c>
      <c r="D334" s="38" t="s">
        <v>131</v>
      </c>
      <c r="E334" s="38"/>
      <c r="F334" s="38" t="s">
        <v>21</v>
      </c>
      <c r="G334" s="38"/>
      <c r="H334" s="38"/>
      <c r="I334" s="38"/>
      <c r="J334" s="38" t="s">
        <v>362</v>
      </c>
    </row>
    <row r="335" spans="1:10" x14ac:dyDescent="0.35">
      <c r="A335" s="38" t="s">
        <v>363</v>
      </c>
      <c r="B335" s="39">
        <v>6.8900000000000005E-4</v>
      </c>
      <c r="C335" s="38" t="s">
        <v>33</v>
      </c>
      <c r="D335" s="38" t="s">
        <v>9</v>
      </c>
      <c r="E335" s="38"/>
      <c r="F335" s="38" t="s">
        <v>21</v>
      </c>
      <c r="G335" s="38"/>
      <c r="H335" s="38"/>
      <c r="I335" s="38"/>
      <c r="J335" s="38" t="s">
        <v>364</v>
      </c>
    </row>
    <row r="336" spans="1:10" x14ac:dyDescent="0.35">
      <c r="A336" s="38" t="s">
        <v>108</v>
      </c>
      <c r="B336" s="38">
        <v>3.3599999999999998E-2</v>
      </c>
      <c r="C336" s="38" t="s">
        <v>33</v>
      </c>
      <c r="D336" s="38" t="s">
        <v>45</v>
      </c>
      <c r="E336" s="38"/>
      <c r="F336" s="38" t="s">
        <v>21</v>
      </c>
      <c r="G336" s="38"/>
      <c r="H336" s="38"/>
      <c r="I336" s="38"/>
      <c r="J336" s="38" t="s">
        <v>111</v>
      </c>
    </row>
    <row r="337" spans="1:10" x14ac:dyDescent="0.35">
      <c r="A337" s="38" t="s">
        <v>365</v>
      </c>
      <c r="B337" s="38">
        <v>3.2599999999999997E-2</v>
      </c>
      <c r="C337" s="38" t="s">
        <v>33</v>
      </c>
      <c r="D337" s="38" t="s">
        <v>45</v>
      </c>
      <c r="E337" s="38"/>
      <c r="F337" s="38" t="s">
        <v>21</v>
      </c>
      <c r="G337" s="38"/>
      <c r="H337" s="38"/>
      <c r="I337" s="38"/>
      <c r="J337" s="38" t="s">
        <v>366</v>
      </c>
    </row>
    <row r="338" spans="1:10" x14ac:dyDescent="0.35">
      <c r="A338" s="38" t="s">
        <v>367</v>
      </c>
      <c r="B338" s="39">
        <v>-6.8899999999999999E-7</v>
      </c>
      <c r="C338" s="38" t="s">
        <v>33</v>
      </c>
      <c r="D338" s="38" t="s">
        <v>131</v>
      </c>
      <c r="E338" s="38"/>
      <c r="F338" s="38" t="s">
        <v>21</v>
      </c>
      <c r="G338" s="38"/>
      <c r="H338" s="38"/>
      <c r="I338" s="38"/>
      <c r="J338" s="38" t="s">
        <v>368</v>
      </c>
    </row>
    <row r="339" spans="1:10" x14ac:dyDescent="0.35">
      <c r="A339" s="38"/>
      <c r="B339" s="39"/>
      <c r="C339" s="38"/>
      <c r="D339" s="38"/>
      <c r="E339" s="38"/>
      <c r="F339" s="38"/>
      <c r="G339" s="38"/>
      <c r="H339" s="38"/>
      <c r="I339" s="38"/>
      <c r="J339" s="38"/>
    </row>
    <row r="340" spans="1:10" ht="15.5" x14ac:dyDescent="0.35">
      <c r="A340" s="1" t="s">
        <v>1</v>
      </c>
      <c r="B340" s="1" t="s">
        <v>527</v>
      </c>
    </row>
    <row r="341" spans="1:10" x14ac:dyDescent="0.35">
      <c r="A341" t="s">
        <v>2</v>
      </c>
      <c r="B341" t="s">
        <v>3</v>
      </c>
    </row>
    <row r="342" spans="1:10" x14ac:dyDescent="0.35">
      <c r="A342" t="s">
        <v>4</v>
      </c>
      <c r="B342">
        <v>1</v>
      </c>
    </row>
    <row r="343" spans="1:10" ht="15.5" x14ac:dyDescent="0.35">
      <c r="A343" t="s">
        <v>5</v>
      </c>
      <c r="B343" s="2" t="s">
        <v>350</v>
      </c>
    </row>
    <row r="344" spans="1:10" x14ac:dyDescent="0.35">
      <c r="A344" t="s">
        <v>6</v>
      </c>
      <c r="B344" t="s">
        <v>7</v>
      </c>
    </row>
    <row r="345" spans="1:10" x14ac:dyDescent="0.35">
      <c r="A345" t="s">
        <v>8</v>
      </c>
      <c r="B345" t="s">
        <v>9</v>
      </c>
    </row>
    <row r="346" spans="1:10" x14ac:dyDescent="0.35">
      <c r="A346" t="s">
        <v>10</v>
      </c>
      <c r="B346" t="s">
        <v>406</v>
      </c>
    </row>
    <row r="347" spans="1:10" x14ac:dyDescent="0.35">
      <c r="A347" t="s">
        <v>12</v>
      </c>
      <c r="B347" t="s">
        <v>525</v>
      </c>
    </row>
    <row r="348" spans="1:10" ht="15.5" x14ac:dyDescent="0.35">
      <c r="A348" s="1" t="s">
        <v>13</v>
      </c>
    </row>
    <row r="349" spans="1:10" x14ac:dyDescent="0.35">
      <c r="A349" t="s">
        <v>14</v>
      </c>
      <c r="B349" t="s">
        <v>15</v>
      </c>
      <c r="C349" t="s">
        <v>2</v>
      </c>
      <c r="D349" t="s">
        <v>8</v>
      </c>
      <c r="E349" t="s">
        <v>16</v>
      </c>
      <c r="F349" t="s">
        <v>6</v>
      </c>
      <c r="G349" t="s">
        <v>351</v>
      </c>
      <c r="H349" t="s">
        <v>352</v>
      </c>
      <c r="I349" t="s">
        <v>12</v>
      </c>
      <c r="J349" t="s">
        <v>5</v>
      </c>
    </row>
    <row r="350" spans="1:10" x14ac:dyDescent="0.35">
      <c r="A350" s="38" t="s">
        <v>527</v>
      </c>
      <c r="B350" s="38">
        <v>1</v>
      </c>
      <c r="C350" t="s">
        <v>3</v>
      </c>
      <c r="D350" s="38" t="s">
        <v>9</v>
      </c>
      <c r="E350" s="38"/>
      <c r="F350" s="38" t="s">
        <v>18</v>
      </c>
      <c r="G350" s="38"/>
      <c r="H350" s="38"/>
      <c r="I350" s="38" t="s">
        <v>19</v>
      </c>
      <c r="J350" s="38" t="s">
        <v>350</v>
      </c>
    </row>
    <row r="351" spans="1:10" ht="15.5" x14ac:dyDescent="0.35">
      <c r="A351" s="2" t="s">
        <v>526</v>
      </c>
      <c r="B351">
        <v>1.00057</v>
      </c>
      <c r="C351" t="s">
        <v>3</v>
      </c>
      <c r="D351" t="s">
        <v>9</v>
      </c>
      <c r="F351" s="38" t="s">
        <v>21</v>
      </c>
      <c r="G351" t="s">
        <v>19</v>
      </c>
      <c r="I351" s="38"/>
      <c r="J351" s="2" t="s">
        <v>388</v>
      </c>
    </row>
    <row r="352" spans="1:10" x14ac:dyDescent="0.35">
      <c r="A352" s="38" t="s">
        <v>30</v>
      </c>
      <c r="B352" s="38">
        <v>6.7000000000000002E-3</v>
      </c>
      <c r="C352" t="s">
        <v>3</v>
      </c>
      <c r="D352" s="38" t="s">
        <v>31</v>
      </c>
      <c r="E352" s="38"/>
      <c r="F352" s="38" t="s">
        <v>21</v>
      </c>
      <c r="G352" s="38"/>
      <c r="H352" s="38"/>
      <c r="I352" s="38"/>
      <c r="J352" s="38" t="s">
        <v>32</v>
      </c>
    </row>
    <row r="353" spans="1:10" x14ac:dyDescent="0.35">
      <c r="A353" s="38" t="s">
        <v>353</v>
      </c>
      <c r="B353" s="38">
        <v>-1.6799999999999999E-4</v>
      </c>
      <c r="C353" s="38" t="s">
        <v>33</v>
      </c>
      <c r="D353" s="38" t="s">
        <v>9</v>
      </c>
      <c r="E353" s="38"/>
      <c r="F353" s="38" t="s">
        <v>21</v>
      </c>
      <c r="G353" s="38"/>
      <c r="H353" s="38"/>
      <c r="I353" s="38"/>
      <c r="J353" s="38" t="s">
        <v>354</v>
      </c>
    </row>
    <row r="354" spans="1:10" x14ac:dyDescent="0.35">
      <c r="A354" s="38" t="s">
        <v>355</v>
      </c>
      <c r="B354" s="39">
        <v>5.8399999999999999E-4</v>
      </c>
      <c r="C354" s="38" t="s">
        <v>33</v>
      </c>
      <c r="D354" s="38" t="s">
        <v>20</v>
      </c>
      <c r="E354" s="38"/>
      <c r="F354" s="38" t="s">
        <v>21</v>
      </c>
      <c r="G354" s="38"/>
      <c r="H354" s="38"/>
      <c r="I354" s="38"/>
      <c r="J354" s="38" t="s">
        <v>356</v>
      </c>
    </row>
    <row r="355" spans="1:10" x14ac:dyDescent="0.35">
      <c r="A355" s="38" t="s">
        <v>357</v>
      </c>
      <c r="B355" s="39">
        <v>2.5999999999999998E-10</v>
      </c>
      <c r="C355" s="38" t="s">
        <v>33</v>
      </c>
      <c r="D355" s="38" t="s">
        <v>8</v>
      </c>
      <c r="E355" s="38"/>
      <c r="F355" s="38" t="s">
        <v>21</v>
      </c>
      <c r="G355" s="38"/>
      <c r="H355" s="38"/>
      <c r="I355" s="38"/>
      <c r="J355" s="38" t="s">
        <v>358</v>
      </c>
    </row>
    <row r="356" spans="1:10" x14ac:dyDescent="0.35">
      <c r="A356" s="38" t="s">
        <v>359</v>
      </c>
      <c r="B356" s="39">
        <v>-6.2700000000000001E-6</v>
      </c>
      <c r="C356" s="38" t="s">
        <v>33</v>
      </c>
      <c r="D356" s="38" t="s">
        <v>9</v>
      </c>
      <c r="E356" s="38"/>
      <c r="F356" s="38" t="s">
        <v>21</v>
      </c>
      <c r="G356" s="38"/>
      <c r="H356" s="38"/>
      <c r="I356" s="38"/>
      <c r="J356" s="38" t="s">
        <v>360</v>
      </c>
    </row>
    <row r="357" spans="1:10" x14ac:dyDescent="0.35">
      <c r="A357" s="38" t="s">
        <v>361</v>
      </c>
      <c r="B357" s="39">
        <v>-7.4999999999999993E-5</v>
      </c>
      <c r="C357" s="38" t="s">
        <v>33</v>
      </c>
      <c r="D357" s="38" t="s">
        <v>131</v>
      </c>
      <c r="E357" s="38"/>
      <c r="F357" s="38" t="s">
        <v>21</v>
      </c>
      <c r="G357" s="38"/>
      <c r="H357" s="38"/>
      <c r="I357" s="38"/>
      <c r="J357" s="38" t="s">
        <v>362</v>
      </c>
    </row>
    <row r="358" spans="1:10" x14ac:dyDescent="0.35">
      <c r="A358" s="38" t="s">
        <v>363</v>
      </c>
      <c r="B358" s="39">
        <v>6.8900000000000005E-4</v>
      </c>
      <c r="C358" s="38" t="s">
        <v>33</v>
      </c>
      <c r="D358" s="38" t="s">
        <v>9</v>
      </c>
      <c r="E358" s="38"/>
      <c r="F358" s="38" t="s">
        <v>21</v>
      </c>
      <c r="G358" s="38"/>
      <c r="H358" s="38"/>
      <c r="I358" s="38"/>
      <c r="J358" s="38" t="s">
        <v>364</v>
      </c>
    </row>
    <row r="359" spans="1:10" x14ac:dyDescent="0.35">
      <c r="A359" s="38" t="s">
        <v>108</v>
      </c>
      <c r="B359" s="38">
        <v>3.3599999999999998E-2</v>
      </c>
      <c r="C359" s="38" t="s">
        <v>33</v>
      </c>
      <c r="D359" s="38" t="s">
        <v>45</v>
      </c>
      <c r="E359" s="38"/>
      <c r="F359" s="38" t="s">
        <v>21</v>
      </c>
      <c r="G359" s="38"/>
      <c r="H359" s="38"/>
      <c r="I359" s="38"/>
      <c r="J359" s="38" t="s">
        <v>111</v>
      </c>
    </row>
    <row r="360" spans="1:10" x14ac:dyDescent="0.35">
      <c r="A360" s="38" t="s">
        <v>365</v>
      </c>
      <c r="B360" s="38">
        <v>3.2599999999999997E-2</v>
      </c>
      <c r="C360" s="38" t="s">
        <v>33</v>
      </c>
      <c r="D360" s="38" t="s">
        <v>45</v>
      </c>
      <c r="E360" s="38"/>
      <c r="F360" s="38" t="s">
        <v>21</v>
      </c>
      <c r="G360" s="38"/>
      <c r="H360" s="38"/>
      <c r="I360" s="38"/>
      <c r="J360" s="38" t="s">
        <v>366</v>
      </c>
    </row>
    <row r="361" spans="1:10" x14ac:dyDescent="0.35">
      <c r="A361" s="38" t="s">
        <v>367</v>
      </c>
      <c r="B361" s="39">
        <v>-6.8899999999999999E-7</v>
      </c>
      <c r="C361" s="38" t="s">
        <v>33</v>
      </c>
      <c r="D361" s="38" t="s">
        <v>131</v>
      </c>
      <c r="E361" s="38"/>
      <c r="F361" s="38" t="s">
        <v>21</v>
      </c>
      <c r="G361" s="38"/>
      <c r="H361" s="38"/>
      <c r="I361" s="38"/>
      <c r="J361" s="38" t="s">
        <v>368</v>
      </c>
    </row>
    <row r="362" spans="1:10" x14ac:dyDescent="0.35">
      <c r="A362" s="38"/>
      <c r="B362" s="39"/>
      <c r="C362" s="38"/>
      <c r="D362" s="38"/>
      <c r="E362" s="38"/>
      <c r="F362" s="38"/>
      <c r="G362" s="38"/>
      <c r="H362" s="38"/>
      <c r="I362" s="38"/>
      <c r="J362" s="38"/>
    </row>
    <row r="363" spans="1:10" ht="15.5" x14ac:dyDescent="0.35">
      <c r="A363" s="1" t="s">
        <v>1</v>
      </c>
      <c r="B363" s="1" t="s">
        <v>69</v>
      </c>
    </row>
    <row r="364" spans="1:10" x14ac:dyDescent="0.35">
      <c r="A364" t="s">
        <v>2</v>
      </c>
      <c r="B364" t="s">
        <v>3</v>
      </c>
    </row>
    <row r="365" spans="1:10" x14ac:dyDescent="0.35">
      <c r="A365" t="s">
        <v>4</v>
      </c>
      <c r="B365">
        <v>1</v>
      </c>
    </row>
    <row r="366" spans="1:10" ht="15.5" x14ac:dyDescent="0.35">
      <c r="A366" t="s">
        <v>5</v>
      </c>
      <c r="B366" s="2" t="s">
        <v>65</v>
      </c>
    </row>
    <row r="367" spans="1:10" x14ac:dyDescent="0.35">
      <c r="A367" t="s">
        <v>6</v>
      </c>
      <c r="B367" t="s">
        <v>7</v>
      </c>
    </row>
    <row r="368" spans="1:10" x14ac:dyDescent="0.35">
      <c r="A368" t="s">
        <v>8</v>
      </c>
      <c r="B368" t="s">
        <v>9</v>
      </c>
    </row>
    <row r="369" spans="1:8" x14ac:dyDescent="0.35">
      <c r="A369" t="s">
        <v>10</v>
      </c>
      <c r="B369" t="s">
        <v>11</v>
      </c>
    </row>
    <row r="370" spans="1:8" x14ac:dyDescent="0.35">
      <c r="A370" t="s">
        <v>28</v>
      </c>
      <c r="B370" t="s">
        <v>185</v>
      </c>
    </row>
    <row r="371" spans="1:8" ht="15.5" x14ac:dyDescent="0.35">
      <c r="A371" s="1" t="s">
        <v>13</v>
      </c>
    </row>
    <row r="372" spans="1:8" x14ac:dyDescent="0.35">
      <c r="A372" t="s">
        <v>14</v>
      </c>
      <c r="B372" t="s">
        <v>15</v>
      </c>
      <c r="C372" t="s">
        <v>2</v>
      </c>
      <c r="D372" t="s">
        <v>8</v>
      </c>
      <c r="E372" t="s">
        <v>16</v>
      </c>
      <c r="F372" t="s">
        <v>6</v>
      </c>
      <c r="G372" t="s">
        <v>12</v>
      </c>
      <c r="H372" t="s">
        <v>5</v>
      </c>
    </row>
    <row r="373" spans="1:8" ht="15.5" x14ac:dyDescent="0.35">
      <c r="A373" s="2" t="s">
        <v>69</v>
      </c>
      <c r="B373">
        <v>1</v>
      </c>
      <c r="C373" t="s">
        <v>3</v>
      </c>
      <c r="D373" t="s">
        <v>9</v>
      </c>
      <c r="F373" t="s">
        <v>18</v>
      </c>
      <c r="G373" t="s">
        <v>19</v>
      </c>
      <c r="H373" s="2" t="s">
        <v>65</v>
      </c>
    </row>
    <row r="374" spans="1:8" x14ac:dyDescent="0.35">
      <c r="A374" t="s">
        <v>23</v>
      </c>
      <c r="B374" s="5">
        <f>185000*Allocation!$B$3/1000</f>
        <v>0.1951853415</v>
      </c>
      <c r="C374" t="s">
        <v>27</v>
      </c>
      <c r="D374" t="s">
        <v>20</v>
      </c>
      <c r="F374" t="s">
        <v>21</v>
      </c>
      <c r="G374" t="s">
        <v>64</v>
      </c>
      <c r="H374" t="s">
        <v>24</v>
      </c>
    </row>
    <row r="375" spans="1:8" x14ac:dyDescent="0.35">
      <c r="A375" t="s">
        <v>30</v>
      </c>
      <c r="B375" s="4">
        <f>415*Allocation!$B$3/1000/3.6</f>
        <v>1.2162449958333332E-4</v>
      </c>
      <c r="C375" t="s">
        <v>3</v>
      </c>
      <c r="D375" t="s">
        <v>31</v>
      </c>
      <c r="F375" t="s">
        <v>21</v>
      </c>
      <c r="H375" t="s">
        <v>32</v>
      </c>
    </row>
    <row r="376" spans="1:8" x14ac:dyDescent="0.35">
      <c r="A376" t="s">
        <v>43</v>
      </c>
      <c r="B376">
        <f>50*Allocation!$B$7/1000</f>
        <v>8.0500000000000002E-2</v>
      </c>
      <c r="C376" t="s">
        <v>33</v>
      </c>
      <c r="D376" t="s">
        <v>45</v>
      </c>
      <c r="F376" t="s">
        <v>21</v>
      </c>
      <c r="G376" t="s">
        <v>77</v>
      </c>
      <c r="H376" t="s">
        <v>44</v>
      </c>
    </row>
    <row r="377" spans="1:8" x14ac:dyDescent="0.35">
      <c r="A377" t="s">
        <v>46</v>
      </c>
      <c r="B377">
        <f>1.462/1000</f>
        <v>1.462E-3</v>
      </c>
      <c r="C377" t="s">
        <v>3</v>
      </c>
      <c r="D377" t="s">
        <v>9</v>
      </c>
      <c r="F377" t="s">
        <v>21</v>
      </c>
      <c r="H377" t="s">
        <v>47</v>
      </c>
    </row>
    <row r="378" spans="1:8" x14ac:dyDescent="0.35">
      <c r="A378" t="s">
        <v>48</v>
      </c>
      <c r="B378">
        <f>0.65/1000</f>
        <v>6.4999999999999997E-4</v>
      </c>
      <c r="C378" t="s">
        <v>3</v>
      </c>
      <c r="D378" t="s">
        <v>9</v>
      </c>
      <c r="F378" t="s">
        <v>21</v>
      </c>
      <c r="H378" t="s">
        <v>49</v>
      </c>
    </row>
    <row r="379" spans="1:8" x14ac:dyDescent="0.35">
      <c r="A379" t="s">
        <v>50</v>
      </c>
      <c r="B379">
        <f>1.002/1000</f>
        <v>1.0020000000000001E-3</v>
      </c>
      <c r="C379" t="s">
        <v>3</v>
      </c>
      <c r="D379" t="s">
        <v>9</v>
      </c>
      <c r="F379" t="s">
        <v>21</v>
      </c>
      <c r="H379" t="s">
        <v>51</v>
      </c>
    </row>
    <row r="380" spans="1:8" x14ac:dyDescent="0.35">
      <c r="A380" t="s">
        <v>54</v>
      </c>
      <c r="B380">
        <f>16.08*1.14/1000/1000</f>
        <v>1.8331199999999995E-5</v>
      </c>
      <c r="C380" t="s">
        <v>27</v>
      </c>
      <c r="D380" t="s">
        <v>9</v>
      </c>
      <c r="F380" t="s">
        <v>21</v>
      </c>
      <c r="G380" t="s">
        <v>55</v>
      </c>
      <c r="H380" t="s">
        <v>57</v>
      </c>
    </row>
    <row r="381" spans="1:8" x14ac:dyDescent="0.35">
      <c r="A381" t="s">
        <v>225</v>
      </c>
      <c r="B381">
        <v>2.7522999999999999E-2</v>
      </c>
      <c r="C381" t="s">
        <v>33</v>
      </c>
      <c r="D381" t="s">
        <v>9</v>
      </c>
      <c r="F381" t="s">
        <v>21</v>
      </c>
      <c r="G381" t="s">
        <v>227</v>
      </c>
      <c r="H381" t="s">
        <v>226</v>
      </c>
    </row>
    <row r="382" spans="1:8" x14ac:dyDescent="0.35">
      <c r="A382" t="s">
        <v>197</v>
      </c>
      <c r="B382" s="7">
        <v>4.5800000000000002E-6</v>
      </c>
      <c r="C382" t="s">
        <v>27</v>
      </c>
      <c r="D382" t="s">
        <v>129</v>
      </c>
      <c r="F382" t="s">
        <v>21</v>
      </c>
      <c r="G382" t="s">
        <v>227</v>
      </c>
      <c r="H382" t="s">
        <v>198</v>
      </c>
    </row>
    <row r="383" spans="1:8" x14ac:dyDescent="0.35">
      <c r="A383" t="s">
        <v>191</v>
      </c>
      <c r="B383" s="7">
        <v>9.1700000000000003E-6</v>
      </c>
      <c r="C383" t="s">
        <v>27</v>
      </c>
      <c r="D383" t="s">
        <v>129</v>
      </c>
      <c r="F383" t="s">
        <v>21</v>
      </c>
      <c r="G383" t="s">
        <v>227</v>
      </c>
      <c r="H383" t="s">
        <v>192</v>
      </c>
    </row>
    <row r="384" spans="1:8" x14ac:dyDescent="0.35">
      <c r="A384" t="s">
        <v>195</v>
      </c>
      <c r="B384" s="7">
        <v>3.6699999999999998E-5</v>
      </c>
      <c r="C384" t="s">
        <v>27</v>
      </c>
      <c r="D384" t="s">
        <v>129</v>
      </c>
      <c r="F384" t="s">
        <v>21</v>
      </c>
      <c r="G384" t="s">
        <v>227</v>
      </c>
      <c r="H384" t="s">
        <v>196</v>
      </c>
    </row>
    <row r="385" spans="1:8" x14ac:dyDescent="0.35">
      <c r="A385" t="s">
        <v>218</v>
      </c>
      <c r="B385" s="7">
        <v>9.1700000000000006E-5</v>
      </c>
      <c r="C385" t="s">
        <v>27</v>
      </c>
      <c r="D385" t="s">
        <v>9</v>
      </c>
      <c r="F385" t="s">
        <v>21</v>
      </c>
      <c r="G385" t="s">
        <v>227</v>
      </c>
      <c r="H385" t="s">
        <v>219</v>
      </c>
    </row>
    <row r="386" spans="1:8" x14ac:dyDescent="0.35">
      <c r="A386" t="s">
        <v>137</v>
      </c>
      <c r="B386" s="7">
        <v>3.3464999999999999E-5</v>
      </c>
      <c r="D386" t="s">
        <v>9</v>
      </c>
      <c r="E386" t="s">
        <v>179</v>
      </c>
      <c r="F386" t="s">
        <v>38</v>
      </c>
      <c r="G386" t="s">
        <v>227</v>
      </c>
    </row>
    <row r="387" spans="1:8" x14ac:dyDescent="0.35">
      <c r="A387" t="s">
        <v>158</v>
      </c>
      <c r="B387" s="7">
        <v>-3.0948E-8</v>
      </c>
      <c r="D387" t="s">
        <v>9</v>
      </c>
      <c r="E387" t="s">
        <v>180</v>
      </c>
      <c r="F387" t="s">
        <v>38</v>
      </c>
      <c r="G387" t="s">
        <v>227</v>
      </c>
    </row>
    <row r="388" spans="1:8" x14ac:dyDescent="0.35">
      <c r="A388" t="s">
        <v>209</v>
      </c>
      <c r="B388" s="7">
        <v>1.5651999999999999E-10</v>
      </c>
      <c r="D388" t="s">
        <v>9</v>
      </c>
      <c r="E388" t="s">
        <v>181</v>
      </c>
      <c r="F388" t="s">
        <v>38</v>
      </c>
      <c r="G388" t="s">
        <v>227</v>
      </c>
    </row>
    <row r="389" spans="1:8" x14ac:dyDescent="0.35">
      <c r="A389" t="s">
        <v>209</v>
      </c>
      <c r="B389" s="7">
        <v>1.5720999999999999E-10</v>
      </c>
      <c r="D389" t="s">
        <v>9</v>
      </c>
      <c r="E389" t="s">
        <v>189</v>
      </c>
      <c r="F389" t="s">
        <v>38</v>
      </c>
      <c r="G389" t="s">
        <v>227</v>
      </c>
    </row>
    <row r="390" spans="1:8" x14ac:dyDescent="0.35">
      <c r="A390" t="s">
        <v>120</v>
      </c>
      <c r="B390">
        <v>1.758866488192</v>
      </c>
      <c r="D390" t="s">
        <v>9</v>
      </c>
      <c r="E390" t="s">
        <v>121</v>
      </c>
      <c r="F390" t="s">
        <v>38</v>
      </c>
      <c r="G390" t="s">
        <v>227</v>
      </c>
    </row>
    <row r="391" spans="1:8" x14ac:dyDescent="0.35">
      <c r="A391" t="s">
        <v>155</v>
      </c>
      <c r="B391" s="7">
        <v>3.0170999999999999E-6</v>
      </c>
      <c r="D391" t="s">
        <v>9</v>
      </c>
      <c r="E391" t="s">
        <v>180</v>
      </c>
      <c r="F391" t="s">
        <v>38</v>
      </c>
      <c r="G391" t="s">
        <v>227</v>
      </c>
    </row>
    <row r="392" spans="1:8" x14ac:dyDescent="0.35">
      <c r="A392" t="s">
        <v>210</v>
      </c>
      <c r="B392" s="7">
        <v>5.8163000000000003E-8</v>
      </c>
      <c r="D392" t="s">
        <v>9</v>
      </c>
      <c r="E392" t="s">
        <v>181</v>
      </c>
      <c r="F392" t="s">
        <v>38</v>
      </c>
      <c r="G392" t="s">
        <v>227</v>
      </c>
    </row>
    <row r="393" spans="1:8" x14ac:dyDescent="0.35">
      <c r="A393" t="s">
        <v>210</v>
      </c>
      <c r="B393" s="7">
        <v>2.4666000000000001E-7</v>
      </c>
      <c r="D393" t="s">
        <v>9</v>
      </c>
      <c r="E393" t="s">
        <v>189</v>
      </c>
      <c r="F393" t="s">
        <v>38</v>
      </c>
      <c r="G393" t="s">
        <v>227</v>
      </c>
    </row>
    <row r="394" spans="1:8" x14ac:dyDescent="0.35">
      <c r="A394" t="s">
        <v>142</v>
      </c>
      <c r="B394" s="7">
        <v>-1.2501999999999999E-6</v>
      </c>
      <c r="D394" t="s">
        <v>9</v>
      </c>
      <c r="E394" t="s">
        <v>180</v>
      </c>
      <c r="F394" t="s">
        <v>38</v>
      </c>
      <c r="G394" t="s">
        <v>227</v>
      </c>
    </row>
    <row r="395" spans="1:8" x14ac:dyDescent="0.35">
      <c r="A395" t="s">
        <v>211</v>
      </c>
      <c r="B395" s="7">
        <v>6.0438000000000002E-8</v>
      </c>
      <c r="D395" t="s">
        <v>9</v>
      </c>
      <c r="E395" t="s">
        <v>181</v>
      </c>
      <c r="F395" t="s">
        <v>38</v>
      </c>
      <c r="G395" t="s">
        <v>227</v>
      </c>
    </row>
    <row r="396" spans="1:8" x14ac:dyDescent="0.35">
      <c r="A396" t="s">
        <v>211</v>
      </c>
      <c r="B396" s="7">
        <v>5.2185E-8</v>
      </c>
      <c r="D396" t="s">
        <v>9</v>
      </c>
      <c r="E396" t="s">
        <v>189</v>
      </c>
      <c r="F396" t="s">
        <v>38</v>
      </c>
      <c r="G396" t="s">
        <v>227</v>
      </c>
    </row>
    <row r="397" spans="1:8" x14ac:dyDescent="0.35">
      <c r="A397" t="s">
        <v>223</v>
      </c>
      <c r="B397" s="7">
        <v>6.8807000000000005E-7</v>
      </c>
      <c r="D397" t="s">
        <v>9</v>
      </c>
      <c r="E397" t="s">
        <v>180</v>
      </c>
      <c r="F397" t="s">
        <v>38</v>
      </c>
      <c r="G397" t="s">
        <v>227</v>
      </c>
    </row>
    <row r="398" spans="1:8" x14ac:dyDescent="0.35">
      <c r="A398" t="s">
        <v>42</v>
      </c>
      <c r="B398" s="7">
        <v>2.2058000000000001E-5</v>
      </c>
      <c r="D398" t="s">
        <v>9</v>
      </c>
      <c r="E398" t="s">
        <v>179</v>
      </c>
      <c r="F398" t="s">
        <v>38</v>
      </c>
      <c r="G398" t="s">
        <v>227</v>
      </c>
    </row>
    <row r="399" spans="1:8" x14ac:dyDescent="0.35">
      <c r="A399" t="s">
        <v>116</v>
      </c>
      <c r="B399">
        <v>20.399999999999999</v>
      </c>
      <c r="D399" t="s">
        <v>20</v>
      </c>
      <c r="E399" t="s">
        <v>122</v>
      </c>
      <c r="F399" t="s">
        <v>38</v>
      </c>
      <c r="G399" t="s">
        <v>227</v>
      </c>
    </row>
    <row r="400" spans="1:8" x14ac:dyDescent="0.35">
      <c r="A400" t="s">
        <v>224</v>
      </c>
      <c r="B400" s="7">
        <v>1.7202000000000001E-6</v>
      </c>
      <c r="D400" t="s">
        <v>9</v>
      </c>
      <c r="E400" t="s">
        <v>180</v>
      </c>
      <c r="F400" t="s">
        <v>38</v>
      </c>
      <c r="G400" t="s">
        <v>227</v>
      </c>
    </row>
    <row r="401" spans="1:7" x14ac:dyDescent="0.35">
      <c r="A401" t="s">
        <v>165</v>
      </c>
      <c r="B401" s="7">
        <v>8.2661000000000004E-6</v>
      </c>
      <c r="D401" t="s">
        <v>9</v>
      </c>
      <c r="E401" t="s">
        <v>180</v>
      </c>
      <c r="F401" t="s">
        <v>38</v>
      </c>
      <c r="G401" t="s">
        <v>227</v>
      </c>
    </row>
    <row r="402" spans="1:7" x14ac:dyDescent="0.35">
      <c r="A402" t="s">
        <v>178</v>
      </c>
      <c r="B402" s="7">
        <v>1.8898999999999999E-9</v>
      </c>
      <c r="D402" t="s">
        <v>9</v>
      </c>
      <c r="E402" t="s">
        <v>189</v>
      </c>
      <c r="F402" t="s">
        <v>38</v>
      </c>
      <c r="G402" t="s">
        <v>227</v>
      </c>
    </row>
    <row r="403" spans="1:7" x14ac:dyDescent="0.35">
      <c r="A403" t="s">
        <v>178</v>
      </c>
      <c r="B403" s="7">
        <v>1.274E-8</v>
      </c>
      <c r="D403" t="s">
        <v>9</v>
      </c>
      <c r="E403" t="s">
        <v>181</v>
      </c>
      <c r="F403" t="s">
        <v>38</v>
      </c>
      <c r="G403" t="s">
        <v>227</v>
      </c>
    </row>
    <row r="404" spans="1:7" x14ac:dyDescent="0.35">
      <c r="A404" t="s">
        <v>178</v>
      </c>
      <c r="B404" s="7">
        <v>3.9080999999999998E-8</v>
      </c>
      <c r="D404" t="s">
        <v>9</v>
      </c>
      <c r="E404" t="s">
        <v>180</v>
      </c>
      <c r="F404" t="s">
        <v>38</v>
      </c>
      <c r="G404" t="s">
        <v>227</v>
      </c>
    </row>
    <row r="405" spans="1:7" x14ac:dyDescent="0.35">
      <c r="A405" t="s">
        <v>212</v>
      </c>
      <c r="B405" s="7">
        <v>8.7036000000000004E-13</v>
      </c>
      <c r="D405" t="s">
        <v>9</v>
      </c>
      <c r="E405" t="s">
        <v>181</v>
      </c>
      <c r="F405" t="s">
        <v>38</v>
      </c>
      <c r="G405" t="s">
        <v>227</v>
      </c>
    </row>
    <row r="406" spans="1:7" x14ac:dyDescent="0.35">
      <c r="A406" t="s">
        <v>212</v>
      </c>
      <c r="B406" s="7">
        <v>6.4951000000000003E-13</v>
      </c>
      <c r="D406" t="s">
        <v>9</v>
      </c>
      <c r="E406" t="s">
        <v>189</v>
      </c>
      <c r="F406" t="s">
        <v>38</v>
      </c>
      <c r="G406" t="s">
        <v>227</v>
      </c>
    </row>
    <row r="407" spans="1:7" x14ac:dyDescent="0.35">
      <c r="A407" t="s">
        <v>212</v>
      </c>
      <c r="B407" s="7">
        <v>1.3905E-12</v>
      </c>
      <c r="D407" t="s">
        <v>9</v>
      </c>
      <c r="E407" t="s">
        <v>180</v>
      </c>
      <c r="F407" t="s">
        <v>38</v>
      </c>
      <c r="G407" t="s">
        <v>227</v>
      </c>
    </row>
    <row r="408" spans="1:7" x14ac:dyDescent="0.35">
      <c r="A408" t="s">
        <v>148</v>
      </c>
      <c r="B408" s="7">
        <v>6.4755E-8</v>
      </c>
      <c r="D408" t="s">
        <v>9</v>
      </c>
      <c r="E408" t="s">
        <v>180</v>
      </c>
      <c r="F408" t="s">
        <v>38</v>
      </c>
      <c r="G408" t="s">
        <v>227</v>
      </c>
    </row>
    <row r="409" spans="1:7" x14ac:dyDescent="0.35">
      <c r="A409" t="s">
        <v>213</v>
      </c>
      <c r="B409" s="7">
        <v>4.8989000000000003E-8</v>
      </c>
      <c r="D409" t="s">
        <v>9</v>
      </c>
      <c r="E409" t="s">
        <v>181</v>
      </c>
      <c r="F409" t="s">
        <v>38</v>
      </c>
      <c r="G409" t="s">
        <v>227</v>
      </c>
    </row>
    <row r="410" spans="1:7" x14ac:dyDescent="0.35">
      <c r="A410" t="s">
        <v>182</v>
      </c>
      <c r="B410">
        <v>4.3628E-3</v>
      </c>
      <c r="D410" t="s">
        <v>9</v>
      </c>
      <c r="E410" t="s">
        <v>189</v>
      </c>
      <c r="F410" t="s">
        <v>38</v>
      </c>
      <c r="G410" t="s">
        <v>227</v>
      </c>
    </row>
    <row r="411" spans="1:7" x14ac:dyDescent="0.35">
      <c r="A411" t="s">
        <v>40</v>
      </c>
      <c r="B411" s="7">
        <v>7.0705000000000003E-6</v>
      </c>
      <c r="D411" t="s">
        <v>9</v>
      </c>
      <c r="E411" t="s">
        <v>179</v>
      </c>
      <c r="F411" t="s">
        <v>38</v>
      </c>
      <c r="G411" t="s">
        <v>227</v>
      </c>
    </row>
    <row r="412" spans="1:7" x14ac:dyDescent="0.35">
      <c r="A412" t="s">
        <v>214</v>
      </c>
      <c r="B412">
        <v>0.92522000000000004</v>
      </c>
      <c r="D412" t="s">
        <v>123</v>
      </c>
      <c r="E412" t="s">
        <v>124</v>
      </c>
      <c r="F412" t="s">
        <v>38</v>
      </c>
      <c r="G412" t="s">
        <v>227</v>
      </c>
    </row>
    <row r="413" spans="1:7" x14ac:dyDescent="0.35">
      <c r="A413" t="s">
        <v>184</v>
      </c>
      <c r="B413" s="7">
        <v>1.9848E-5</v>
      </c>
      <c r="D413" t="s">
        <v>9</v>
      </c>
      <c r="E413" t="s">
        <v>189</v>
      </c>
      <c r="F413" t="s">
        <v>38</v>
      </c>
      <c r="G413" t="s">
        <v>227</v>
      </c>
    </row>
    <row r="414" spans="1:7" x14ac:dyDescent="0.35">
      <c r="A414" t="s">
        <v>184</v>
      </c>
      <c r="B414" s="7">
        <v>7.4398000000000002E-5</v>
      </c>
      <c r="D414" t="s">
        <v>9</v>
      </c>
      <c r="E414" t="s">
        <v>181</v>
      </c>
      <c r="F414" t="s">
        <v>38</v>
      </c>
      <c r="G414" t="s">
        <v>227</v>
      </c>
    </row>
    <row r="415" spans="1:7" x14ac:dyDescent="0.35">
      <c r="A415" t="s">
        <v>183</v>
      </c>
      <c r="B415" s="7">
        <v>1.8232000000000001E-5</v>
      </c>
      <c r="D415" t="s">
        <v>9</v>
      </c>
      <c r="E415" t="s">
        <v>181</v>
      </c>
      <c r="F415" t="s">
        <v>38</v>
      </c>
      <c r="G415" t="s">
        <v>227</v>
      </c>
    </row>
    <row r="416" spans="1:7" x14ac:dyDescent="0.35">
      <c r="A416" t="s">
        <v>215</v>
      </c>
      <c r="B416">
        <v>4.5872000000000003E-2</v>
      </c>
      <c r="D416" t="s">
        <v>125</v>
      </c>
      <c r="E416" t="s">
        <v>124</v>
      </c>
      <c r="F416" t="s">
        <v>38</v>
      </c>
      <c r="G416" t="s">
        <v>227</v>
      </c>
    </row>
    <row r="417" spans="1:8" x14ac:dyDescent="0.35">
      <c r="A417" t="s">
        <v>216</v>
      </c>
      <c r="B417">
        <v>4.5872000000000003E-2</v>
      </c>
      <c r="D417" t="s">
        <v>125</v>
      </c>
      <c r="E417" t="s">
        <v>124</v>
      </c>
      <c r="F417" t="s">
        <v>38</v>
      </c>
      <c r="G417" t="s">
        <v>227</v>
      </c>
    </row>
    <row r="418" spans="1:8" x14ac:dyDescent="0.35">
      <c r="A418" t="s">
        <v>152</v>
      </c>
      <c r="B418" s="7">
        <v>-8.3893999999999997E-6</v>
      </c>
      <c r="D418" t="s">
        <v>9</v>
      </c>
      <c r="E418" t="s">
        <v>180</v>
      </c>
      <c r="F418" t="s">
        <v>38</v>
      </c>
      <c r="G418" t="s">
        <v>227</v>
      </c>
    </row>
    <row r="419" spans="1:8" x14ac:dyDescent="0.35">
      <c r="A419" t="s">
        <v>217</v>
      </c>
      <c r="B419" s="7">
        <v>1.5839999999999999E-7</v>
      </c>
      <c r="D419" t="s">
        <v>9</v>
      </c>
      <c r="E419" t="s">
        <v>189</v>
      </c>
      <c r="F419" t="s">
        <v>38</v>
      </c>
      <c r="G419" t="s">
        <v>227</v>
      </c>
    </row>
    <row r="420" spans="1:8" x14ac:dyDescent="0.35">
      <c r="A420" t="s">
        <v>217</v>
      </c>
      <c r="B420" s="7">
        <v>4.9386000000000003E-8</v>
      </c>
      <c r="D420" t="s">
        <v>9</v>
      </c>
      <c r="E420" t="s">
        <v>181</v>
      </c>
      <c r="F420" t="s">
        <v>38</v>
      </c>
      <c r="G420" t="s">
        <v>227</v>
      </c>
    </row>
    <row r="422" spans="1:8" ht="15.5" x14ac:dyDescent="0.35">
      <c r="A422" s="1" t="s">
        <v>1</v>
      </c>
      <c r="B422" s="1" t="s">
        <v>382</v>
      </c>
    </row>
    <row r="423" spans="1:8" x14ac:dyDescent="0.35">
      <c r="A423" t="s">
        <v>2</v>
      </c>
      <c r="B423" t="s">
        <v>3</v>
      </c>
    </row>
    <row r="424" spans="1:8" x14ac:dyDescent="0.35">
      <c r="A424" t="s">
        <v>4</v>
      </c>
      <c r="B424">
        <v>1</v>
      </c>
    </row>
    <row r="425" spans="1:8" ht="15.5" x14ac:dyDescent="0.35">
      <c r="A425" t="s">
        <v>5</v>
      </c>
      <c r="B425" s="2" t="s">
        <v>230</v>
      </c>
    </row>
    <row r="426" spans="1:8" x14ac:dyDescent="0.35">
      <c r="A426" t="s">
        <v>6</v>
      </c>
      <c r="B426" t="s">
        <v>7</v>
      </c>
    </row>
    <row r="427" spans="1:8" x14ac:dyDescent="0.35">
      <c r="A427" t="s">
        <v>8</v>
      </c>
      <c r="B427" t="s">
        <v>9</v>
      </c>
    </row>
    <row r="428" spans="1:8" x14ac:dyDescent="0.35">
      <c r="A428" t="s">
        <v>10</v>
      </c>
      <c r="B428" t="s">
        <v>11</v>
      </c>
    </row>
    <row r="429" spans="1:8" x14ac:dyDescent="0.35">
      <c r="A429" t="s">
        <v>28</v>
      </c>
      <c r="B429" t="s">
        <v>241</v>
      </c>
    </row>
    <row r="430" spans="1:8" ht="15.5" x14ac:dyDescent="0.35">
      <c r="A430" s="1" t="s">
        <v>13</v>
      </c>
    </row>
    <row r="431" spans="1:8" x14ac:dyDescent="0.35">
      <c r="A431" t="s">
        <v>14</v>
      </c>
      <c r="B431" t="s">
        <v>15</v>
      </c>
      <c r="C431" t="s">
        <v>2</v>
      </c>
      <c r="D431" t="s">
        <v>8</v>
      </c>
      <c r="E431" t="s">
        <v>16</v>
      </c>
      <c r="F431" t="s">
        <v>6</v>
      </c>
      <c r="G431" t="s">
        <v>12</v>
      </c>
      <c r="H431" t="s">
        <v>5</v>
      </c>
    </row>
    <row r="432" spans="1:8" ht="15.5" x14ac:dyDescent="0.35">
      <c r="A432" s="2" t="s">
        <v>382</v>
      </c>
      <c r="B432">
        <v>1</v>
      </c>
      <c r="C432" t="s">
        <v>3</v>
      </c>
      <c r="D432" t="s">
        <v>9</v>
      </c>
      <c r="F432" t="s">
        <v>18</v>
      </c>
      <c r="G432" t="s">
        <v>19</v>
      </c>
      <c r="H432" s="2" t="s">
        <v>230</v>
      </c>
    </row>
    <row r="433" spans="1:8" ht="15.5" x14ac:dyDescent="0.35">
      <c r="A433" s="2" t="s">
        <v>69</v>
      </c>
      <c r="B433" s="6">
        <f>(1/((Allocation!C20*Allocation!B4*Allocation!B10)/1000))*Allocation!F32</f>
        <v>3.2444757981354098</v>
      </c>
      <c r="C433" t="s">
        <v>3</v>
      </c>
      <c r="D433" t="s">
        <v>9</v>
      </c>
      <c r="F433" t="s">
        <v>21</v>
      </c>
      <c r="G433" t="s">
        <v>19</v>
      </c>
      <c r="H433" s="2" t="s">
        <v>65</v>
      </c>
    </row>
    <row r="434" spans="1:8" ht="15.5" x14ac:dyDescent="0.35">
      <c r="A434" s="2" t="s">
        <v>232</v>
      </c>
      <c r="B434" s="4">
        <f>(337*Allocation!$B$3)/(Allocation!$B$4*Allocation!$B$10)*Allocation!F32</f>
        <v>9.8054794980372589E-2</v>
      </c>
      <c r="C434" t="s">
        <v>27</v>
      </c>
      <c r="D434" t="s">
        <v>20</v>
      </c>
      <c r="F434" t="s">
        <v>21</v>
      </c>
      <c r="H434" s="2" t="s">
        <v>233</v>
      </c>
    </row>
    <row r="435" spans="1:8" ht="15.5" x14ac:dyDescent="0.35">
      <c r="A435" s="2" t="s">
        <v>263</v>
      </c>
      <c r="B435" s="5">
        <f>((346.23/1000)/(Allocation!$B$4*Allocation!$B$10))*Allocation!$F$32</f>
        <v>9.5483462725015969E-2</v>
      </c>
      <c r="C435" t="s">
        <v>33</v>
      </c>
      <c r="D435" t="s">
        <v>9</v>
      </c>
      <c r="F435" t="s">
        <v>21</v>
      </c>
      <c r="H435" s="2" t="s">
        <v>264</v>
      </c>
    </row>
    <row r="436" spans="1:8" ht="15.5" x14ac:dyDescent="0.35">
      <c r="A436" s="2" t="s">
        <v>265</v>
      </c>
      <c r="B436" s="5">
        <f>((41.55/1000)/(Allocation!$B$4*Allocation!$B$10))*Allocation!$F$32</f>
        <v>1.1458677400064735E-2</v>
      </c>
      <c r="C436" t="s">
        <v>266</v>
      </c>
      <c r="D436" t="s">
        <v>9</v>
      </c>
      <c r="F436" t="s">
        <v>21</v>
      </c>
      <c r="H436" s="2" t="s">
        <v>267</v>
      </c>
    </row>
    <row r="437" spans="1:8" ht="15.5" x14ac:dyDescent="0.35">
      <c r="A437" s="2" t="s">
        <v>268</v>
      </c>
      <c r="B437" s="5">
        <f>((20.77/1000)/(Allocation!$B$4*Allocation!$B$10))*Allocation!$F$32</f>
        <v>5.7279597978181608E-3</v>
      </c>
      <c r="C437" t="s">
        <v>33</v>
      </c>
      <c r="D437" t="s">
        <v>9</v>
      </c>
      <c r="F437" t="s">
        <v>21</v>
      </c>
      <c r="H437" s="2" t="s">
        <v>427</v>
      </c>
    </row>
    <row r="438" spans="1:8" ht="15.5" x14ac:dyDescent="0.35">
      <c r="A438" s="2" t="s">
        <v>383</v>
      </c>
      <c r="B438" s="4">
        <f>((76.17/1000)/(Allocation!$B$4*Allocation!$B$10))*Allocation!$F$32</f>
        <v>2.1006196331237806E-2</v>
      </c>
      <c r="C438" t="s">
        <v>33</v>
      </c>
      <c r="D438" t="s">
        <v>9</v>
      </c>
      <c r="F438" t="s">
        <v>21</v>
      </c>
      <c r="H438" s="2" t="s">
        <v>384</v>
      </c>
    </row>
    <row r="439" spans="1:8" ht="15.5" x14ac:dyDescent="0.35">
      <c r="A439" s="2" t="s">
        <v>401</v>
      </c>
      <c r="B439" s="4">
        <f>((117.72/1000)/(Allocation!$B$4*Allocation!$B$10))*Allocation!$F$32</f>
        <v>3.2464873731302545E-2</v>
      </c>
      <c r="C439" t="s">
        <v>27</v>
      </c>
      <c r="D439" t="s">
        <v>9</v>
      </c>
      <c r="F439" t="s">
        <v>21</v>
      </c>
      <c r="G439" t="s">
        <v>403</v>
      </c>
      <c r="H439" s="2" t="s">
        <v>402</v>
      </c>
    </row>
    <row r="440" spans="1:8" x14ac:dyDescent="0.35">
      <c r="A440" t="s">
        <v>201</v>
      </c>
      <c r="B440" s="6">
        <f>(B390*B433)-Allocation!$B$13</f>
        <v>3.7925997530903643</v>
      </c>
      <c r="D440" t="s">
        <v>9</v>
      </c>
      <c r="E440" t="s">
        <v>39</v>
      </c>
      <c r="F440" t="s">
        <v>38</v>
      </c>
      <c r="G440" t="s">
        <v>441</v>
      </c>
    </row>
    <row r="441" spans="1:8" x14ac:dyDescent="0.35">
      <c r="A441" t="s">
        <v>319</v>
      </c>
      <c r="B441" s="7">
        <f>1/(90000000*20)</f>
        <v>5.5555555555555553E-10</v>
      </c>
      <c r="C441" t="s">
        <v>27</v>
      </c>
      <c r="D441" t="s">
        <v>8</v>
      </c>
      <c r="F441" t="s">
        <v>21</v>
      </c>
      <c r="G441" t="s">
        <v>321</v>
      </c>
      <c r="H441" t="s">
        <v>320</v>
      </c>
    </row>
    <row r="442" spans="1:8" ht="15.5" x14ac:dyDescent="0.35">
      <c r="A442" s="2"/>
      <c r="H442" s="2"/>
    </row>
    <row r="443" spans="1:8" ht="15.5" x14ac:dyDescent="0.35">
      <c r="A443" s="1" t="s">
        <v>1</v>
      </c>
      <c r="B443" s="1" t="s">
        <v>385</v>
      </c>
    </row>
    <row r="444" spans="1:8" x14ac:dyDescent="0.35">
      <c r="A444" t="s">
        <v>2</v>
      </c>
      <c r="B444" t="s">
        <v>3</v>
      </c>
    </row>
    <row r="445" spans="1:8" x14ac:dyDescent="0.35">
      <c r="A445" t="s">
        <v>4</v>
      </c>
      <c r="B445">
        <v>1</v>
      </c>
    </row>
    <row r="446" spans="1:8" ht="15.5" x14ac:dyDescent="0.35">
      <c r="A446" t="s">
        <v>5</v>
      </c>
      <c r="B446" s="2" t="s">
        <v>230</v>
      </c>
    </row>
    <row r="447" spans="1:8" x14ac:dyDescent="0.35">
      <c r="A447" t="s">
        <v>6</v>
      </c>
      <c r="B447" t="s">
        <v>7</v>
      </c>
    </row>
    <row r="448" spans="1:8" x14ac:dyDescent="0.35">
      <c r="A448" t="s">
        <v>8</v>
      </c>
      <c r="B448" t="s">
        <v>9</v>
      </c>
    </row>
    <row r="449" spans="1:8" x14ac:dyDescent="0.35">
      <c r="A449" t="s">
        <v>10</v>
      </c>
      <c r="B449" t="s">
        <v>11</v>
      </c>
    </row>
    <row r="450" spans="1:8" x14ac:dyDescent="0.35">
      <c r="A450" t="s">
        <v>28</v>
      </c>
      <c r="B450" t="s">
        <v>386</v>
      </c>
    </row>
    <row r="451" spans="1:8" ht="15.5" x14ac:dyDescent="0.35">
      <c r="A451" s="1" t="s">
        <v>13</v>
      </c>
    </row>
    <row r="452" spans="1:8" x14ac:dyDescent="0.35">
      <c r="A452" t="s">
        <v>14</v>
      </c>
      <c r="B452" t="s">
        <v>15</v>
      </c>
      <c r="C452" t="s">
        <v>2</v>
      </c>
      <c r="D452" t="s">
        <v>8</v>
      </c>
      <c r="E452" t="s">
        <v>16</v>
      </c>
      <c r="F452" t="s">
        <v>6</v>
      </c>
      <c r="G452" t="s">
        <v>12</v>
      </c>
      <c r="H452" t="s">
        <v>5</v>
      </c>
    </row>
    <row r="453" spans="1:8" ht="15.5" x14ac:dyDescent="0.35">
      <c r="A453" s="2" t="s">
        <v>385</v>
      </c>
      <c r="B453">
        <v>1</v>
      </c>
      <c r="C453" t="s">
        <v>3</v>
      </c>
      <c r="D453" t="s">
        <v>9</v>
      </c>
      <c r="F453" t="s">
        <v>18</v>
      </c>
      <c r="G453" t="s">
        <v>19</v>
      </c>
      <c r="H453" s="2" t="s">
        <v>230</v>
      </c>
    </row>
    <row r="454" spans="1:8" ht="15.5" x14ac:dyDescent="0.35">
      <c r="A454" s="2" t="s">
        <v>69</v>
      </c>
      <c r="B454" s="6">
        <f>(1/((Allocation!$C$20*Allocation!$B$4*Allocation!$B$10)/1000))*Allocation!G32</f>
        <v>3.5882226085354634</v>
      </c>
      <c r="C454" t="s">
        <v>3</v>
      </c>
      <c r="D454" t="s">
        <v>9</v>
      </c>
      <c r="F454" t="s">
        <v>21</v>
      </c>
      <c r="G454" t="s">
        <v>19</v>
      </c>
      <c r="H454" s="2" t="s">
        <v>65</v>
      </c>
    </row>
    <row r="455" spans="1:8" ht="15.5" x14ac:dyDescent="0.35">
      <c r="A455" s="2" t="s">
        <v>232</v>
      </c>
      <c r="B455" s="4">
        <f>(337*Allocation!$B$3)/(Allocation!$B$4*Allocation!$B$10)*Allocation!$G$32</f>
        <v>0.1084435372968679</v>
      </c>
      <c r="C455" t="s">
        <v>27</v>
      </c>
      <c r="D455" t="s">
        <v>20</v>
      </c>
      <c r="F455" t="s">
        <v>21</v>
      </c>
      <c r="H455" s="2" t="s">
        <v>233</v>
      </c>
    </row>
    <row r="456" spans="1:8" ht="15.5" x14ac:dyDescent="0.35">
      <c r="A456" s="2" t="s">
        <v>263</v>
      </c>
      <c r="B456" s="5">
        <f>((346.23/1000)/(Allocation!$B$4*Allocation!$B$10))*Allocation!$G$32</f>
        <v>0.10559977666902486</v>
      </c>
      <c r="C456" t="s">
        <v>33</v>
      </c>
      <c r="D456" t="s">
        <v>9</v>
      </c>
      <c r="F456" t="s">
        <v>21</v>
      </c>
      <c r="H456" s="2" t="s">
        <v>264</v>
      </c>
    </row>
    <row r="457" spans="1:8" ht="15.5" x14ac:dyDescent="0.35">
      <c r="A457" s="2" t="s">
        <v>265</v>
      </c>
      <c r="B457" s="5">
        <f>((41.55/1000)/(Allocation!$B$4*Allocation!$B$10))*Allocation!$G$32</f>
        <v>1.2672705197695122E-2</v>
      </c>
      <c r="C457" t="s">
        <v>266</v>
      </c>
      <c r="D457" t="s">
        <v>9</v>
      </c>
      <c r="F457" t="s">
        <v>21</v>
      </c>
      <c r="H457" s="2" t="s">
        <v>267</v>
      </c>
    </row>
    <row r="458" spans="1:8" ht="15.5" x14ac:dyDescent="0.35">
      <c r="A458" s="2" t="s">
        <v>268</v>
      </c>
      <c r="B458" s="5">
        <f>((20.77/1000)/(Allocation!$B$4*Allocation!$B$10))*Allocation!$G$32</f>
        <v>6.3348276042389344E-3</v>
      </c>
      <c r="C458" t="s">
        <v>33</v>
      </c>
      <c r="D458" t="s">
        <v>9</v>
      </c>
      <c r="F458" t="s">
        <v>21</v>
      </c>
      <c r="H458" s="2" t="s">
        <v>427</v>
      </c>
    </row>
    <row r="459" spans="1:8" ht="15.5" x14ac:dyDescent="0.35">
      <c r="A459" s="2" t="s">
        <v>383</v>
      </c>
      <c r="B459" s="4">
        <f>((76.17/1000)/(Allocation!$B$4*Allocation!$B$10))*Allocation!$G$32</f>
        <v>2.3231767867832431E-2</v>
      </c>
      <c r="C459" t="s">
        <v>33</v>
      </c>
      <c r="D459" t="s">
        <v>9</v>
      </c>
      <c r="F459" t="s">
        <v>21</v>
      </c>
      <c r="H459" s="2" t="s">
        <v>384</v>
      </c>
    </row>
    <row r="460" spans="1:8" ht="15.5" x14ac:dyDescent="0.35">
      <c r="A460" s="2" t="s">
        <v>401</v>
      </c>
      <c r="B460" s="4">
        <f>((117.72/1000)/(Allocation!$B$4*Allocation!$B$10))*Allocation!$G$32</f>
        <v>3.5904473065527555E-2</v>
      </c>
      <c r="C460" t="s">
        <v>27</v>
      </c>
      <c r="D460" t="s">
        <v>9</v>
      </c>
      <c r="F460" t="s">
        <v>21</v>
      </c>
      <c r="G460" t="s">
        <v>403</v>
      </c>
      <c r="H460" s="2" t="s">
        <v>402</v>
      </c>
    </row>
    <row r="461" spans="1:8" x14ac:dyDescent="0.35">
      <c r="A461" t="s">
        <v>201</v>
      </c>
      <c r="B461" s="6">
        <f>(B390*B454)-Allocation!$B$13</f>
        <v>4.397204498325908</v>
      </c>
      <c r="D461" t="s">
        <v>9</v>
      </c>
      <c r="E461" t="s">
        <v>39</v>
      </c>
      <c r="F461" t="s">
        <v>38</v>
      </c>
      <c r="G461" t="s">
        <v>441</v>
      </c>
    </row>
    <row r="462" spans="1:8" x14ac:dyDescent="0.35">
      <c r="A462" t="s">
        <v>319</v>
      </c>
      <c r="B462" s="7">
        <f>1/(90000000*20)</f>
        <v>5.5555555555555553E-10</v>
      </c>
      <c r="C462" t="s">
        <v>27</v>
      </c>
      <c r="D462" t="s">
        <v>8</v>
      </c>
      <c r="F462" t="s">
        <v>21</v>
      </c>
      <c r="G462" t="s">
        <v>321</v>
      </c>
      <c r="H462" t="s">
        <v>320</v>
      </c>
    </row>
    <row r="463" spans="1:8" ht="15.5" x14ac:dyDescent="0.35">
      <c r="A463" s="2"/>
      <c r="H463" s="2"/>
    </row>
    <row r="464" spans="1:8" ht="15.5" x14ac:dyDescent="0.35">
      <c r="A464" s="1" t="s">
        <v>1</v>
      </c>
      <c r="B464" s="1" t="s">
        <v>528</v>
      </c>
    </row>
    <row r="465" spans="1:8" x14ac:dyDescent="0.35">
      <c r="A465" t="s">
        <v>2</v>
      </c>
      <c r="B465" t="s">
        <v>3</v>
      </c>
    </row>
    <row r="466" spans="1:8" x14ac:dyDescent="0.35">
      <c r="A466" t="s">
        <v>4</v>
      </c>
      <c r="B466">
        <v>1</v>
      </c>
    </row>
    <row r="467" spans="1:8" ht="15.5" x14ac:dyDescent="0.35">
      <c r="A467" t="s">
        <v>5</v>
      </c>
      <c r="B467" s="2" t="s">
        <v>230</v>
      </c>
    </row>
    <row r="468" spans="1:8" x14ac:dyDescent="0.35">
      <c r="A468" t="s">
        <v>6</v>
      </c>
      <c r="B468" t="s">
        <v>7</v>
      </c>
    </row>
    <row r="469" spans="1:8" x14ac:dyDescent="0.35">
      <c r="A469" t="s">
        <v>8</v>
      </c>
      <c r="B469" t="s">
        <v>9</v>
      </c>
    </row>
    <row r="470" spans="1:8" x14ac:dyDescent="0.35">
      <c r="A470" t="s">
        <v>10</v>
      </c>
      <c r="B470" t="s">
        <v>11</v>
      </c>
    </row>
    <row r="471" spans="1:8" x14ac:dyDescent="0.35">
      <c r="A471" t="s">
        <v>28</v>
      </c>
      <c r="B471" t="s">
        <v>522</v>
      </c>
    </row>
    <row r="472" spans="1:8" ht="15.5" x14ac:dyDescent="0.35">
      <c r="A472" s="1" t="s">
        <v>13</v>
      </c>
    </row>
    <row r="473" spans="1:8" x14ac:dyDescent="0.35">
      <c r="A473" t="s">
        <v>14</v>
      </c>
      <c r="B473" t="s">
        <v>15</v>
      </c>
      <c r="C473" t="s">
        <v>2</v>
      </c>
      <c r="D473" t="s">
        <v>8</v>
      </c>
      <c r="E473" t="s">
        <v>16</v>
      </c>
      <c r="F473" t="s">
        <v>6</v>
      </c>
      <c r="G473" t="s">
        <v>12</v>
      </c>
      <c r="H473" t="s">
        <v>5</v>
      </c>
    </row>
    <row r="474" spans="1:8" ht="15.5" x14ac:dyDescent="0.35">
      <c r="A474" s="2" t="s">
        <v>528</v>
      </c>
      <c r="B474">
        <v>1</v>
      </c>
      <c r="C474" t="s">
        <v>3</v>
      </c>
      <c r="D474" t="s">
        <v>9</v>
      </c>
      <c r="F474" t="s">
        <v>18</v>
      </c>
      <c r="G474" t="s">
        <v>19</v>
      </c>
      <c r="H474" s="2" t="s">
        <v>230</v>
      </c>
    </row>
    <row r="475" spans="1:8" ht="15.5" x14ac:dyDescent="0.35">
      <c r="A475" s="2" t="s">
        <v>69</v>
      </c>
      <c r="B475" s="6">
        <f>(1/((Allocation!$C$20*Allocation!$B$4*Allocation!$B$10)/1000))</f>
        <v>3.9394735346660368</v>
      </c>
      <c r="C475" t="s">
        <v>3</v>
      </c>
      <c r="D475" t="s">
        <v>9</v>
      </c>
      <c r="F475" t="s">
        <v>21</v>
      </c>
      <c r="G475" t="s">
        <v>19</v>
      </c>
      <c r="H475" s="2" t="s">
        <v>65</v>
      </c>
    </row>
    <row r="476" spans="1:8" ht="15.5" x14ac:dyDescent="0.35">
      <c r="A476" s="2" t="s">
        <v>232</v>
      </c>
      <c r="B476" s="4">
        <f>(337*Allocation!$B$3)/(Allocation!$B$4*Allocation!$B$10)</f>
        <v>0.11905906957120109</v>
      </c>
      <c r="C476" t="s">
        <v>27</v>
      </c>
      <c r="D476" t="s">
        <v>20</v>
      </c>
      <c r="F476" t="s">
        <v>21</v>
      </c>
      <c r="H476" s="2" t="s">
        <v>233</v>
      </c>
    </row>
    <row r="477" spans="1:8" ht="15.5" x14ac:dyDescent="0.35">
      <c r="A477" s="2" t="s">
        <v>263</v>
      </c>
      <c r="B477" s="5">
        <f>((346.23/1000)/(Allocation!$B$4*Allocation!$B$10))</f>
        <v>0.11593693336213089</v>
      </c>
      <c r="C477" t="s">
        <v>33</v>
      </c>
      <c r="D477" t="s">
        <v>9</v>
      </c>
      <c r="F477" t="s">
        <v>21</v>
      </c>
      <c r="H477" s="2" t="s">
        <v>264</v>
      </c>
    </row>
    <row r="478" spans="1:8" ht="15.5" x14ac:dyDescent="0.35">
      <c r="A478" s="2" t="s">
        <v>265</v>
      </c>
      <c r="B478" s="5">
        <f>((41.55/1000)/(Allocation!$B$4*Allocation!$B$10))</f>
        <v>1.3913235656056776E-2</v>
      </c>
      <c r="C478" t="s">
        <v>266</v>
      </c>
      <c r="D478" t="s">
        <v>9</v>
      </c>
      <c r="F478" t="s">
        <v>21</v>
      </c>
      <c r="H478" s="2" t="s">
        <v>267</v>
      </c>
    </row>
    <row r="479" spans="1:8" ht="15.5" x14ac:dyDescent="0.35">
      <c r="A479" s="2" t="s">
        <v>268</v>
      </c>
      <c r="B479" s="5">
        <f>((20.77/1000)/(Allocation!$B$4*Allocation!$B$10))</f>
        <v>6.9549435517761559E-3</v>
      </c>
      <c r="C479" t="s">
        <v>33</v>
      </c>
      <c r="D479" t="s">
        <v>9</v>
      </c>
      <c r="F479" t="s">
        <v>21</v>
      </c>
      <c r="H479" s="2" t="s">
        <v>427</v>
      </c>
    </row>
    <row r="480" spans="1:8" ht="15.5" x14ac:dyDescent="0.35">
      <c r="A480" s="2" t="s">
        <v>383</v>
      </c>
      <c r="B480" s="4">
        <f>((76.17/1000)/(Allocation!$B$4*Allocation!$B$10))</f>
        <v>2.5505924426518525E-2</v>
      </c>
      <c r="C480" t="s">
        <v>33</v>
      </c>
      <c r="D480" t="s">
        <v>9</v>
      </c>
      <c r="F480" t="s">
        <v>21</v>
      </c>
      <c r="H480" s="2" t="s">
        <v>384</v>
      </c>
    </row>
    <row r="481" spans="1:10" ht="15.5" x14ac:dyDescent="0.35">
      <c r="A481" s="2" t="s">
        <v>401</v>
      </c>
      <c r="B481" s="4">
        <f>((117.72/1000)/(Allocation!$B$4*Allocation!$B$10))</f>
        <v>3.9419160082575302E-2</v>
      </c>
      <c r="C481" t="s">
        <v>27</v>
      </c>
      <c r="D481" t="s">
        <v>9</v>
      </c>
      <c r="F481" t="s">
        <v>21</v>
      </c>
      <c r="G481" t="s">
        <v>403</v>
      </c>
      <c r="H481" s="2" t="s">
        <v>402</v>
      </c>
    </row>
    <row r="482" spans="1:10" x14ac:dyDescent="0.35">
      <c r="A482" t="s">
        <v>201</v>
      </c>
      <c r="B482" s="6">
        <f>(B390*B475)-Allocation!$B$13</f>
        <v>5.0150079812433779</v>
      </c>
      <c r="D482" t="s">
        <v>9</v>
      </c>
      <c r="E482" t="s">
        <v>39</v>
      </c>
      <c r="F482" t="s">
        <v>38</v>
      </c>
      <c r="G482" t="s">
        <v>441</v>
      </c>
    </row>
    <row r="483" spans="1:10" x14ac:dyDescent="0.35">
      <c r="A483" t="s">
        <v>319</v>
      </c>
      <c r="B483" s="7">
        <f>1/(90000000*20)</f>
        <v>5.5555555555555553E-10</v>
      </c>
      <c r="C483" t="s">
        <v>27</v>
      </c>
      <c r="D483" t="s">
        <v>8</v>
      </c>
      <c r="F483" t="s">
        <v>21</v>
      </c>
      <c r="G483" t="s">
        <v>321</v>
      </c>
      <c r="H483" t="s">
        <v>320</v>
      </c>
    </row>
    <row r="484" spans="1:10" x14ac:dyDescent="0.35">
      <c r="A484" s="38" t="s">
        <v>30</v>
      </c>
      <c r="B484" s="68">
        <f>Allocation!C19/Allocation!B4*Allocation!B10*-1</f>
        <v>-0.50274302587613584</v>
      </c>
      <c r="C484" t="s">
        <v>3</v>
      </c>
      <c r="D484" s="38" t="s">
        <v>31</v>
      </c>
      <c r="E484" s="38"/>
      <c r="F484" s="38" t="s">
        <v>21</v>
      </c>
      <c r="G484" s="38" t="s">
        <v>523</v>
      </c>
      <c r="H484" s="38" t="s">
        <v>32</v>
      </c>
      <c r="I484" s="38"/>
    </row>
    <row r="485" spans="1:10" ht="15.5" x14ac:dyDescent="0.35">
      <c r="A485" s="2"/>
      <c r="H485" s="2"/>
    </row>
    <row r="486" spans="1:10" ht="15.5" x14ac:dyDescent="0.35">
      <c r="A486" s="1" t="s">
        <v>1</v>
      </c>
      <c r="B486" s="1" t="s">
        <v>409</v>
      </c>
    </row>
    <row r="487" spans="1:10" x14ac:dyDescent="0.35">
      <c r="A487" t="s">
        <v>2</v>
      </c>
      <c r="B487" t="s">
        <v>3</v>
      </c>
    </row>
    <row r="488" spans="1:10" x14ac:dyDescent="0.35">
      <c r="A488" t="s">
        <v>4</v>
      </c>
      <c r="B488">
        <v>1</v>
      </c>
    </row>
    <row r="489" spans="1:10" ht="15.5" x14ac:dyDescent="0.35">
      <c r="A489" t="s">
        <v>5</v>
      </c>
      <c r="B489" s="2" t="s">
        <v>350</v>
      </c>
    </row>
    <row r="490" spans="1:10" x14ac:dyDescent="0.35">
      <c r="A490" t="s">
        <v>6</v>
      </c>
      <c r="B490" t="s">
        <v>7</v>
      </c>
    </row>
    <row r="491" spans="1:10" x14ac:dyDescent="0.35">
      <c r="A491" t="s">
        <v>8</v>
      </c>
      <c r="B491" t="s">
        <v>9</v>
      </c>
    </row>
    <row r="492" spans="1:10" x14ac:dyDescent="0.35">
      <c r="A492" t="s">
        <v>10</v>
      </c>
      <c r="B492" t="s">
        <v>406</v>
      </c>
    </row>
    <row r="493" spans="1:10" x14ac:dyDescent="0.35">
      <c r="A493" t="s">
        <v>12</v>
      </c>
      <c r="B493" t="s">
        <v>375</v>
      </c>
    </row>
    <row r="494" spans="1:10" ht="15.5" x14ac:dyDescent="0.35">
      <c r="A494" s="1" t="s">
        <v>13</v>
      </c>
    </row>
    <row r="495" spans="1:10" x14ac:dyDescent="0.35">
      <c r="A495" t="s">
        <v>14</v>
      </c>
      <c r="B495" t="s">
        <v>15</v>
      </c>
      <c r="C495" t="s">
        <v>2</v>
      </c>
      <c r="D495" t="s">
        <v>8</v>
      </c>
      <c r="E495" t="s">
        <v>16</v>
      </c>
      <c r="F495" t="s">
        <v>6</v>
      </c>
      <c r="G495" t="s">
        <v>351</v>
      </c>
      <c r="H495" t="s">
        <v>352</v>
      </c>
      <c r="I495" t="s">
        <v>12</v>
      </c>
      <c r="J495" t="s">
        <v>5</v>
      </c>
    </row>
    <row r="496" spans="1:10" x14ac:dyDescent="0.35">
      <c r="A496" s="38" t="s">
        <v>409</v>
      </c>
      <c r="B496" s="38">
        <v>1</v>
      </c>
      <c r="C496" t="s">
        <v>3</v>
      </c>
      <c r="D496" s="38" t="s">
        <v>9</v>
      </c>
      <c r="E496" s="38"/>
      <c r="F496" s="38" t="s">
        <v>18</v>
      </c>
      <c r="G496" s="38"/>
      <c r="H496" s="38"/>
      <c r="I496" s="38" t="s">
        <v>19</v>
      </c>
      <c r="J496" s="38" t="s">
        <v>350</v>
      </c>
    </row>
    <row r="497" spans="1:10" ht="15.5" x14ac:dyDescent="0.35">
      <c r="A497" s="2" t="s">
        <v>382</v>
      </c>
      <c r="B497">
        <v>1.00057</v>
      </c>
      <c r="C497" t="s">
        <v>3</v>
      </c>
      <c r="D497" t="s">
        <v>9</v>
      </c>
      <c r="F497" s="38" t="s">
        <v>21</v>
      </c>
      <c r="G497" t="s">
        <v>19</v>
      </c>
      <c r="I497" s="38"/>
      <c r="J497" s="2" t="s">
        <v>230</v>
      </c>
    </row>
    <row r="498" spans="1:10" x14ac:dyDescent="0.35">
      <c r="A498" s="38" t="s">
        <v>30</v>
      </c>
      <c r="B498" s="38">
        <v>6.7000000000000002E-3</v>
      </c>
      <c r="C498" t="s">
        <v>3</v>
      </c>
      <c r="D498" s="38" t="s">
        <v>31</v>
      </c>
      <c r="E498" s="38"/>
      <c r="F498" s="38" t="s">
        <v>21</v>
      </c>
      <c r="G498" s="38"/>
      <c r="H498" s="38"/>
      <c r="I498" s="38"/>
      <c r="J498" s="38" t="s">
        <v>32</v>
      </c>
    </row>
    <row r="499" spans="1:10" x14ac:dyDescent="0.35">
      <c r="A499" s="38" t="s">
        <v>353</v>
      </c>
      <c r="B499" s="38">
        <v>-1.6799999999999999E-4</v>
      </c>
      <c r="C499" s="38" t="s">
        <v>33</v>
      </c>
      <c r="D499" s="38" t="s">
        <v>9</v>
      </c>
      <c r="E499" s="38"/>
      <c r="F499" s="38" t="s">
        <v>21</v>
      </c>
      <c r="G499" s="38"/>
      <c r="H499" s="38"/>
      <c r="I499" s="38"/>
      <c r="J499" s="38" t="s">
        <v>354</v>
      </c>
    </row>
    <row r="500" spans="1:10" x14ac:dyDescent="0.35">
      <c r="A500" s="38" t="s">
        <v>355</v>
      </c>
      <c r="B500" s="39">
        <v>5.8399999999999999E-4</v>
      </c>
      <c r="C500" s="38" t="s">
        <v>33</v>
      </c>
      <c r="D500" s="38" t="s">
        <v>20</v>
      </c>
      <c r="E500" s="38"/>
      <c r="F500" s="38" t="s">
        <v>21</v>
      </c>
      <c r="G500" s="38"/>
      <c r="H500" s="38"/>
      <c r="I500" s="38"/>
      <c r="J500" s="38" t="s">
        <v>356</v>
      </c>
    </row>
    <row r="501" spans="1:10" x14ac:dyDescent="0.35">
      <c r="A501" s="38" t="s">
        <v>357</v>
      </c>
      <c r="B501" s="39">
        <v>2.5999999999999998E-10</v>
      </c>
      <c r="C501" s="38" t="s">
        <v>33</v>
      </c>
      <c r="D501" s="38" t="s">
        <v>8</v>
      </c>
      <c r="E501" s="38"/>
      <c r="F501" s="38" t="s">
        <v>21</v>
      </c>
      <c r="G501" s="38"/>
      <c r="H501" s="38"/>
      <c r="I501" s="38"/>
      <c r="J501" s="38" t="s">
        <v>358</v>
      </c>
    </row>
    <row r="502" spans="1:10" x14ac:dyDescent="0.35">
      <c r="A502" s="38" t="s">
        <v>359</v>
      </c>
      <c r="B502" s="39">
        <v>-6.2700000000000001E-6</v>
      </c>
      <c r="C502" s="38" t="s">
        <v>33</v>
      </c>
      <c r="D502" s="38" t="s">
        <v>9</v>
      </c>
      <c r="E502" s="38"/>
      <c r="F502" s="38" t="s">
        <v>21</v>
      </c>
      <c r="G502" s="38"/>
      <c r="H502" s="38"/>
      <c r="I502" s="38"/>
      <c r="J502" s="38" t="s">
        <v>360</v>
      </c>
    </row>
    <row r="503" spans="1:10" x14ac:dyDescent="0.35">
      <c r="A503" s="38" t="s">
        <v>361</v>
      </c>
      <c r="B503" s="39">
        <v>-7.4999999999999993E-5</v>
      </c>
      <c r="C503" s="38" t="s">
        <v>33</v>
      </c>
      <c r="D503" s="38" t="s">
        <v>131</v>
      </c>
      <c r="E503" s="38"/>
      <c r="F503" s="38" t="s">
        <v>21</v>
      </c>
      <c r="G503" s="38"/>
      <c r="H503" s="38"/>
      <c r="I503" s="38"/>
      <c r="J503" s="38" t="s">
        <v>362</v>
      </c>
    </row>
    <row r="504" spans="1:10" x14ac:dyDescent="0.35">
      <c r="A504" s="38" t="s">
        <v>363</v>
      </c>
      <c r="B504" s="39">
        <v>6.8900000000000005E-4</v>
      </c>
      <c r="C504" s="38" t="s">
        <v>33</v>
      </c>
      <c r="D504" s="38" t="s">
        <v>9</v>
      </c>
      <c r="E504" s="38"/>
      <c r="F504" s="38" t="s">
        <v>21</v>
      </c>
      <c r="G504" s="38"/>
      <c r="H504" s="38"/>
      <c r="I504" s="38"/>
      <c r="J504" s="38" t="s">
        <v>364</v>
      </c>
    </row>
    <row r="505" spans="1:10" x14ac:dyDescent="0.35">
      <c r="A505" s="38" t="s">
        <v>108</v>
      </c>
      <c r="B505" s="38">
        <v>3.3599999999999998E-2</v>
      </c>
      <c r="C505" s="38" t="s">
        <v>33</v>
      </c>
      <c r="D505" s="38" t="s">
        <v>45</v>
      </c>
      <c r="E505" s="38"/>
      <c r="F505" s="38" t="s">
        <v>21</v>
      </c>
      <c r="G505" s="38"/>
      <c r="H505" s="38"/>
      <c r="I505" s="38"/>
      <c r="J505" s="38" t="s">
        <v>111</v>
      </c>
    </row>
    <row r="506" spans="1:10" x14ac:dyDescent="0.35">
      <c r="A506" s="38" t="s">
        <v>365</v>
      </c>
      <c r="B506" s="38">
        <v>3.2599999999999997E-2</v>
      </c>
      <c r="C506" s="38" t="s">
        <v>33</v>
      </c>
      <c r="D506" s="38" t="s">
        <v>45</v>
      </c>
      <c r="E506" s="38"/>
      <c r="F506" s="38" t="s">
        <v>21</v>
      </c>
      <c r="G506" s="38"/>
      <c r="H506" s="38"/>
      <c r="I506" s="38"/>
      <c r="J506" s="38" t="s">
        <v>366</v>
      </c>
    </row>
    <row r="507" spans="1:10" x14ac:dyDescent="0.35">
      <c r="A507" s="38" t="s">
        <v>367</v>
      </c>
      <c r="B507" s="39">
        <v>-6.8899999999999999E-7</v>
      </c>
      <c r="C507" s="38" t="s">
        <v>33</v>
      </c>
      <c r="D507" s="38" t="s">
        <v>131</v>
      </c>
      <c r="E507" s="38"/>
      <c r="F507" s="38" t="s">
        <v>21</v>
      </c>
      <c r="G507" s="38"/>
      <c r="H507" s="38"/>
      <c r="I507" s="38"/>
      <c r="J507" s="38" t="s">
        <v>368</v>
      </c>
    </row>
    <row r="509" spans="1:10" ht="15.5" x14ac:dyDescent="0.35">
      <c r="A509" s="1" t="s">
        <v>1</v>
      </c>
      <c r="B509" s="1" t="s">
        <v>410</v>
      </c>
    </row>
    <row r="510" spans="1:10" x14ac:dyDescent="0.35">
      <c r="A510" t="s">
        <v>2</v>
      </c>
      <c r="B510" t="s">
        <v>3</v>
      </c>
    </row>
    <row r="511" spans="1:10" x14ac:dyDescent="0.35">
      <c r="A511" t="s">
        <v>4</v>
      </c>
      <c r="B511">
        <v>1</v>
      </c>
    </row>
    <row r="512" spans="1:10" ht="15.5" x14ac:dyDescent="0.35">
      <c r="A512" t="s">
        <v>5</v>
      </c>
      <c r="B512" s="2" t="s">
        <v>350</v>
      </c>
    </row>
    <row r="513" spans="1:10" x14ac:dyDescent="0.35">
      <c r="A513" t="s">
        <v>6</v>
      </c>
      <c r="B513" t="s">
        <v>7</v>
      </c>
    </row>
    <row r="514" spans="1:10" x14ac:dyDescent="0.35">
      <c r="A514" t="s">
        <v>8</v>
      </c>
      <c r="B514" t="s">
        <v>9</v>
      </c>
    </row>
    <row r="515" spans="1:10" x14ac:dyDescent="0.35">
      <c r="A515" t="s">
        <v>10</v>
      </c>
      <c r="B515" t="s">
        <v>406</v>
      </c>
    </row>
    <row r="516" spans="1:10" x14ac:dyDescent="0.35">
      <c r="A516" t="s">
        <v>12</v>
      </c>
      <c r="B516" t="s">
        <v>374</v>
      </c>
    </row>
    <row r="517" spans="1:10" ht="15.5" x14ac:dyDescent="0.35">
      <c r="A517" s="1" t="s">
        <v>13</v>
      </c>
    </row>
    <row r="518" spans="1:10" x14ac:dyDescent="0.35">
      <c r="A518" t="s">
        <v>14</v>
      </c>
      <c r="B518" t="s">
        <v>15</v>
      </c>
      <c r="C518" t="s">
        <v>2</v>
      </c>
      <c r="D518" t="s">
        <v>8</v>
      </c>
      <c r="E518" t="s">
        <v>16</v>
      </c>
      <c r="F518" t="s">
        <v>6</v>
      </c>
      <c r="G518" t="s">
        <v>351</v>
      </c>
      <c r="H518" t="s">
        <v>352</v>
      </c>
      <c r="I518" t="s">
        <v>12</v>
      </c>
      <c r="J518" t="s">
        <v>5</v>
      </c>
    </row>
    <row r="519" spans="1:10" x14ac:dyDescent="0.35">
      <c r="A519" s="38" t="s">
        <v>410</v>
      </c>
      <c r="B519" s="38">
        <v>1</v>
      </c>
      <c r="C519" t="s">
        <v>3</v>
      </c>
      <c r="D519" s="38" t="s">
        <v>9</v>
      </c>
      <c r="E519" s="38"/>
      <c r="F519" s="38" t="s">
        <v>18</v>
      </c>
      <c r="G519" s="38"/>
      <c r="H519" s="38"/>
      <c r="I519" s="38" t="s">
        <v>19</v>
      </c>
      <c r="J519" s="38" t="s">
        <v>350</v>
      </c>
    </row>
    <row r="520" spans="1:10" ht="15.5" x14ac:dyDescent="0.35">
      <c r="A520" s="2" t="s">
        <v>385</v>
      </c>
      <c r="B520">
        <v>1.00057</v>
      </c>
      <c r="C520" t="s">
        <v>3</v>
      </c>
      <c r="D520" t="s">
        <v>9</v>
      </c>
      <c r="F520" s="38" t="s">
        <v>21</v>
      </c>
      <c r="G520" t="s">
        <v>19</v>
      </c>
      <c r="I520" s="38"/>
      <c r="J520" s="2" t="s">
        <v>230</v>
      </c>
    </row>
    <row r="521" spans="1:10" x14ac:dyDescent="0.35">
      <c r="A521" s="38" t="s">
        <v>30</v>
      </c>
      <c r="B521" s="38">
        <v>6.7000000000000002E-3</v>
      </c>
      <c r="C521" t="s">
        <v>3</v>
      </c>
      <c r="D521" s="38" t="s">
        <v>31</v>
      </c>
      <c r="E521" s="38"/>
      <c r="F521" s="38" t="s">
        <v>21</v>
      </c>
      <c r="G521" s="38"/>
      <c r="H521" s="38"/>
      <c r="I521" s="38"/>
      <c r="J521" s="38" t="s">
        <v>32</v>
      </c>
    </row>
    <row r="522" spans="1:10" x14ac:dyDescent="0.35">
      <c r="A522" s="38" t="s">
        <v>353</v>
      </c>
      <c r="B522" s="38">
        <v>-1.6799999999999999E-4</v>
      </c>
      <c r="C522" s="38" t="s">
        <v>33</v>
      </c>
      <c r="D522" s="38" t="s">
        <v>9</v>
      </c>
      <c r="E522" s="38"/>
      <c r="F522" s="38" t="s">
        <v>21</v>
      </c>
      <c r="G522" s="38"/>
      <c r="H522" s="38"/>
      <c r="I522" s="38"/>
      <c r="J522" s="38" t="s">
        <v>354</v>
      </c>
    </row>
    <row r="523" spans="1:10" x14ac:dyDescent="0.35">
      <c r="A523" s="38" t="s">
        <v>355</v>
      </c>
      <c r="B523" s="39">
        <v>5.8399999999999999E-4</v>
      </c>
      <c r="C523" s="38" t="s">
        <v>33</v>
      </c>
      <c r="D523" s="38" t="s">
        <v>20</v>
      </c>
      <c r="E523" s="38"/>
      <c r="F523" s="38" t="s">
        <v>21</v>
      </c>
      <c r="G523" s="38"/>
      <c r="H523" s="38"/>
      <c r="I523" s="38"/>
      <c r="J523" s="38" t="s">
        <v>356</v>
      </c>
    </row>
    <row r="524" spans="1:10" x14ac:dyDescent="0.35">
      <c r="A524" s="38" t="s">
        <v>357</v>
      </c>
      <c r="B524" s="39">
        <v>2.5999999999999998E-10</v>
      </c>
      <c r="C524" s="38" t="s">
        <v>33</v>
      </c>
      <c r="D524" s="38" t="s">
        <v>8</v>
      </c>
      <c r="E524" s="38"/>
      <c r="F524" s="38" t="s">
        <v>21</v>
      </c>
      <c r="G524" s="38"/>
      <c r="H524" s="38"/>
      <c r="I524" s="38"/>
      <c r="J524" s="38" t="s">
        <v>358</v>
      </c>
    </row>
    <row r="525" spans="1:10" x14ac:dyDescent="0.35">
      <c r="A525" s="38" t="s">
        <v>359</v>
      </c>
      <c r="B525" s="39">
        <v>-6.2700000000000001E-6</v>
      </c>
      <c r="C525" s="38" t="s">
        <v>33</v>
      </c>
      <c r="D525" s="38" t="s">
        <v>9</v>
      </c>
      <c r="E525" s="38"/>
      <c r="F525" s="38" t="s">
        <v>21</v>
      </c>
      <c r="G525" s="38"/>
      <c r="H525" s="38"/>
      <c r="I525" s="38"/>
      <c r="J525" s="38" t="s">
        <v>360</v>
      </c>
    </row>
    <row r="526" spans="1:10" x14ac:dyDescent="0.35">
      <c r="A526" s="38" t="s">
        <v>361</v>
      </c>
      <c r="B526" s="39">
        <v>-7.4999999999999993E-5</v>
      </c>
      <c r="C526" s="38" t="s">
        <v>33</v>
      </c>
      <c r="D526" s="38" t="s">
        <v>131</v>
      </c>
      <c r="E526" s="38"/>
      <c r="F526" s="38" t="s">
        <v>21</v>
      </c>
      <c r="G526" s="38"/>
      <c r="H526" s="38"/>
      <c r="I526" s="38"/>
      <c r="J526" s="38" t="s">
        <v>362</v>
      </c>
    </row>
    <row r="527" spans="1:10" x14ac:dyDescent="0.35">
      <c r="A527" s="38" t="s">
        <v>363</v>
      </c>
      <c r="B527" s="39">
        <v>6.8900000000000005E-4</v>
      </c>
      <c r="C527" s="38" t="s">
        <v>33</v>
      </c>
      <c r="D527" s="38" t="s">
        <v>9</v>
      </c>
      <c r="E527" s="38"/>
      <c r="F527" s="38" t="s">
        <v>21</v>
      </c>
      <c r="G527" s="38"/>
      <c r="H527" s="38"/>
      <c r="I527" s="38"/>
      <c r="J527" s="38" t="s">
        <v>364</v>
      </c>
    </row>
    <row r="528" spans="1:10" x14ac:dyDescent="0.35">
      <c r="A528" s="38" t="s">
        <v>108</v>
      </c>
      <c r="B528" s="38">
        <v>3.3599999999999998E-2</v>
      </c>
      <c r="C528" s="38" t="s">
        <v>33</v>
      </c>
      <c r="D528" s="38" t="s">
        <v>45</v>
      </c>
      <c r="E528" s="38"/>
      <c r="F528" s="38" t="s">
        <v>21</v>
      </c>
      <c r="G528" s="38"/>
      <c r="H528" s="38"/>
      <c r="I528" s="38"/>
      <c r="J528" s="38" t="s">
        <v>111</v>
      </c>
    </row>
    <row r="529" spans="1:10" x14ac:dyDescent="0.35">
      <c r="A529" s="38" t="s">
        <v>365</v>
      </c>
      <c r="B529" s="38">
        <v>3.2599999999999997E-2</v>
      </c>
      <c r="C529" s="38" t="s">
        <v>33</v>
      </c>
      <c r="D529" s="38" t="s">
        <v>45</v>
      </c>
      <c r="E529" s="38"/>
      <c r="F529" s="38" t="s">
        <v>21</v>
      </c>
      <c r="G529" s="38"/>
      <c r="H529" s="38"/>
      <c r="I529" s="38"/>
      <c r="J529" s="38" t="s">
        <v>366</v>
      </c>
    </row>
    <row r="530" spans="1:10" x14ac:dyDescent="0.35">
      <c r="A530" s="38" t="s">
        <v>367</v>
      </c>
      <c r="B530" s="39">
        <v>-6.8899999999999999E-7</v>
      </c>
      <c r="C530" s="38" t="s">
        <v>33</v>
      </c>
      <c r="D530" s="38" t="s">
        <v>131</v>
      </c>
      <c r="E530" s="38"/>
      <c r="F530" s="38" t="s">
        <v>21</v>
      </c>
      <c r="G530" s="38"/>
      <c r="H530" s="38"/>
      <c r="I530" s="38"/>
      <c r="J530" s="38" t="s">
        <v>368</v>
      </c>
    </row>
    <row r="531" spans="1:10" x14ac:dyDescent="0.35">
      <c r="A531" s="38"/>
      <c r="B531" s="39"/>
      <c r="C531" s="38"/>
      <c r="D531" s="38"/>
      <c r="E531" s="38"/>
      <c r="F531" s="38"/>
      <c r="G531" s="38"/>
      <c r="H531" s="38"/>
      <c r="I531" s="38"/>
      <c r="J531" s="38"/>
    </row>
    <row r="532" spans="1:10" ht="15.5" x14ac:dyDescent="0.35">
      <c r="A532" s="1" t="s">
        <v>1</v>
      </c>
      <c r="B532" s="1" t="s">
        <v>529</v>
      </c>
    </row>
    <row r="533" spans="1:10" x14ac:dyDescent="0.35">
      <c r="A533" t="s">
        <v>2</v>
      </c>
      <c r="B533" t="s">
        <v>3</v>
      </c>
    </row>
    <row r="534" spans="1:10" x14ac:dyDescent="0.35">
      <c r="A534" t="s">
        <v>4</v>
      </c>
      <c r="B534">
        <v>1</v>
      </c>
    </row>
    <row r="535" spans="1:10" ht="15.5" x14ac:dyDescent="0.35">
      <c r="A535" t="s">
        <v>5</v>
      </c>
      <c r="B535" s="2" t="s">
        <v>350</v>
      </c>
    </row>
    <row r="536" spans="1:10" x14ac:dyDescent="0.35">
      <c r="A536" t="s">
        <v>6</v>
      </c>
      <c r="B536" t="s">
        <v>7</v>
      </c>
    </row>
    <row r="537" spans="1:10" x14ac:dyDescent="0.35">
      <c r="A537" t="s">
        <v>8</v>
      </c>
      <c r="B537" t="s">
        <v>9</v>
      </c>
    </row>
    <row r="538" spans="1:10" x14ac:dyDescent="0.35">
      <c r="A538" t="s">
        <v>10</v>
      </c>
      <c r="B538" t="s">
        <v>406</v>
      </c>
    </row>
    <row r="539" spans="1:10" x14ac:dyDescent="0.35">
      <c r="A539" t="s">
        <v>12</v>
      </c>
      <c r="B539" t="s">
        <v>525</v>
      </c>
    </row>
    <row r="540" spans="1:10" ht="15.5" x14ac:dyDescent="0.35">
      <c r="A540" s="1" t="s">
        <v>13</v>
      </c>
    </row>
    <row r="541" spans="1:10" x14ac:dyDescent="0.35">
      <c r="A541" t="s">
        <v>14</v>
      </c>
      <c r="B541" t="s">
        <v>15</v>
      </c>
      <c r="C541" t="s">
        <v>2</v>
      </c>
      <c r="D541" t="s">
        <v>8</v>
      </c>
      <c r="E541" t="s">
        <v>16</v>
      </c>
      <c r="F541" t="s">
        <v>6</v>
      </c>
      <c r="G541" t="s">
        <v>351</v>
      </c>
      <c r="H541" t="s">
        <v>352</v>
      </c>
      <c r="I541" t="s">
        <v>12</v>
      </c>
      <c r="J541" t="s">
        <v>5</v>
      </c>
    </row>
    <row r="542" spans="1:10" x14ac:dyDescent="0.35">
      <c r="A542" s="38" t="s">
        <v>529</v>
      </c>
      <c r="B542" s="38">
        <v>1</v>
      </c>
      <c r="C542" t="s">
        <v>3</v>
      </c>
      <c r="D542" s="38" t="s">
        <v>9</v>
      </c>
      <c r="E542" s="38"/>
      <c r="F542" s="38" t="s">
        <v>18</v>
      </c>
      <c r="G542" s="38"/>
      <c r="H542" s="38"/>
      <c r="I542" s="38" t="s">
        <v>19</v>
      </c>
      <c r="J542" s="38" t="s">
        <v>350</v>
      </c>
    </row>
    <row r="543" spans="1:10" ht="15.5" x14ac:dyDescent="0.35">
      <c r="A543" s="2" t="s">
        <v>528</v>
      </c>
      <c r="B543">
        <v>1.00057</v>
      </c>
      <c r="C543" t="s">
        <v>3</v>
      </c>
      <c r="D543" t="s">
        <v>9</v>
      </c>
      <c r="F543" s="38" t="s">
        <v>21</v>
      </c>
      <c r="G543" t="s">
        <v>19</v>
      </c>
      <c r="I543" s="38"/>
      <c r="J543" s="2" t="s">
        <v>230</v>
      </c>
    </row>
    <row r="544" spans="1:10" x14ac:dyDescent="0.35">
      <c r="A544" s="38" t="s">
        <v>30</v>
      </c>
      <c r="B544" s="38">
        <v>6.7000000000000002E-3</v>
      </c>
      <c r="C544" t="s">
        <v>3</v>
      </c>
      <c r="D544" s="38" t="s">
        <v>31</v>
      </c>
      <c r="E544" s="38"/>
      <c r="F544" s="38" t="s">
        <v>21</v>
      </c>
      <c r="G544" s="38"/>
      <c r="H544" s="38"/>
      <c r="I544" s="38"/>
      <c r="J544" s="38" t="s">
        <v>32</v>
      </c>
    </row>
    <row r="545" spans="1:10" x14ac:dyDescent="0.35">
      <c r="A545" s="38" t="s">
        <v>353</v>
      </c>
      <c r="B545" s="38">
        <v>-1.6799999999999999E-4</v>
      </c>
      <c r="C545" s="38" t="s">
        <v>33</v>
      </c>
      <c r="D545" s="38" t="s">
        <v>9</v>
      </c>
      <c r="E545" s="38"/>
      <c r="F545" s="38" t="s">
        <v>21</v>
      </c>
      <c r="G545" s="38"/>
      <c r="H545" s="38"/>
      <c r="I545" s="38"/>
      <c r="J545" s="38" t="s">
        <v>354</v>
      </c>
    </row>
    <row r="546" spans="1:10" x14ac:dyDescent="0.35">
      <c r="A546" s="38" t="s">
        <v>355</v>
      </c>
      <c r="B546" s="39">
        <v>5.8399999999999999E-4</v>
      </c>
      <c r="C546" s="38" t="s">
        <v>33</v>
      </c>
      <c r="D546" s="38" t="s">
        <v>20</v>
      </c>
      <c r="E546" s="38"/>
      <c r="F546" s="38" t="s">
        <v>21</v>
      </c>
      <c r="G546" s="38"/>
      <c r="H546" s="38"/>
      <c r="I546" s="38"/>
      <c r="J546" s="38" t="s">
        <v>356</v>
      </c>
    </row>
    <row r="547" spans="1:10" x14ac:dyDescent="0.35">
      <c r="A547" s="38" t="s">
        <v>357</v>
      </c>
      <c r="B547" s="39">
        <v>2.5999999999999998E-10</v>
      </c>
      <c r="C547" s="38" t="s">
        <v>33</v>
      </c>
      <c r="D547" s="38" t="s">
        <v>8</v>
      </c>
      <c r="E547" s="38"/>
      <c r="F547" s="38" t="s">
        <v>21</v>
      </c>
      <c r="G547" s="38"/>
      <c r="H547" s="38"/>
      <c r="I547" s="38"/>
      <c r="J547" s="38" t="s">
        <v>358</v>
      </c>
    </row>
    <row r="548" spans="1:10" x14ac:dyDescent="0.35">
      <c r="A548" s="38" t="s">
        <v>359</v>
      </c>
      <c r="B548" s="39">
        <v>-6.2700000000000001E-6</v>
      </c>
      <c r="C548" s="38" t="s">
        <v>33</v>
      </c>
      <c r="D548" s="38" t="s">
        <v>9</v>
      </c>
      <c r="E548" s="38"/>
      <c r="F548" s="38" t="s">
        <v>21</v>
      </c>
      <c r="G548" s="38"/>
      <c r="H548" s="38"/>
      <c r="I548" s="38"/>
      <c r="J548" s="38" t="s">
        <v>360</v>
      </c>
    </row>
    <row r="549" spans="1:10" x14ac:dyDescent="0.35">
      <c r="A549" s="38" t="s">
        <v>361</v>
      </c>
      <c r="B549" s="39">
        <v>-7.4999999999999993E-5</v>
      </c>
      <c r="C549" s="38" t="s">
        <v>33</v>
      </c>
      <c r="D549" s="38" t="s">
        <v>131</v>
      </c>
      <c r="E549" s="38"/>
      <c r="F549" s="38" t="s">
        <v>21</v>
      </c>
      <c r="G549" s="38"/>
      <c r="H549" s="38"/>
      <c r="I549" s="38"/>
      <c r="J549" s="38" t="s">
        <v>362</v>
      </c>
    </row>
    <row r="550" spans="1:10" x14ac:dyDescent="0.35">
      <c r="A550" s="38" t="s">
        <v>363</v>
      </c>
      <c r="B550" s="39">
        <v>6.8900000000000005E-4</v>
      </c>
      <c r="C550" s="38" t="s">
        <v>33</v>
      </c>
      <c r="D550" s="38" t="s">
        <v>9</v>
      </c>
      <c r="E550" s="38"/>
      <c r="F550" s="38" t="s">
        <v>21</v>
      </c>
      <c r="G550" s="38"/>
      <c r="H550" s="38"/>
      <c r="I550" s="38"/>
      <c r="J550" s="38" t="s">
        <v>364</v>
      </c>
    </row>
    <row r="551" spans="1:10" x14ac:dyDescent="0.35">
      <c r="A551" s="38" t="s">
        <v>108</v>
      </c>
      <c r="B551" s="38">
        <v>3.3599999999999998E-2</v>
      </c>
      <c r="C551" s="38" t="s">
        <v>33</v>
      </c>
      <c r="D551" s="38" t="s">
        <v>45</v>
      </c>
      <c r="E551" s="38"/>
      <c r="F551" s="38" t="s">
        <v>21</v>
      </c>
      <c r="G551" s="38"/>
      <c r="H551" s="38"/>
      <c r="I551" s="38"/>
      <c r="J551" s="38" t="s">
        <v>111</v>
      </c>
    </row>
    <row r="552" spans="1:10" x14ac:dyDescent="0.35">
      <c r="A552" s="38" t="s">
        <v>365</v>
      </c>
      <c r="B552" s="38">
        <v>3.2599999999999997E-2</v>
      </c>
      <c r="C552" s="38" t="s">
        <v>33</v>
      </c>
      <c r="D552" s="38" t="s">
        <v>45</v>
      </c>
      <c r="E552" s="38"/>
      <c r="F552" s="38" t="s">
        <v>21</v>
      </c>
      <c r="G552" s="38"/>
      <c r="H552" s="38"/>
      <c r="I552" s="38"/>
      <c r="J552" s="38" t="s">
        <v>366</v>
      </c>
    </row>
    <row r="553" spans="1:10" x14ac:dyDescent="0.35">
      <c r="A553" s="38" t="s">
        <v>367</v>
      </c>
      <c r="B553" s="39">
        <v>-6.8899999999999999E-7</v>
      </c>
      <c r="C553" s="38" t="s">
        <v>33</v>
      </c>
      <c r="D553" s="38" t="s">
        <v>131</v>
      </c>
      <c r="E553" s="38"/>
      <c r="F553" s="38" t="s">
        <v>21</v>
      </c>
      <c r="G553" s="38"/>
      <c r="H553" s="38"/>
      <c r="I553" s="38"/>
      <c r="J553" s="38" t="s">
        <v>368</v>
      </c>
    </row>
    <row r="554" spans="1:10" x14ac:dyDescent="0.35">
      <c r="A554" s="38"/>
      <c r="B554" s="39"/>
      <c r="C554" s="38"/>
      <c r="D554" s="38"/>
      <c r="E554" s="38"/>
      <c r="F554" s="38"/>
      <c r="G554" s="38"/>
      <c r="H554" s="38"/>
      <c r="I554" s="38"/>
      <c r="J554" s="38"/>
    </row>
    <row r="555" spans="1:10" ht="15.5" x14ac:dyDescent="0.35">
      <c r="A555" s="1" t="s">
        <v>1</v>
      </c>
      <c r="B555" s="1" t="s">
        <v>73</v>
      </c>
    </row>
    <row r="556" spans="1:10" x14ac:dyDescent="0.35">
      <c r="A556" t="s">
        <v>2</v>
      </c>
      <c r="B556" t="s">
        <v>3</v>
      </c>
    </row>
    <row r="557" spans="1:10" x14ac:dyDescent="0.35">
      <c r="A557" t="s">
        <v>4</v>
      </c>
      <c r="B557">
        <v>1</v>
      </c>
    </row>
    <row r="558" spans="1:10" ht="15.5" x14ac:dyDescent="0.35">
      <c r="A558" t="s">
        <v>5</v>
      </c>
      <c r="B558" s="2" t="s">
        <v>74</v>
      </c>
    </row>
    <row r="559" spans="1:10" x14ac:dyDescent="0.35">
      <c r="A559" t="s">
        <v>6</v>
      </c>
      <c r="B559" t="s">
        <v>7</v>
      </c>
    </row>
    <row r="560" spans="1:10" x14ac:dyDescent="0.35">
      <c r="A560" t="s">
        <v>8</v>
      </c>
      <c r="B560" t="s">
        <v>9</v>
      </c>
    </row>
    <row r="561" spans="1:8" x14ac:dyDescent="0.35">
      <c r="A561" t="s">
        <v>10</v>
      </c>
      <c r="B561" t="s">
        <v>11</v>
      </c>
    </row>
    <row r="562" spans="1:8" x14ac:dyDescent="0.35">
      <c r="A562" t="s">
        <v>28</v>
      </c>
      <c r="B562" t="s">
        <v>29</v>
      </c>
    </row>
    <row r="563" spans="1:8" ht="15.5" x14ac:dyDescent="0.35">
      <c r="A563" s="1" t="s">
        <v>13</v>
      </c>
    </row>
    <row r="564" spans="1:8" x14ac:dyDescent="0.35">
      <c r="A564" t="s">
        <v>14</v>
      </c>
      <c r="B564" t="s">
        <v>15</v>
      </c>
      <c r="C564" t="s">
        <v>2</v>
      </c>
      <c r="D564" t="s">
        <v>8</v>
      </c>
      <c r="E564" t="s">
        <v>16</v>
      </c>
      <c r="F564" t="s">
        <v>6</v>
      </c>
      <c r="G564" t="s">
        <v>12</v>
      </c>
      <c r="H564" t="s">
        <v>5</v>
      </c>
    </row>
    <row r="565" spans="1:8" ht="15.5" x14ac:dyDescent="0.35">
      <c r="A565" s="2" t="s">
        <v>73</v>
      </c>
      <c r="B565">
        <v>1</v>
      </c>
      <c r="C565" t="s">
        <v>3</v>
      </c>
      <c r="D565" t="s">
        <v>9</v>
      </c>
      <c r="F565" t="s">
        <v>18</v>
      </c>
      <c r="G565" t="s">
        <v>19</v>
      </c>
      <c r="H565" s="2" t="s">
        <v>74</v>
      </c>
    </row>
    <row r="566" spans="1:8" x14ac:dyDescent="0.35">
      <c r="A566" t="s">
        <v>23</v>
      </c>
      <c r="B566" s="5">
        <f>132180*Allocation!$B$3/1000</f>
        <v>0.13945728886199998</v>
      </c>
      <c r="C566" t="s">
        <v>27</v>
      </c>
      <c r="D566" t="s">
        <v>20</v>
      </c>
      <c r="F566" t="s">
        <v>21</v>
      </c>
      <c r="G566" t="s">
        <v>64</v>
      </c>
      <c r="H566" t="s">
        <v>24</v>
      </c>
    </row>
    <row r="567" spans="1:8" x14ac:dyDescent="0.35">
      <c r="A567" t="s">
        <v>43</v>
      </c>
      <c r="B567" s="5">
        <f>90*Allocation!$B$7/1000</f>
        <v>0.1449</v>
      </c>
      <c r="C567" t="s">
        <v>33</v>
      </c>
      <c r="D567" t="s">
        <v>45</v>
      </c>
      <c r="F567" t="s">
        <v>21</v>
      </c>
      <c r="G567" t="s">
        <v>79</v>
      </c>
      <c r="H567" t="s">
        <v>44</v>
      </c>
    </row>
    <row r="568" spans="1:8" x14ac:dyDescent="0.35">
      <c r="A568" t="s">
        <v>120</v>
      </c>
      <c r="B568">
        <v>1.81</v>
      </c>
      <c r="D568" t="s">
        <v>9</v>
      </c>
      <c r="E568" t="s">
        <v>121</v>
      </c>
      <c r="F568" t="s">
        <v>38</v>
      </c>
      <c r="G568" t="s">
        <v>221</v>
      </c>
    </row>
    <row r="569" spans="1:8" x14ac:dyDescent="0.35">
      <c r="A569" t="s">
        <v>116</v>
      </c>
      <c r="B569">
        <v>20.399999999999999</v>
      </c>
      <c r="D569" t="s">
        <v>20</v>
      </c>
      <c r="E569" t="s">
        <v>122</v>
      </c>
      <c r="F569" t="s">
        <v>38</v>
      </c>
      <c r="G569" t="s">
        <v>221</v>
      </c>
    </row>
    <row r="570" spans="1:8" x14ac:dyDescent="0.35">
      <c r="A570" t="s">
        <v>222</v>
      </c>
      <c r="B570">
        <v>2.3256000000000001E-3</v>
      </c>
      <c r="D570" t="s">
        <v>131</v>
      </c>
      <c r="E570" t="s">
        <v>122</v>
      </c>
      <c r="F570" t="s">
        <v>38</v>
      </c>
      <c r="G570" t="s">
        <v>221</v>
      </c>
    </row>
    <row r="572" spans="1:8" ht="15.5" x14ac:dyDescent="0.35">
      <c r="A572" s="1" t="s">
        <v>1</v>
      </c>
      <c r="B572" s="1" t="s">
        <v>411</v>
      </c>
    </row>
    <row r="573" spans="1:8" x14ac:dyDescent="0.35">
      <c r="A573" t="s">
        <v>2</v>
      </c>
      <c r="B573" t="s">
        <v>3</v>
      </c>
    </row>
    <row r="574" spans="1:8" x14ac:dyDescent="0.35">
      <c r="A574" t="s">
        <v>4</v>
      </c>
      <c r="B574">
        <v>1</v>
      </c>
    </row>
    <row r="575" spans="1:8" ht="15.5" x14ac:dyDescent="0.35">
      <c r="A575" t="s">
        <v>5</v>
      </c>
      <c r="B575" s="2" t="s">
        <v>412</v>
      </c>
    </row>
    <row r="576" spans="1:8" x14ac:dyDescent="0.35">
      <c r="A576" t="s">
        <v>6</v>
      </c>
      <c r="B576" t="s">
        <v>7</v>
      </c>
    </row>
    <row r="577" spans="1:8" x14ac:dyDescent="0.35">
      <c r="A577" t="s">
        <v>8</v>
      </c>
      <c r="B577" t="s">
        <v>9</v>
      </c>
    </row>
    <row r="578" spans="1:8" x14ac:dyDescent="0.35">
      <c r="A578" t="s">
        <v>10</v>
      </c>
      <c r="B578" t="s">
        <v>11</v>
      </c>
    </row>
    <row r="579" spans="1:8" x14ac:dyDescent="0.35">
      <c r="A579" t="s">
        <v>28</v>
      </c>
      <c r="B579" t="s">
        <v>241</v>
      </c>
    </row>
    <row r="580" spans="1:8" ht="15.5" x14ac:dyDescent="0.35">
      <c r="A580" s="1" t="s">
        <v>13</v>
      </c>
    </row>
    <row r="581" spans="1:8" x14ac:dyDescent="0.35">
      <c r="A581" t="s">
        <v>14</v>
      </c>
      <c r="B581" t="s">
        <v>15</v>
      </c>
      <c r="C581" t="s">
        <v>2</v>
      </c>
      <c r="D581" t="s">
        <v>8</v>
      </c>
      <c r="E581" t="s">
        <v>16</v>
      </c>
      <c r="F581" t="s">
        <v>6</v>
      </c>
      <c r="G581" t="s">
        <v>12</v>
      </c>
      <c r="H581" t="s">
        <v>5</v>
      </c>
    </row>
    <row r="582" spans="1:8" ht="15.5" x14ac:dyDescent="0.35">
      <c r="A582" s="2" t="s">
        <v>411</v>
      </c>
      <c r="B582">
        <v>1</v>
      </c>
      <c r="C582" t="s">
        <v>3</v>
      </c>
      <c r="D582" t="s">
        <v>9</v>
      </c>
      <c r="F582" t="s">
        <v>18</v>
      </c>
      <c r="G582" t="s">
        <v>19</v>
      </c>
      <c r="H582" s="2" t="s">
        <v>412</v>
      </c>
    </row>
    <row r="583" spans="1:8" ht="15.5" x14ac:dyDescent="0.35">
      <c r="A583" s="2" t="s">
        <v>73</v>
      </c>
      <c r="B583" s="6">
        <f>(1/((Allocation!C20*Allocation!B4*Allocation!B10)/1000))*Allocation!F32</f>
        <v>3.2444757981354098</v>
      </c>
      <c r="C583" t="s">
        <v>3</v>
      </c>
      <c r="D583" t="s">
        <v>9</v>
      </c>
      <c r="F583" t="s">
        <v>21</v>
      </c>
      <c r="G583" t="s">
        <v>19</v>
      </c>
      <c r="H583" s="2" t="s">
        <v>74</v>
      </c>
    </row>
    <row r="584" spans="1:8" ht="15.5" x14ac:dyDescent="0.35">
      <c r="A584" s="2" t="s">
        <v>232</v>
      </c>
      <c r="B584" s="4">
        <f>(337*Allocation!$B$3)/(Allocation!$B$4*Allocation!$B$10)*Allocation!F32</f>
        <v>9.8054794980372589E-2</v>
      </c>
      <c r="C584" t="s">
        <v>27</v>
      </c>
      <c r="D584" t="s">
        <v>20</v>
      </c>
      <c r="F584" t="s">
        <v>21</v>
      </c>
      <c r="H584" s="2" t="s">
        <v>233</v>
      </c>
    </row>
    <row r="585" spans="1:8" ht="15.5" x14ac:dyDescent="0.35">
      <c r="A585" s="2" t="s">
        <v>401</v>
      </c>
      <c r="B585" s="4">
        <f>((117.72/1000)/(Allocation!$B$4*Allocation!$B$10))*Allocation!$F$32</f>
        <v>3.2464873731302545E-2</v>
      </c>
      <c r="C585" t="s">
        <v>27</v>
      </c>
      <c r="D585" t="s">
        <v>9</v>
      </c>
      <c r="F585" t="s">
        <v>21</v>
      </c>
      <c r="G585" t="s">
        <v>403</v>
      </c>
      <c r="H585" s="2" t="s">
        <v>402</v>
      </c>
    </row>
    <row r="586" spans="1:8" x14ac:dyDescent="0.35">
      <c r="A586" t="s">
        <v>201</v>
      </c>
      <c r="B586" s="6">
        <f>(B568*B583)-Allocation!$B$13</f>
        <v>3.9585011946250921</v>
      </c>
      <c r="D586" t="s">
        <v>9</v>
      </c>
      <c r="E586" t="s">
        <v>39</v>
      </c>
      <c r="F586" t="s">
        <v>38</v>
      </c>
      <c r="G586" t="s">
        <v>441</v>
      </c>
    </row>
    <row r="587" spans="1:8" x14ac:dyDescent="0.35">
      <c r="A587" t="s">
        <v>319</v>
      </c>
      <c r="B587" s="7">
        <f>1/(90000000*20)</f>
        <v>5.5555555555555553E-10</v>
      </c>
      <c r="C587" t="s">
        <v>27</v>
      </c>
      <c r="D587" t="s">
        <v>8</v>
      </c>
      <c r="F587" t="s">
        <v>21</v>
      </c>
      <c r="G587" t="s">
        <v>321</v>
      </c>
      <c r="H587" t="s">
        <v>320</v>
      </c>
    </row>
    <row r="588" spans="1:8" ht="15.5" x14ac:dyDescent="0.35">
      <c r="A588" s="2"/>
      <c r="H588" s="2"/>
    </row>
    <row r="589" spans="1:8" ht="15.5" x14ac:dyDescent="0.35">
      <c r="A589" s="1" t="s">
        <v>1</v>
      </c>
      <c r="B589" s="1" t="s">
        <v>413</v>
      </c>
    </row>
    <row r="590" spans="1:8" x14ac:dyDescent="0.35">
      <c r="A590" t="s">
        <v>2</v>
      </c>
      <c r="B590" t="s">
        <v>3</v>
      </c>
    </row>
    <row r="591" spans="1:8" x14ac:dyDescent="0.35">
      <c r="A591" t="s">
        <v>4</v>
      </c>
      <c r="B591">
        <v>1</v>
      </c>
    </row>
    <row r="592" spans="1:8" ht="15.5" x14ac:dyDescent="0.35">
      <c r="A592" t="s">
        <v>5</v>
      </c>
      <c r="B592" s="2" t="s">
        <v>412</v>
      </c>
    </row>
    <row r="593" spans="1:8" x14ac:dyDescent="0.35">
      <c r="A593" t="s">
        <v>6</v>
      </c>
      <c r="B593" t="s">
        <v>7</v>
      </c>
    </row>
    <row r="594" spans="1:8" x14ac:dyDescent="0.35">
      <c r="A594" t="s">
        <v>8</v>
      </c>
      <c r="B594" t="s">
        <v>9</v>
      </c>
    </row>
    <row r="595" spans="1:8" x14ac:dyDescent="0.35">
      <c r="A595" t="s">
        <v>10</v>
      </c>
      <c r="B595" t="s">
        <v>11</v>
      </c>
    </row>
    <row r="596" spans="1:8" x14ac:dyDescent="0.35">
      <c r="A596" t="s">
        <v>28</v>
      </c>
      <c r="B596" t="s">
        <v>386</v>
      </c>
    </row>
    <row r="597" spans="1:8" ht="15.5" x14ac:dyDescent="0.35">
      <c r="A597" s="1" t="s">
        <v>13</v>
      </c>
    </row>
    <row r="598" spans="1:8" x14ac:dyDescent="0.35">
      <c r="A598" t="s">
        <v>14</v>
      </c>
      <c r="B598" t="s">
        <v>15</v>
      </c>
      <c r="C598" t="s">
        <v>2</v>
      </c>
      <c r="D598" t="s">
        <v>8</v>
      </c>
      <c r="E598" t="s">
        <v>16</v>
      </c>
      <c r="F598" t="s">
        <v>6</v>
      </c>
      <c r="G598" t="s">
        <v>12</v>
      </c>
      <c r="H598" t="s">
        <v>5</v>
      </c>
    </row>
    <row r="599" spans="1:8" ht="15.5" x14ac:dyDescent="0.35">
      <c r="A599" s="2" t="s">
        <v>413</v>
      </c>
      <c r="B599">
        <v>1</v>
      </c>
      <c r="C599" t="s">
        <v>3</v>
      </c>
      <c r="D599" t="s">
        <v>9</v>
      </c>
      <c r="F599" t="s">
        <v>18</v>
      </c>
      <c r="G599" t="s">
        <v>19</v>
      </c>
      <c r="H599" s="2" t="s">
        <v>412</v>
      </c>
    </row>
    <row r="600" spans="1:8" ht="15.5" x14ac:dyDescent="0.35">
      <c r="A600" s="2" t="s">
        <v>73</v>
      </c>
      <c r="B600" s="6">
        <f>(1/((Allocation!$C$20*Allocation!$B$4*Allocation!$B$10)/1000))*Allocation!$G$32</f>
        <v>3.5882226085354634</v>
      </c>
      <c r="C600" t="s">
        <v>3</v>
      </c>
      <c r="D600" t="s">
        <v>9</v>
      </c>
      <c r="F600" t="s">
        <v>21</v>
      </c>
      <c r="G600" t="s">
        <v>19</v>
      </c>
      <c r="H600" s="2" t="s">
        <v>74</v>
      </c>
    </row>
    <row r="601" spans="1:8" ht="15.5" x14ac:dyDescent="0.35">
      <c r="A601" s="2" t="s">
        <v>232</v>
      </c>
      <c r="B601" s="4">
        <f>(337*Allocation!$B$3)/(Allocation!$B$4*Allocation!$B$10)*Allocation!G32</f>
        <v>0.1084435372968679</v>
      </c>
      <c r="C601" t="s">
        <v>27</v>
      </c>
      <c r="D601" t="s">
        <v>20</v>
      </c>
      <c r="F601" t="s">
        <v>21</v>
      </c>
      <c r="H601" s="2" t="s">
        <v>233</v>
      </c>
    </row>
    <row r="602" spans="1:8" ht="15.5" x14ac:dyDescent="0.35">
      <c r="A602" s="2" t="s">
        <v>401</v>
      </c>
      <c r="B602" s="4">
        <f>((117.72/1000)/(Allocation!$B$4*Allocation!$B$10))*Allocation!$G$32</f>
        <v>3.5904473065527555E-2</v>
      </c>
      <c r="C602" t="s">
        <v>27</v>
      </c>
      <c r="D602" t="s">
        <v>9</v>
      </c>
      <c r="F602" t="s">
        <v>21</v>
      </c>
      <c r="G602" t="s">
        <v>403</v>
      </c>
      <c r="H602" s="2" t="s">
        <v>402</v>
      </c>
    </row>
    <row r="603" spans="1:8" x14ac:dyDescent="0.35">
      <c r="A603" t="s">
        <v>319</v>
      </c>
      <c r="B603" s="7">
        <f>1/(90000000*20)</f>
        <v>5.5555555555555553E-10</v>
      </c>
      <c r="C603" t="s">
        <v>27</v>
      </c>
      <c r="D603" t="s">
        <v>8</v>
      </c>
      <c r="F603" t="s">
        <v>21</v>
      </c>
      <c r="G603" t="s">
        <v>321</v>
      </c>
      <c r="H603" t="s">
        <v>320</v>
      </c>
    </row>
    <row r="604" spans="1:8" x14ac:dyDescent="0.35">
      <c r="A604" t="s">
        <v>201</v>
      </c>
      <c r="B604" s="6">
        <f>(B568*B600)-Allocation!$B$13</f>
        <v>4.5806829214491893</v>
      </c>
      <c r="D604" t="s">
        <v>9</v>
      </c>
      <c r="E604" t="s">
        <v>39</v>
      </c>
      <c r="F604" t="s">
        <v>38</v>
      </c>
      <c r="G604" t="s">
        <v>441</v>
      </c>
    </row>
    <row r="605" spans="1:8" ht="15.5" x14ac:dyDescent="0.35">
      <c r="A605" s="2"/>
      <c r="H605" s="2"/>
    </row>
    <row r="606" spans="1:8" ht="15.5" x14ac:dyDescent="0.35">
      <c r="A606" s="1" t="s">
        <v>1</v>
      </c>
      <c r="B606" s="1" t="s">
        <v>530</v>
      </c>
    </row>
    <row r="607" spans="1:8" x14ac:dyDescent="0.35">
      <c r="A607" t="s">
        <v>2</v>
      </c>
      <c r="B607" t="s">
        <v>3</v>
      </c>
    </row>
    <row r="608" spans="1:8" x14ac:dyDescent="0.35">
      <c r="A608" t="s">
        <v>4</v>
      </c>
      <c r="B608">
        <v>1</v>
      </c>
    </row>
    <row r="609" spans="1:9" ht="15.5" x14ac:dyDescent="0.35">
      <c r="A609" t="s">
        <v>5</v>
      </c>
      <c r="B609" s="2" t="s">
        <v>412</v>
      </c>
    </row>
    <row r="610" spans="1:9" x14ac:dyDescent="0.35">
      <c r="A610" t="s">
        <v>6</v>
      </c>
      <c r="B610" t="s">
        <v>7</v>
      </c>
    </row>
    <row r="611" spans="1:9" x14ac:dyDescent="0.35">
      <c r="A611" t="s">
        <v>8</v>
      </c>
      <c r="B611" t="s">
        <v>9</v>
      </c>
    </row>
    <row r="612" spans="1:9" x14ac:dyDescent="0.35">
      <c r="A612" t="s">
        <v>10</v>
      </c>
      <c r="B612" t="s">
        <v>11</v>
      </c>
    </row>
    <row r="613" spans="1:9" x14ac:dyDescent="0.35">
      <c r="A613" t="s">
        <v>28</v>
      </c>
      <c r="B613" t="s">
        <v>522</v>
      </c>
    </row>
    <row r="614" spans="1:9" ht="15.5" x14ac:dyDescent="0.35">
      <c r="A614" s="1" t="s">
        <v>13</v>
      </c>
    </row>
    <row r="615" spans="1:9" x14ac:dyDescent="0.35">
      <c r="A615" t="s">
        <v>14</v>
      </c>
      <c r="B615" t="s">
        <v>15</v>
      </c>
      <c r="C615" t="s">
        <v>2</v>
      </c>
      <c r="D615" t="s">
        <v>8</v>
      </c>
      <c r="E615" t="s">
        <v>16</v>
      </c>
      <c r="F615" t="s">
        <v>6</v>
      </c>
      <c r="G615" t="s">
        <v>12</v>
      </c>
      <c r="H615" t="s">
        <v>5</v>
      </c>
    </row>
    <row r="616" spans="1:9" ht="15.5" x14ac:dyDescent="0.35">
      <c r="A616" s="2" t="s">
        <v>530</v>
      </c>
      <c r="B616">
        <v>1</v>
      </c>
      <c r="C616" t="s">
        <v>3</v>
      </c>
      <c r="D616" t="s">
        <v>9</v>
      </c>
      <c r="F616" t="s">
        <v>18</v>
      </c>
      <c r="G616" t="s">
        <v>19</v>
      </c>
      <c r="H616" s="2" t="s">
        <v>412</v>
      </c>
    </row>
    <row r="617" spans="1:9" ht="15.5" x14ac:dyDescent="0.35">
      <c r="A617" s="2" t="s">
        <v>73</v>
      </c>
      <c r="B617" s="6">
        <f>(1/((Allocation!$C$20*Allocation!$B$4*Allocation!$B$10)/1000))</f>
        <v>3.9394735346660368</v>
      </c>
      <c r="C617" t="s">
        <v>3</v>
      </c>
      <c r="D617" t="s">
        <v>9</v>
      </c>
      <c r="F617" t="s">
        <v>21</v>
      </c>
      <c r="G617" t="s">
        <v>19</v>
      </c>
      <c r="H617" s="2" t="s">
        <v>74</v>
      </c>
    </row>
    <row r="618" spans="1:9" ht="15.5" x14ac:dyDescent="0.35">
      <c r="A618" s="2" t="s">
        <v>232</v>
      </c>
      <c r="B618" s="4">
        <f>(337*Allocation!$B$3)/(Allocation!$B$4*Allocation!$B$10)</f>
        <v>0.11905906957120109</v>
      </c>
      <c r="C618" t="s">
        <v>27</v>
      </c>
      <c r="D618" t="s">
        <v>20</v>
      </c>
      <c r="F618" t="s">
        <v>21</v>
      </c>
      <c r="H618" s="2" t="s">
        <v>233</v>
      </c>
    </row>
    <row r="619" spans="1:9" ht="15.5" x14ac:dyDescent="0.35">
      <c r="A619" s="2" t="s">
        <v>401</v>
      </c>
      <c r="B619" s="4">
        <f>((117.72/1000)/(Allocation!$B$4*Allocation!$B$10))</f>
        <v>3.9419160082575302E-2</v>
      </c>
      <c r="C619" t="s">
        <v>27</v>
      </c>
      <c r="D619" t="s">
        <v>9</v>
      </c>
      <c r="F619" t="s">
        <v>21</v>
      </c>
      <c r="G619" t="s">
        <v>403</v>
      </c>
      <c r="H619" s="2" t="s">
        <v>402</v>
      </c>
    </row>
    <row r="620" spans="1:9" x14ac:dyDescent="0.35">
      <c r="A620" t="s">
        <v>319</v>
      </c>
      <c r="B620" s="7">
        <f>1/(90000000*20)</f>
        <v>5.5555555555555553E-10</v>
      </c>
      <c r="C620" t="s">
        <v>27</v>
      </c>
      <c r="D620" t="s">
        <v>8</v>
      </c>
      <c r="F620" t="s">
        <v>21</v>
      </c>
      <c r="G620" t="s">
        <v>321</v>
      </c>
      <c r="H620" t="s">
        <v>320</v>
      </c>
    </row>
    <row r="621" spans="1:9" x14ac:dyDescent="0.35">
      <c r="A621" t="s">
        <v>201</v>
      </c>
      <c r="B621" s="6">
        <f>(B568*B617)-Allocation!$B$13</f>
        <v>5.2164470977455268</v>
      </c>
      <c r="D621" t="s">
        <v>9</v>
      </c>
      <c r="E621" t="s">
        <v>39</v>
      </c>
      <c r="F621" t="s">
        <v>38</v>
      </c>
      <c r="G621" t="s">
        <v>441</v>
      </c>
    </row>
    <row r="622" spans="1:9" x14ac:dyDescent="0.35">
      <c r="A622" s="38" t="s">
        <v>30</v>
      </c>
      <c r="B622" s="68">
        <f>Allocation!H19/Allocation!B4*Allocation!B10*-1</f>
        <v>-0.50274302587613584</v>
      </c>
      <c r="C622" t="s">
        <v>3</v>
      </c>
      <c r="D622" s="38" t="s">
        <v>31</v>
      </c>
      <c r="E622" s="38"/>
      <c r="F622" s="38" t="s">
        <v>21</v>
      </c>
      <c r="G622" s="38" t="s">
        <v>523</v>
      </c>
      <c r="H622" s="38" t="s">
        <v>32</v>
      </c>
      <c r="I622" s="38"/>
    </row>
    <row r="623" spans="1:9" ht="15.5" x14ac:dyDescent="0.35">
      <c r="A623" s="2"/>
      <c r="H623" s="2"/>
    </row>
    <row r="624" spans="1:9" ht="15.5" x14ac:dyDescent="0.35">
      <c r="A624" s="1" t="s">
        <v>1</v>
      </c>
      <c r="B624" s="1" t="s">
        <v>414</v>
      </c>
    </row>
    <row r="625" spans="1:10" x14ac:dyDescent="0.35">
      <c r="A625" t="s">
        <v>2</v>
      </c>
      <c r="B625" t="s">
        <v>3</v>
      </c>
    </row>
    <row r="626" spans="1:10" x14ac:dyDescent="0.35">
      <c r="A626" t="s">
        <v>4</v>
      </c>
      <c r="B626">
        <v>1</v>
      </c>
    </row>
    <row r="627" spans="1:10" ht="15.5" x14ac:dyDescent="0.35">
      <c r="A627" t="s">
        <v>5</v>
      </c>
      <c r="B627" s="2" t="s">
        <v>350</v>
      </c>
    </row>
    <row r="628" spans="1:10" x14ac:dyDescent="0.35">
      <c r="A628" t="s">
        <v>6</v>
      </c>
      <c r="B628" t="s">
        <v>7</v>
      </c>
    </row>
    <row r="629" spans="1:10" x14ac:dyDescent="0.35">
      <c r="A629" t="s">
        <v>8</v>
      </c>
      <c r="B629" t="s">
        <v>9</v>
      </c>
    </row>
    <row r="630" spans="1:10" x14ac:dyDescent="0.35">
      <c r="A630" t="s">
        <v>10</v>
      </c>
      <c r="B630" t="s">
        <v>406</v>
      </c>
    </row>
    <row r="631" spans="1:10" x14ac:dyDescent="0.35">
      <c r="A631" t="s">
        <v>12</v>
      </c>
      <c r="B631" t="s">
        <v>375</v>
      </c>
    </row>
    <row r="632" spans="1:10" ht="15.5" x14ac:dyDescent="0.35">
      <c r="A632" s="1" t="s">
        <v>13</v>
      </c>
    </row>
    <row r="633" spans="1:10" x14ac:dyDescent="0.35">
      <c r="A633" t="s">
        <v>14</v>
      </c>
      <c r="B633" t="s">
        <v>15</v>
      </c>
      <c r="C633" t="s">
        <v>2</v>
      </c>
      <c r="D633" t="s">
        <v>8</v>
      </c>
      <c r="E633" t="s">
        <v>16</v>
      </c>
      <c r="F633" t="s">
        <v>6</v>
      </c>
      <c r="G633" t="s">
        <v>351</v>
      </c>
      <c r="H633" t="s">
        <v>352</v>
      </c>
      <c r="I633" t="s">
        <v>12</v>
      </c>
      <c r="J633" t="s">
        <v>5</v>
      </c>
    </row>
    <row r="634" spans="1:10" x14ac:dyDescent="0.35">
      <c r="A634" s="38" t="s">
        <v>414</v>
      </c>
      <c r="B634" s="38">
        <v>1</v>
      </c>
      <c r="C634" t="s">
        <v>3</v>
      </c>
      <c r="D634" s="38" t="s">
        <v>9</v>
      </c>
      <c r="E634" s="38"/>
      <c r="F634" s="38" t="s">
        <v>18</v>
      </c>
      <c r="G634" s="38"/>
      <c r="H634" s="38"/>
      <c r="I634" s="38" t="s">
        <v>19</v>
      </c>
      <c r="J634" s="38" t="s">
        <v>350</v>
      </c>
    </row>
    <row r="635" spans="1:10" ht="15.5" x14ac:dyDescent="0.35">
      <c r="A635" s="2" t="s">
        <v>411</v>
      </c>
      <c r="B635">
        <v>1.00057</v>
      </c>
      <c r="C635" t="s">
        <v>3</v>
      </c>
      <c r="D635" t="s">
        <v>9</v>
      </c>
      <c r="F635" s="38" t="s">
        <v>21</v>
      </c>
      <c r="G635" t="s">
        <v>19</v>
      </c>
      <c r="I635" s="38"/>
      <c r="J635" s="2" t="s">
        <v>412</v>
      </c>
    </row>
    <row r="636" spans="1:10" x14ac:dyDescent="0.35">
      <c r="A636" s="38" t="s">
        <v>30</v>
      </c>
      <c r="B636" s="38">
        <v>6.7000000000000002E-3</v>
      </c>
      <c r="C636" t="s">
        <v>3</v>
      </c>
      <c r="D636" s="38" t="s">
        <v>31</v>
      </c>
      <c r="E636" s="38"/>
      <c r="F636" s="38" t="s">
        <v>21</v>
      </c>
      <c r="G636" s="38"/>
      <c r="H636" s="38"/>
      <c r="I636" s="38"/>
      <c r="J636" s="38" t="s">
        <v>32</v>
      </c>
    </row>
    <row r="637" spans="1:10" x14ac:dyDescent="0.35">
      <c r="A637" s="38" t="s">
        <v>353</v>
      </c>
      <c r="B637" s="38">
        <v>-1.6799999999999999E-4</v>
      </c>
      <c r="C637" s="38" t="s">
        <v>33</v>
      </c>
      <c r="D637" s="38" t="s">
        <v>9</v>
      </c>
      <c r="E637" s="38"/>
      <c r="F637" s="38" t="s">
        <v>21</v>
      </c>
      <c r="G637" s="38"/>
      <c r="H637" s="38"/>
      <c r="I637" s="38"/>
      <c r="J637" s="38" t="s">
        <v>354</v>
      </c>
    </row>
    <row r="638" spans="1:10" x14ac:dyDescent="0.35">
      <c r="A638" s="38" t="s">
        <v>355</v>
      </c>
      <c r="B638" s="39">
        <v>5.8399999999999999E-4</v>
      </c>
      <c r="C638" s="38" t="s">
        <v>33</v>
      </c>
      <c r="D638" s="38" t="s">
        <v>20</v>
      </c>
      <c r="E638" s="38"/>
      <c r="F638" s="38" t="s">
        <v>21</v>
      </c>
      <c r="G638" s="38"/>
      <c r="H638" s="38"/>
      <c r="I638" s="38"/>
      <c r="J638" s="38" t="s">
        <v>356</v>
      </c>
    </row>
    <row r="639" spans="1:10" x14ac:dyDescent="0.35">
      <c r="A639" s="38" t="s">
        <v>357</v>
      </c>
      <c r="B639" s="39">
        <v>2.5999999999999998E-10</v>
      </c>
      <c r="C639" s="38" t="s">
        <v>33</v>
      </c>
      <c r="D639" s="38" t="s">
        <v>8</v>
      </c>
      <c r="E639" s="38"/>
      <c r="F639" s="38" t="s">
        <v>21</v>
      </c>
      <c r="G639" s="38"/>
      <c r="H639" s="38"/>
      <c r="I639" s="38"/>
      <c r="J639" s="38" t="s">
        <v>358</v>
      </c>
    </row>
    <row r="640" spans="1:10" x14ac:dyDescent="0.35">
      <c r="A640" s="38" t="s">
        <v>359</v>
      </c>
      <c r="B640" s="39">
        <v>-6.2700000000000001E-6</v>
      </c>
      <c r="C640" s="38" t="s">
        <v>33</v>
      </c>
      <c r="D640" s="38" t="s">
        <v>9</v>
      </c>
      <c r="E640" s="38"/>
      <c r="F640" s="38" t="s">
        <v>21</v>
      </c>
      <c r="G640" s="38"/>
      <c r="H640" s="38"/>
      <c r="I640" s="38"/>
      <c r="J640" s="38" t="s">
        <v>360</v>
      </c>
    </row>
    <row r="641" spans="1:10" x14ac:dyDescent="0.35">
      <c r="A641" s="38" t="s">
        <v>361</v>
      </c>
      <c r="B641" s="39">
        <v>-7.4999999999999993E-5</v>
      </c>
      <c r="C641" s="38" t="s">
        <v>33</v>
      </c>
      <c r="D641" s="38" t="s">
        <v>131</v>
      </c>
      <c r="E641" s="38"/>
      <c r="F641" s="38" t="s">
        <v>21</v>
      </c>
      <c r="G641" s="38"/>
      <c r="H641" s="38"/>
      <c r="I641" s="38"/>
      <c r="J641" s="38" t="s">
        <v>362</v>
      </c>
    </row>
    <row r="642" spans="1:10" x14ac:dyDescent="0.35">
      <c r="A642" s="38" t="s">
        <v>363</v>
      </c>
      <c r="B642" s="39">
        <v>6.8900000000000005E-4</v>
      </c>
      <c r="C642" s="38" t="s">
        <v>33</v>
      </c>
      <c r="D642" s="38" t="s">
        <v>9</v>
      </c>
      <c r="E642" s="38"/>
      <c r="F642" s="38" t="s">
        <v>21</v>
      </c>
      <c r="G642" s="38"/>
      <c r="H642" s="38"/>
      <c r="I642" s="38"/>
      <c r="J642" s="38" t="s">
        <v>364</v>
      </c>
    </row>
    <row r="643" spans="1:10" x14ac:dyDescent="0.35">
      <c r="A643" s="38" t="s">
        <v>108</v>
      </c>
      <c r="B643" s="38">
        <v>3.3599999999999998E-2</v>
      </c>
      <c r="C643" s="38" t="s">
        <v>33</v>
      </c>
      <c r="D643" s="38" t="s">
        <v>45</v>
      </c>
      <c r="E643" s="38"/>
      <c r="F643" s="38" t="s">
        <v>21</v>
      </c>
      <c r="G643" s="38"/>
      <c r="H643" s="38"/>
      <c r="I643" s="38"/>
      <c r="J643" s="38" t="s">
        <v>111</v>
      </c>
    </row>
    <row r="644" spans="1:10" x14ac:dyDescent="0.35">
      <c r="A644" s="38" t="s">
        <v>365</v>
      </c>
      <c r="B644" s="38">
        <v>3.2599999999999997E-2</v>
      </c>
      <c r="C644" s="38" t="s">
        <v>33</v>
      </c>
      <c r="D644" s="38" t="s">
        <v>45</v>
      </c>
      <c r="E644" s="38"/>
      <c r="F644" s="38" t="s">
        <v>21</v>
      </c>
      <c r="G644" s="38"/>
      <c r="H644" s="38"/>
      <c r="I644" s="38"/>
      <c r="J644" s="38" t="s">
        <v>366</v>
      </c>
    </row>
    <row r="645" spans="1:10" x14ac:dyDescent="0.35">
      <c r="A645" s="38" t="s">
        <v>367</v>
      </c>
      <c r="B645" s="39">
        <v>-6.8899999999999999E-7</v>
      </c>
      <c r="C645" s="38" t="s">
        <v>33</v>
      </c>
      <c r="D645" s="38" t="s">
        <v>131</v>
      </c>
      <c r="E645" s="38"/>
      <c r="F645" s="38" t="s">
        <v>21</v>
      </c>
      <c r="G645" s="38"/>
      <c r="H645" s="38"/>
      <c r="I645" s="38"/>
      <c r="J645" s="38" t="s">
        <v>368</v>
      </c>
    </row>
    <row r="647" spans="1:10" ht="15.5" x14ac:dyDescent="0.35">
      <c r="A647" s="1" t="s">
        <v>1</v>
      </c>
      <c r="B647" s="1" t="s">
        <v>415</v>
      </c>
    </row>
    <row r="648" spans="1:10" x14ac:dyDescent="0.35">
      <c r="A648" t="s">
        <v>2</v>
      </c>
      <c r="B648" t="s">
        <v>3</v>
      </c>
    </row>
    <row r="649" spans="1:10" x14ac:dyDescent="0.35">
      <c r="A649" t="s">
        <v>4</v>
      </c>
      <c r="B649">
        <v>1</v>
      </c>
    </row>
    <row r="650" spans="1:10" ht="15.5" x14ac:dyDescent="0.35">
      <c r="A650" t="s">
        <v>5</v>
      </c>
      <c r="B650" s="2" t="s">
        <v>350</v>
      </c>
    </row>
    <row r="651" spans="1:10" x14ac:dyDescent="0.35">
      <c r="A651" t="s">
        <v>6</v>
      </c>
      <c r="B651" t="s">
        <v>7</v>
      </c>
    </row>
    <row r="652" spans="1:10" x14ac:dyDescent="0.35">
      <c r="A652" t="s">
        <v>8</v>
      </c>
      <c r="B652" t="s">
        <v>9</v>
      </c>
    </row>
    <row r="653" spans="1:10" x14ac:dyDescent="0.35">
      <c r="A653" t="s">
        <v>10</v>
      </c>
      <c r="B653" t="s">
        <v>406</v>
      </c>
    </row>
    <row r="654" spans="1:10" x14ac:dyDescent="0.35">
      <c r="A654" t="s">
        <v>12</v>
      </c>
      <c r="B654" t="s">
        <v>374</v>
      </c>
    </row>
    <row r="655" spans="1:10" ht="15.5" x14ac:dyDescent="0.35">
      <c r="A655" s="1" t="s">
        <v>13</v>
      </c>
    </row>
    <row r="656" spans="1:10" x14ac:dyDescent="0.35">
      <c r="A656" t="s">
        <v>14</v>
      </c>
      <c r="B656" t="s">
        <v>15</v>
      </c>
      <c r="C656" t="s">
        <v>2</v>
      </c>
      <c r="D656" t="s">
        <v>8</v>
      </c>
      <c r="E656" t="s">
        <v>16</v>
      </c>
      <c r="F656" t="s">
        <v>6</v>
      </c>
      <c r="G656" t="s">
        <v>351</v>
      </c>
      <c r="H656" t="s">
        <v>352</v>
      </c>
      <c r="I656" t="s">
        <v>12</v>
      </c>
      <c r="J656" t="s">
        <v>5</v>
      </c>
    </row>
    <row r="657" spans="1:10" x14ac:dyDescent="0.35">
      <c r="A657" s="38" t="s">
        <v>415</v>
      </c>
      <c r="B657" s="38">
        <v>1</v>
      </c>
      <c r="C657" t="s">
        <v>3</v>
      </c>
      <c r="D657" s="38" t="s">
        <v>9</v>
      </c>
      <c r="E657" s="38"/>
      <c r="F657" s="38" t="s">
        <v>18</v>
      </c>
      <c r="G657" s="38"/>
      <c r="H657" s="38"/>
      <c r="I657" s="38" t="s">
        <v>19</v>
      </c>
      <c r="J657" s="38" t="s">
        <v>350</v>
      </c>
    </row>
    <row r="658" spans="1:10" ht="15.5" x14ac:dyDescent="0.35">
      <c r="A658" s="2" t="s">
        <v>413</v>
      </c>
      <c r="B658">
        <v>1.00057</v>
      </c>
      <c r="C658" t="s">
        <v>3</v>
      </c>
      <c r="D658" t="s">
        <v>9</v>
      </c>
      <c r="F658" s="38" t="s">
        <v>21</v>
      </c>
      <c r="G658" t="s">
        <v>19</v>
      </c>
      <c r="I658" s="38"/>
      <c r="J658" s="2" t="s">
        <v>412</v>
      </c>
    </row>
    <row r="659" spans="1:10" x14ac:dyDescent="0.35">
      <c r="A659" s="38" t="s">
        <v>30</v>
      </c>
      <c r="B659" s="38">
        <v>6.7000000000000002E-3</v>
      </c>
      <c r="C659" t="s">
        <v>3</v>
      </c>
      <c r="D659" s="38" t="s">
        <v>31</v>
      </c>
      <c r="E659" s="38"/>
      <c r="F659" s="38" t="s">
        <v>21</v>
      </c>
      <c r="G659" s="38"/>
      <c r="H659" s="38"/>
      <c r="I659" s="38"/>
      <c r="J659" s="38" t="s">
        <v>32</v>
      </c>
    </row>
    <row r="660" spans="1:10" x14ac:dyDescent="0.35">
      <c r="A660" s="38" t="s">
        <v>353</v>
      </c>
      <c r="B660" s="38">
        <v>-1.6799999999999999E-4</v>
      </c>
      <c r="C660" s="38" t="s">
        <v>33</v>
      </c>
      <c r="D660" s="38" t="s">
        <v>9</v>
      </c>
      <c r="E660" s="38"/>
      <c r="F660" s="38" t="s">
        <v>21</v>
      </c>
      <c r="G660" s="38"/>
      <c r="H660" s="38"/>
      <c r="I660" s="38"/>
      <c r="J660" s="38" t="s">
        <v>354</v>
      </c>
    </row>
    <row r="661" spans="1:10" x14ac:dyDescent="0.35">
      <c r="A661" s="38" t="s">
        <v>355</v>
      </c>
      <c r="B661" s="39">
        <v>5.8399999999999999E-4</v>
      </c>
      <c r="C661" s="38" t="s">
        <v>33</v>
      </c>
      <c r="D661" s="38" t="s">
        <v>20</v>
      </c>
      <c r="E661" s="38"/>
      <c r="F661" s="38" t="s">
        <v>21</v>
      </c>
      <c r="G661" s="38"/>
      <c r="H661" s="38"/>
      <c r="I661" s="38"/>
      <c r="J661" s="38" t="s">
        <v>356</v>
      </c>
    </row>
    <row r="662" spans="1:10" x14ac:dyDescent="0.35">
      <c r="A662" s="38" t="s">
        <v>357</v>
      </c>
      <c r="B662" s="39">
        <v>2.5999999999999998E-10</v>
      </c>
      <c r="C662" s="38" t="s">
        <v>33</v>
      </c>
      <c r="D662" s="38" t="s">
        <v>8</v>
      </c>
      <c r="E662" s="38"/>
      <c r="F662" s="38" t="s">
        <v>21</v>
      </c>
      <c r="G662" s="38"/>
      <c r="H662" s="38"/>
      <c r="I662" s="38"/>
      <c r="J662" s="38" t="s">
        <v>358</v>
      </c>
    </row>
    <row r="663" spans="1:10" x14ac:dyDescent="0.35">
      <c r="A663" s="38" t="s">
        <v>359</v>
      </c>
      <c r="B663" s="39">
        <v>-6.2700000000000001E-6</v>
      </c>
      <c r="C663" s="38" t="s">
        <v>33</v>
      </c>
      <c r="D663" s="38" t="s">
        <v>9</v>
      </c>
      <c r="E663" s="38"/>
      <c r="F663" s="38" t="s">
        <v>21</v>
      </c>
      <c r="G663" s="38"/>
      <c r="H663" s="38"/>
      <c r="I663" s="38"/>
      <c r="J663" s="38" t="s">
        <v>360</v>
      </c>
    </row>
    <row r="664" spans="1:10" x14ac:dyDescent="0.35">
      <c r="A664" s="38" t="s">
        <v>361</v>
      </c>
      <c r="B664" s="39">
        <v>-7.4999999999999993E-5</v>
      </c>
      <c r="C664" s="38" t="s">
        <v>33</v>
      </c>
      <c r="D664" s="38" t="s">
        <v>131</v>
      </c>
      <c r="E664" s="38"/>
      <c r="F664" s="38" t="s">
        <v>21</v>
      </c>
      <c r="G664" s="38"/>
      <c r="H664" s="38"/>
      <c r="I664" s="38"/>
      <c r="J664" s="38" t="s">
        <v>362</v>
      </c>
    </row>
    <row r="665" spans="1:10" x14ac:dyDescent="0.35">
      <c r="A665" s="38" t="s">
        <v>363</v>
      </c>
      <c r="B665" s="39">
        <v>6.8900000000000005E-4</v>
      </c>
      <c r="C665" s="38" t="s">
        <v>33</v>
      </c>
      <c r="D665" s="38" t="s">
        <v>9</v>
      </c>
      <c r="E665" s="38"/>
      <c r="F665" s="38" t="s">
        <v>21</v>
      </c>
      <c r="G665" s="38"/>
      <c r="H665" s="38"/>
      <c r="I665" s="38"/>
      <c r="J665" s="38" t="s">
        <v>364</v>
      </c>
    </row>
    <row r="666" spans="1:10" x14ac:dyDescent="0.35">
      <c r="A666" s="38" t="s">
        <v>108</v>
      </c>
      <c r="B666" s="38">
        <v>3.3599999999999998E-2</v>
      </c>
      <c r="C666" s="38" t="s">
        <v>33</v>
      </c>
      <c r="D666" s="38" t="s">
        <v>45</v>
      </c>
      <c r="E666" s="38"/>
      <c r="F666" s="38" t="s">
        <v>21</v>
      </c>
      <c r="G666" s="38"/>
      <c r="H666" s="38"/>
      <c r="I666" s="38"/>
      <c r="J666" s="38" t="s">
        <v>111</v>
      </c>
    </row>
    <row r="667" spans="1:10" x14ac:dyDescent="0.35">
      <c r="A667" s="38" t="s">
        <v>365</v>
      </c>
      <c r="B667" s="38">
        <v>3.2599999999999997E-2</v>
      </c>
      <c r="C667" s="38" t="s">
        <v>33</v>
      </c>
      <c r="D667" s="38" t="s">
        <v>45</v>
      </c>
      <c r="E667" s="38"/>
      <c r="F667" s="38" t="s">
        <v>21</v>
      </c>
      <c r="G667" s="38"/>
      <c r="H667" s="38"/>
      <c r="I667" s="38"/>
      <c r="J667" s="38" t="s">
        <v>366</v>
      </c>
    </row>
    <row r="668" spans="1:10" x14ac:dyDescent="0.35">
      <c r="A668" s="38" t="s">
        <v>367</v>
      </c>
      <c r="B668" s="39">
        <v>-6.8899999999999999E-7</v>
      </c>
      <c r="C668" s="38" t="s">
        <v>33</v>
      </c>
      <c r="D668" s="38" t="s">
        <v>131</v>
      </c>
      <c r="E668" s="38"/>
      <c r="F668" s="38" t="s">
        <v>21</v>
      </c>
      <c r="G668" s="38"/>
      <c r="H668" s="38"/>
      <c r="I668" s="38"/>
      <c r="J668" s="38" t="s">
        <v>368</v>
      </c>
    </row>
    <row r="669" spans="1:10" x14ac:dyDescent="0.35">
      <c r="A669" s="38"/>
      <c r="B669" s="39"/>
      <c r="C669" s="38"/>
      <c r="D669" s="38"/>
      <c r="E669" s="38"/>
      <c r="F669" s="38"/>
      <c r="G669" s="38"/>
      <c r="H669" s="38"/>
      <c r="I669" s="38"/>
      <c r="J669" s="38"/>
    </row>
    <row r="670" spans="1:10" ht="15.5" x14ac:dyDescent="0.35">
      <c r="A670" s="1" t="s">
        <v>1</v>
      </c>
      <c r="B670" s="1" t="s">
        <v>531</v>
      </c>
    </row>
    <row r="671" spans="1:10" x14ac:dyDescent="0.35">
      <c r="A671" t="s">
        <v>2</v>
      </c>
      <c r="B671" t="s">
        <v>3</v>
      </c>
    </row>
    <row r="672" spans="1:10" x14ac:dyDescent="0.35">
      <c r="A672" t="s">
        <v>4</v>
      </c>
      <c r="B672">
        <v>1</v>
      </c>
    </row>
    <row r="673" spans="1:10" ht="15.5" x14ac:dyDescent="0.35">
      <c r="A673" t="s">
        <v>5</v>
      </c>
      <c r="B673" s="2" t="s">
        <v>350</v>
      </c>
    </row>
    <row r="674" spans="1:10" x14ac:dyDescent="0.35">
      <c r="A674" t="s">
        <v>6</v>
      </c>
      <c r="B674" t="s">
        <v>7</v>
      </c>
    </row>
    <row r="675" spans="1:10" x14ac:dyDescent="0.35">
      <c r="A675" t="s">
        <v>8</v>
      </c>
      <c r="B675" t="s">
        <v>9</v>
      </c>
    </row>
    <row r="676" spans="1:10" x14ac:dyDescent="0.35">
      <c r="A676" t="s">
        <v>10</v>
      </c>
      <c r="B676" t="s">
        <v>406</v>
      </c>
    </row>
    <row r="677" spans="1:10" x14ac:dyDescent="0.35">
      <c r="A677" t="s">
        <v>12</v>
      </c>
      <c r="B677" t="s">
        <v>525</v>
      </c>
    </row>
    <row r="678" spans="1:10" ht="15.5" x14ac:dyDescent="0.35">
      <c r="A678" s="1" t="s">
        <v>13</v>
      </c>
    </row>
    <row r="679" spans="1:10" x14ac:dyDescent="0.35">
      <c r="A679" t="s">
        <v>14</v>
      </c>
      <c r="B679" t="s">
        <v>15</v>
      </c>
      <c r="C679" t="s">
        <v>2</v>
      </c>
      <c r="D679" t="s">
        <v>8</v>
      </c>
      <c r="E679" t="s">
        <v>16</v>
      </c>
      <c r="F679" t="s">
        <v>6</v>
      </c>
      <c r="G679" t="s">
        <v>351</v>
      </c>
      <c r="H679" t="s">
        <v>352</v>
      </c>
      <c r="I679" t="s">
        <v>12</v>
      </c>
      <c r="J679" t="s">
        <v>5</v>
      </c>
    </row>
    <row r="680" spans="1:10" x14ac:dyDescent="0.35">
      <c r="A680" s="38" t="s">
        <v>531</v>
      </c>
      <c r="B680" s="38">
        <v>1</v>
      </c>
      <c r="C680" t="s">
        <v>3</v>
      </c>
      <c r="D680" s="38" t="s">
        <v>9</v>
      </c>
      <c r="E680" s="38"/>
      <c r="F680" s="38" t="s">
        <v>18</v>
      </c>
      <c r="G680" s="38"/>
      <c r="H680" s="38"/>
      <c r="I680" s="38" t="s">
        <v>19</v>
      </c>
      <c r="J680" s="38" t="s">
        <v>350</v>
      </c>
    </row>
    <row r="681" spans="1:10" ht="15.5" x14ac:dyDescent="0.35">
      <c r="A681" s="2" t="s">
        <v>530</v>
      </c>
      <c r="B681">
        <v>1.00057</v>
      </c>
      <c r="C681" t="s">
        <v>3</v>
      </c>
      <c r="D681" t="s">
        <v>9</v>
      </c>
      <c r="F681" s="38" t="s">
        <v>21</v>
      </c>
      <c r="G681" t="s">
        <v>19</v>
      </c>
      <c r="I681" s="38"/>
      <c r="J681" s="2" t="s">
        <v>412</v>
      </c>
    </row>
    <row r="682" spans="1:10" x14ac:dyDescent="0.35">
      <c r="A682" s="38" t="s">
        <v>30</v>
      </c>
      <c r="B682" s="38">
        <v>6.7000000000000002E-3</v>
      </c>
      <c r="C682" t="s">
        <v>3</v>
      </c>
      <c r="D682" s="38" t="s">
        <v>31</v>
      </c>
      <c r="E682" s="38"/>
      <c r="F682" s="38" t="s">
        <v>21</v>
      </c>
      <c r="G682" s="38"/>
      <c r="H682" s="38"/>
      <c r="I682" s="38"/>
      <c r="J682" s="38" t="s">
        <v>32</v>
      </c>
    </row>
    <row r="683" spans="1:10" x14ac:dyDescent="0.35">
      <c r="A683" s="38" t="s">
        <v>353</v>
      </c>
      <c r="B683" s="38">
        <v>-1.6799999999999999E-4</v>
      </c>
      <c r="C683" s="38" t="s">
        <v>33</v>
      </c>
      <c r="D683" s="38" t="s">
        <v>9</v>
      </c>
      <c r="E683" s="38"/>
      <c r="F683" s="38" t="s">
        <v>21</v>
      </c>
      <c r="G683" s="38"/>
      <c r="H683" s="38"/>
      <c r="I683" s="38"/>
      <c r="J683" s="38" t="s">
        <v>354</v>
      </c>
    </row>
    <row r="684" spans="1:10" x14ac:dyDescent="0.35">
      <c r="A684" s="38" t="s">
        <v>355</v>
      </c>
      <c r="B684" s="39">
        <v>5.8399999999999999E-4</v>
      </c>
      <c r="C684" s="38" t="s">
        <v>33</v>
      </c>
      <c r="D684" s="38" t="s">
        <v>20</v>
      </c>
      <c r="E684" s="38"/>
      <c r="F684" s="38" t="s">
        <v>21</v>
      </c>
      <c r="G684" s="38"/>
      <c r="H684" s="38"/>
      <c r="I684" s="38"/>
      <c r="J684" s="38" t="s">
        <v>356</v>
      </c>
    </row>
    <row r="685" spans="1:10" x14ac:dyDescent="0.35">
      <c r="A685" s="38" t="s">
        <v>357</v>
      </c>
      <c r="B685" s="39">
        <v>2.5999999999999998E-10</v>
      </c>
      <c r="C685" s="38" t="s">
        <v>33</v>
      </c>
      <c r="D685" s="38" t="s">
        <v>8</v>
      </c>
      <c r="E685" s="38"/>
      <c r="F685" s="38" t="s">
        <v>21</v>
      </c>
      <c r="G685" s="38"/>
      <c r="H685" s="38"/>
      <c r="I685" s="38"/>
      <c r="J685" s="38" t="s">
        <v>358</v>
      </c>
    </row>
    <row r="686" spans="1:10" x14ac:dyDescent="0.35">
      <c r="A686" s="38" t="s">
        <v>359</v>
      </c>
      <c r="B686" s="39">
        <v>-6.2700000000000001E-6</v>
      </c>
      <c r="C686" s="38" t="s">
        <v>33</v>
      </c>
      <c r="D686" s="38" t="s">
        <v>9</v>
      </c>
      <c r="E686" s="38"/>
      <c r="F686" s="38" t="s">
        <v>21</v>
      </c>
      <c r="G686" s="38"/>
      <c r="H686" s="38"/>
      <c r="I686" s="38"/>
      <c r="J686" s="38" t="s">
        <v>360</v>
      </c>
    </row>
    <row r="687" spans="1:10" x14ac:dyDescent="0.35">
      <c r="A687" s="38" t="s">
        <v>361</v>
      </c>
      <c r="B687" s="39">
        <v>-7.4999999999999993E-5</v>
      </c>
      <c r="C687" s="38" t="s">
        <v>33</v>
      </c>
      <c r="D687" s="38" t="s">
        <v>131</v>
      </c>
      <c r="E687" s="38"/>
      <c r="F687" s="38" t="s">
        <v>21</v>
      </c>
      <c r="G687" s="38"/>
      <c r="H687" s="38"/>
      <c r="I687" s="38"/>
      <c r="J687" s="38" t="s">
        <v>362</v>
      </c>
    </row>
    <row r="688" spans="1:10" x14ac:dyDescent="0.35">
      <c r="A688" s="38" t="s">
        <v>363</v>
      </c>
      <c r="B688" s="39">
        <v>6.8900000000000005E-4</v>
      </c>
      <c r="C688" s="38" t="s">
        <v>33</v>
      </c>
      <c r="D688" s="38" t="s">
        <v>9</v>
      </c>
      <c r="E688" s="38"/>
      <c r="F688" s="38" t="s">
        <v>21</v>
      </c>
      <c r="G688" s="38"/>
      <c r="H688" s="38"/>
      <c r="I688" s="38"/>
      <c r="J688" s="38" t="s">
        <v>364</v>
      </c>
    </row>
    <row r="689" spans="1:10" x14ac:dyDescent="0.35">
      <c r="A689" s="38" t="s">
        <v>108</v>
      </c>
      <c r="B689" s="38">
        <v>3.3599999999999998E-2</v>
      </c>
      <c r="C689" s="38" t="s">
        <v>33</v>
      </c>
      <c r="D689" s="38" t="s">
        <v>45</v>
      </c>
      <c r="E689" s="38"/>
      <c r="F689" s="38" t="s">
        <v>21</v>
      </c>
      <c r="G689" s="38"/>
      <c r="H689" s="38"/>
      <c r="I689" s="38"/>
      <c r="J689" s="38" t="s">
        <v>111</v>
      </c>
    </row>
    <row r="690" spans="1:10" x14ac:dyDescent="0.35">
      <c r="A690" s="38" t="s">
        <v>365</v>
      </c>
      <c r="B690" s="38">
        <v>3.2599999999999997E-2</v>
      </c>
      <c r="C690" s="38" t="s">
        <v>33</v>
      </c>
      <c r="D690" s="38" t="s">
        <v>45</v>
      </c>
      <c r="E690" s="38"/>
      <c r="F690" s="38" t="s">
        <v>21</v>
      </c>
      <c r="G690" s="38"/>
      <c r="H690" s="38"/>
      <c r="I690" s="38"/>
      <c r="J690" s="38" t="s">
        <v>366</v>
      </c>
    </row>
    <row r="691" spans="1:10" x14ac:dyDescent="0.35">
      <c r="A691" s="38" t="s">
        <v>367</v>
      </c>
      <c r="B691" s="39">
        <v>-6.8899999999999999E-7</v>
      </c>
      <c r="C691" s="38" t="s">
        <v>33</v>
      </c>
      <c r="D691" s="38" t="s">
        <v>131</v>
      </c>
      <c r="E691" s="38"/>
      <c r="F691" s="38" t="s">
        <v>21</v>
      </c>
      <c r="G691" s="38"/>
      <c r="H691" s="38"/>
      <c r="I691" s="38"/>
      <c r="J691" s="38" t="s">
        <v>368</v>
      </c>
    </row>
    <row r="692" spans="1:10" x14ac:dyDescent="0.35">
      <c r="A692" s="38"/>
      <c r="B692" s="39"/>
      <c r="C692" s="38"/>
      <c r="D692" s="38"/>
      <c r="E692" s="38"/>
      <c r="F692" s="38"/>
      <c r="G692" s="38"/>
      <c r="H692" s="38"/>
      <c r="I692" s="38"/>
      <c r="J692" s="38"/>
    </row>
    <row r="693" spans="1:10" ht="15.5" x14ac:dyDescent="0.35">
      <c r="A693" s="1" t="s">
        <v>1</v>
      </c>
      <c r="B693" s="1" t="s">
        <v>70</v>
      </c>
    </row>
    <row r="694" spans="1:10" x14ac:dyDescent="0.35">
      <c r="A694" t="s">
        <v>2</v>
      </c>
      <c r="B694" t="s">
        <v>3</v>
      </c>
    </row>
    <row r="695" spans="1:10" x14ac:dyDescent="0.35">
      <c r="A695" t="s">
        <v>4</v>
      </c>
      <c r="B695">
        <v>1</v>
      </c>
    </row>
    <row r="696" spans="1:10" ht="15.5" x14ac:dyDescent="0.35">
      <c r="A696" t="s">
        <v>5</v>
      </c>
      <c r="B696" s="2" t="s">
        <v>66</v>
      </c>
    </row>
    <row r="697" spans="1:10" x14ac:dyDescent="0.35">
      <c r="A697" t="s">
        <v>6</v>
      </c>
      <c r="B697" t="s">
        <v>7</v>
      </c>
    </row>
    <row r="698" spans="1:10" x14ac:dyDescent="0.35">
      <c r="A698" t="s">
        <v>8</v>
      </c>
      <c r="B698" t="s">
        <v>9</v>
      </c>
    </row>
    <row r="699" spans="1:10" x14ac:dyDescent="0.35">
      <c r="A699" t="s">
        <v>10</v>
      </c>
      <c r="B699" t="s">
        <v>11</v>
      </c>
    </row>
    <row r="700" spans="1:10" x14ac:dyDescent="0.35">
      <c r="A700" t="s">
        <v>28</v>
      </c>
      <c r="B700" t="s">
        <v>185</v>
      </c>
    </row>
    <row r="701" spans="1:10" ht="15.5" x14ac:dyDescent="0.35">
      <c r="A701" s="1" t="s">
        <v>13</v>
      </c>
    </row>
    <row r="702" spans="1:10" x14ac:dyDescent="0.35">
      <c r="A702" t="s">
        <v>14</v>
      </c>
      <c r="B702" t="s">
        <v>15</v>
      </c>
      <c r="C702" t="s">
        <v>2</v>
      </c>
      <c r="D702" t="s">
        <v>8</v>
      </c>
      <c r="E702" t="s">
        <v>16</v>
      </c>
      <c r="F702" t="s">
        <v>6</v>
      </c>
      <c r="G702" t="s">
        <v>12</v>
      </c>
      <c r="H702" t="s">
        <v>5</v>
      </c>
    </row>
    <row r="703" spans="1:10" ht="15.5" x14ac:dyDescent="0.35">
      <c r="A703" s="2" t="s">
        <v>70</v>
      </c>
      <c r="B703">
        <v>1</v>
      </c>
      <c r="C703" t="s">
        <v>3</v>
      </c>
      <c r="D703" t="s">
        <v>9</v>
      </c>
      <c r="F703" t="s">
        <v>18</v>
      </c>
      <c r="G703" t="s">
        <v>19</v>
      </c>
      <c r="H703" s="2" t="s">
        <v>65</v>
      </c>
    </row>
    <row r="704" spans="1:10" x14ac:dyDescent="0.35">
      <c r="A704" t="s">
        <v>23</v>
      </c>
      <c r="B704" s="5">
        <f>47926*Allocation!$B$3/1000</f>
        <v>5.0564609063399997E-2</v>
      </c>
      <c r="C704" t="s">
        <v>27</v>
      </c>
      <c r="D704" t="s">
        <v>20</v>
      </c>
      <c r="F704" t="s">
        <v>21</v>
      </c>
      <c r="G704" t="s">
        <v>64</v>
      </c>
      <c r="H704" t="s">
        <v>24</v>
      </c>
    </row>
    <row r="705" spans="1:8" x14ac:dyDescent="0.35">
      <c r="A705" t="s">
        <v>30</v>
      </c>
      <c r="B705" s="5">
        <f>3718*Allocation!$B$3/1000/3.6</f>
        <v>1.0896382878333333E-3</v>
      </c>
      <c r="C705" t="s">
        <v>3</v>
      </c>
      <c r="D705" t="s">
        <v>31</v>
      </c>
      <c r="F705" t="s">
        <v>21</v>
      </c>
      <c r="H705" t="s">
        <v>32</v>
      </c>
    </row>
    <row r="706" spans="1:8" x14ac:dyDescent="0.35">
      <c r="A706" t="s">
        <v>43</v>
      </c>
      <c r="B706">
        <f>37*Allocation!$B$7/1000</f>
        <v>5.9569999999999998E-2</v>
      </c>
      <c r="C706" t="s">
        <v>33</v>
      </c>
      <c r="D706" t="s">
        <v>45</v>
      </c>
      <c r="F706" t="s">
        <v>21</v>
      </c>
      <c r="G706" t="s">
        <v>78</v>
      </c>
      <c r="H706" t="s">
        <v>44</v>
      </c>
    </row>
    <row r="707" spans="1:8" x14ac:dyDescent="0.35">
      <c r="A707" t="s">
        <v>46</v>
      </c>
      <c r="B707">
        <f>4.641/1000</f>
        <v>4.6410000000000002E-3</v>
      </c>
      <c r="C707" t="s">
        <v>3</v>
      </c>
      <c r="D707" t="s">
        <v>9</v>
      </c>
      <c r="F707" t="s">
        <v>21</v>
      </c>
      <c r="H707" t="s">
        <v>47</v>
      </c>
    </row>
    <row r="708" spans="1:8" x14ac:dyDescent="0.35">
      <c r="A708" t="s">
        <v>48</v>
      </c>
      <c r="B708">
        <f>1.047/1000</f>
        <v>1.047E-3</v>
      </c>
      <c r="C708" t="s">
        <v>3</v>
      </c>
      <c r="D708" t="s">
        <v>9</v>
      </c>
      <c r="F708" t="s">
        <v>21</v>
      </c>
      <c r="H708" t="s">
        <v>49</v>
      </c>
    </row>
    <row r="709" spans="1:8" x14ac:dyDescent="0.35">
      <c r="A709" t="s">
        <v>50</v>
      </c>
      <c r="B709">
        <f>2.868/1000</f>
        <v>2.8679999999999999E-3</v>
      </c>
      <c r="C709" t="s">
        <v>3</v>
      </c>
      <c r="D709" t="s">
        <v>9</v>
      </c>
      <c r="F709" t="s">
        <v>21</v>
      </c>
      <c r="H709" t="s">
        <v>51</v>
      </c>
    </row>
    <row r="710" spans="1:8" x14ac:dyDescent="0.35">
      <c r="A710" s="8" t="s">
        <v>52</v>
      </c>
      <c r="B710">
        <f>5.183/1000</f>
        <v>5.1830000000000001E-3</v>
      </c>
      <c r="C710" t="s">
        <v>27</v>
      </c>
      <c r="D710" t="s">
        <v>9</v>
      </c>
      <c r="F710" t="s">
        <v>21</v>
      </c>
      <c r="H710" s="8" t="s">
        <v>53</v>
      </c>
    </row>
    <row r="711" spans="1:8" x14ac:dyDescent="0.35">
      <c r="A711" t="s">
        <v>54</v>
      </c>
      <c r="B711">
        <f>28.72/1000/1000</f>
        <v>2.8719999999999999E-5</v>
      </c>
      <c r="C711" t="s">
        <v>27</v>
      </c>
      <c r="D711" t="s">
        <v>9</v>
      </c>
      <c r="F711" t="s">
        <v>21</v>
      </c>
      <c r="G711" t="s">
        <v>55</v>
      </c>
      <c r="H711" t="s">
        <v>57</v>
      </c>
    </row>
    <row r="712" spans="1:8" x14ac:dyDescent="0.35">
      <c r="A712" t="s">
        <v>58</v>
      </c>
      <c r="B712">
        <f>0.744/1000*Allocation!$B$6</f>
        <v>3.3747839999999997E-4</v>
      </c>
      <c r="C712" t="s">
        <v>27</v>
      </c>
      <c r="D712" t="s">
        <v>9</v>
      </c>
      <c r="F712" t="s">
        <v>21</v>
      </c>
      <c r="G712" t="s">
        <v>60</v>
      </c>
      <c r="H712" t="s">
        <v>59</v>
      </c>
    </row>
    <row r="713" spans="1:8" x14ac:dyDescent="0.35">
      <c r="A713" t="s">
        <v>191</v>
      </c>
      <c r="B713" s="7">
        <v>6.4103000000000003E-6</v>
      </c>
      <c r="C713" t="s">
        <v>27</v>
      </c>
      <c r="D713" t="s">
        <v>129</v>
      </c>
      <c r="F713" t="s">
        <v>21</v>
      </c>
      <c r="G713" t="s">
        <v>220</v>
      </c>
      <c r="H713" t="s">
        <v>192</v>
      </c>
    </row>
    <row r="714" spans="1:8" x14ac:dyDescent="0.35">
      <c r="A714" t="s">
        <v>193</v>
      </c>
      <c r="B714" s="7">
        <v>6.0897000000000003E-5</v>
      </c>
      <c r="C714" t="s">
        <v>27</v>
      </c>
      <c r="D714" t="s">
        <v>129</v>
      </c>
      <c r="F714" t="s">
        <v>21</v>
      </c>
      <c r="G714" t="s">
        <v>220</v>
      </c>
      <c r="H714" t="s">
        <v>194</v>
      </c>
    </row>
    <row r="715" spans="1:8" x14ac:dyDescent="0.35">
      <c r="A715" t="s">
        <v>195</v>
      </c>
      <c r="B715" s="7">
        <v>5.4487000000000002E-5</v>
      </c>
      <c r="C715" t="s">
        <v>27</v>
      </c>
      <c r="D715" t="s">
        <v>129</v>
      </c>
      <c r="F715" t="s">
        <v>21</v>
      </c>
      <c r="G715" t="s">
        <v>220</v>
      </c>
      <c r="H715" t="s">
        <v>196</v>
      </c>
    </row>
    <row r="716" spans="1:8" x14ac:dyDescent="0.35">
      <c r="A716" t="s">
        <v>218</v>
      </c>
      <c r="B716" s="7">
        <v>6.4103000000000006E-5</v>
      </c>
      <c r="C716" t="s">
        <v>27</v>
      </c>
      <c r="D716" t="s">
        <v>9</v>
      </c>
      <c r="F716" t="s">
        <v>21</v>
      </c>
      <c r="G716" t="s">
        <v>220</v>
      </c>
      <c r="H716" t="s">
        <v>219</v>
      </c>
    </row>
    <row r="717" spans="1:8" x14ac:dyDescent="0.35">
      <c r="A717" t="s">
        <v>137</v>
      </c>
      <c r="B717" s="7">
        <v>3.8971000000000003E-6</v>
      </c>
      <c r="D717" t="s">
        <v>9</v>
      </c>
      <c r="E717" t="s">
        <v>179</v>
      </c>
      <c r="F717" t="s">
        <v>38</v>
      </c>
      <c r="G717" t="s">
        <v>220</v>
      </c>
    </row>
    <row r="718" spans="1:8" x14ac:dyDescent="0.35">
      <c r="A718" t="s">
        <v>158</v>
      </c>
      <c r="B718" s="7">
        <v>5.8419000000000002E-8</v>
      </c>
      <c r="D718" t="s">
        <v>9</v>
      </c>
      <c r="E718" t="s">
        <v>180</v>
      </c>
      <c r="F718" t="s">
        <v>38</v>
      </c>
      <c r="G718" t="s">
        <v>220</v>
      </c>
    </row>
    <row r="719" spans="1:8" x14ac:dyDescent="0.35">
      <c r="A719" t="s">
        <v>209</v>
      </c>
      <c r="B719" s="7">
        <v>2.0658E-9</v>
      </c>
      <c r="D719" t="s">
        <v>9</v>
      </c>
      <c r="E719" t="s">
        <v>189</v>
      </c>
      <c r="F719" t="s">
        <v>38</v>
      </c>
      <c r="G719" t="s">
        <v>220</v>
      </c>
    </row>
    <row r="720" spans="1:8" x14ac:dyDescent="0.35">
      <c r="A720" t="s">
        <v>209</v>
      </c>
      <c r="B720" s="7">
        <v>2.0568000000000002E-9</v>
      </c>
      <c r="D720" t="s">
        <v>9</v>
      </c>
      <c r="E720" t="s">
        <v>181</v>
      </c>
      <c r="F720" t="s">
        <v>38</v>
      </c>
      <c r="G720" t="s">
        <v>220</v>
      </c>
    </row>
    <row r="721" spans="1:7" x14ac:dyDescent="0.35">
      <c r="A721" t="s">
        <v>120</v>
      </c>
      <c r="B721">
        <v>1.7590123356145999</v>
      </c>
      <c r="D721" t="s">
        <v>9</v>
      </c>
      <c r="E721" t="s">
        <v>121</v>
      </c>
      <c r="F721" t="s">
        <v>38</v>
      </c>
      <c r="G721" t="s">
        <v>220</v>
      </c>
    </row>
    <row r="722" spans="1:7" x14ac:dyDescent="0.35">
      <c r="A722" t="s">
        <v>155</v>
      </c>
      <c r="B722" s="7">
        <v>-5.2561999999999998E-8</v>
      </c>
      <c r="D722" t="s">
        <v>9</v>
      </c>
      <c r="E722" t="s">
        <v>180</v>
      </c>
      <c r="F722" t="s">
        <v>38</v>
      </c>
      <c r="G722" t="s">
        <v>220</v>
      </c>
    </row>
    <row r="723" spans="1:7" x14ac:dyDescent="0.35">
      <c r="A723" t="s">
        <v>210</v>
      </c>
      <c r="B723" s="7">
        <v>1.04E-6</v>
      </c>
      <c r="D723" t="s">
        <v>9</v>
      </c>
      <c r="E723" t="s">
        <v>189</v>
      </c>
      <c r="F723" t="s">
        <v>38</v>
      </c>
      <c r="G723" t="s">
        <v>220</v>
      </c>
    </row>
    <row r="724" spans="1:7" x14ac:dyDescent="0.35">
      <c r="A724" t="s">
        <v>210</v>
      </c>
      <c r="B724" s="7">
        <v>2.4523999999999999E-7</v>
      </c>
      <c r="D724" t="s">
        <v>9</v>
      </c>
      <c r="E724" t="s">
        <v>181</v>
      </c>
      <c r="F724" t="s">
        <v>38</v>
      </c>
      <c r="G724" t="s">
        <v>220</v>
      </c>
    </row>
    <row r="725" spans="1:7" x14ac:dyDescent="0.35">
      <c r="A725" t="s">
        <v>142</v>
      </c>
      <c r="B725" s="7">
        <v>-1.6024999999999999E-6</v>
      </c>
      <c r="D725" t="s">
        <v>9</v>
      </c>
      <c r="E725" t="s">
        <v>180</v>
      </c>
      <c r="F725" t="s">
        <v>38</v>
      </c>
      <c r="G725" t="s">
        <v>220</v>
      </c>
    </row>
    <row r="726" spans="1:7" x14ac:dyDescent="0.35">
      <c r="A726" t="s">
        <v>211</v>
      </c>
      <c r="B726" s="7">
        <v>1.4422999999999999E-7</v>
      </c>
      <c r="D726" t="s">
        <v>9</v>
      </c>
      <c r="E726" t="s">
        <v>189</v>
      </c>
      <c r="F726" t="s">
        <v>38</v>
      </c>
      <c r="G726" t="s">
        <v>220</v>
      </c>
    </row>
    <row r="727" spans="1:7" x14ac:dyDescent="0.35">
      <c r="A727" t="s">
        <v>211</v>
      </c>
      <c r="B727" s="7">
        <v>1.6703000000000001E-7</v>
      </c>
      <c r="D727" t="s">
        <v>9</v>
      </c>
      <c r="E727" t="s">
        <v>181</v>
      </c>
      <c r="F727" t="s">
        <v>38</v>
      </c>
      <c r="G727" t="s">
        <v>220</v>
      </c>
    </row>
    <row r="728" spans="1:7" x14ac:dyDescent="0.35">
      <c r="A728" t="s">
        <v>42</v>
      </c>
      <c r="B728" s="7">
        <v>4.7399000000000001E-6</v>
      </c>
      <c r="D728" t="s">
        <v>9</v>
      </c>
      <c r="E728" t="s">
        <v>179</v>
      </c>
      <c r="F728" t="s">
        <v>38</v>
      </c>
      <c r="G728" t="s">
        <v>220</v>
      </c>
    </row>
    <row r="729" spans="1:7" x14ac:dyDescent="0.35">
      <c r="A729" t="s">
        <v>116</v>
      </c>
      <c r="B729">
        <v>19.212</v>
      </c>
      <c r="D729" t="s">
        <v>20</v>
      </c>
      <c r="E729" t="s">
        <v>122</v>
      </c>
      <c r="F729" t="s">
        <v>38</v>
      </c>
      <c r="G729" t="s">
        <v>220</v>
      </c>
    </row>
    <row r="730" spans="1:7" x14ac:dyDescent="0.35">
      <c r="A730" t="s">
        <v>165</v>
      </c>
      <c r="B730" s="7">
        <v>1.1538E-5</v>
      </c>
      <c r="D730" t="s">
        <v>9</v>
      </c>
      <c r="E730" t="s">
        <v>180</v>
      </c>
      <c r="F730" t="s">
        <v>38</v>
      </c>
      <c r="G730" t="s">
        <v>220</v>
      </c>
    </row>
    <row r="731" spans="1:7" x14ac:dyDescent="0.35">
      <c r="A731" t="s">
        <v>178</v>
      </c>
      <c r="B731" s="7">
        <v>7.0325999999999999E-9</v>
      </c>
      <c r="D731" t="s">
        <v>9</v>
      </c>
      <c r="E731" t="s">
        <v>180</v>
      </c>
      <c r="F731" t="s">
        <v>38</v>
      </c>
      <c r="G731" t="s">
        <v>220</v>
      </c>
    </row>
    <row r="732" spans="1:7" x14ac:dyDescent="0.35">
      <c r="A732" t="s">
        <v>178</v>
      </c>
      <c r="B732" s="7">
        <v>2.3085000000000001E-8</v>
      </c>
      <c r="D732" t="s">
        <v>9</v>
      </c>
      <c r="E732" t="s">
        <v>181</v>
      </c>
      <c r="F732" t="s">
        <v>38</v>
      </c>
      <c r="G732" t="s">
        <v>220</v>
      </c>
    </row>
    <row r="733" spans="1:7" x14ac:dyDescent="0.35">
      <c r="A733" t="s">
        <v>178</v>
      </c>
      <c r="B733" s="7">
        <v>3.4243999999999999E-9</v>
      </c>
      <c r="D733" t="s">
        <v>9</v>
      </c>
      <c r="E733" t="s">
        <v>189</v>
      </c>
      <c r="F733" t="s">
        <v>38</v>
      </c>
      <c r="G733" t="s">
        <v>220</v>
      </c>
    </row>
    <row r="734" spans="1:7" x14ac:dyDescent="0.35">
      <c r="A734" t="s">
        <v>212</v>
      </c>
      <c r="B734" s="7">
        <v>5.5528000000000003E-12</v>
      </c>
      <c r="D734" t="s">
        <v>9</v>
      </c>
      <c r="E734" t="s">
        <v>180</v>
      </c>
      <c r="F734" t="s">
        <v>38</v>
      </c>
      <c r="G734" t="s">
        <v>220</v>
      </c>
    </row>
    <row r="735" spans="1:7" x14ac:dyDescent="0.35">
      <c r="A735" t="s">
        <v>212</v>
      </c>
      <c r="B735" s="7">
        <v>2.4134000000000002E-12</v>
      </c>
      <c r="D735" t="s">
        <v>9</v>
      </c>
      <c r="E735" t="s">
        <v>189</v>
      </c>
      <c r="F735" t="s">
        <v>38</v>
      </c>
      <c r="G735" t="s">
        <v>220</v>
      </c>
    </row>
    <row r="736" spans="1:7" x14ac:dyDescent="0.35">
      <c r="A736" t="s">
        <v>212</v>
      </c>
      <c r="B736" s="7">
        <v>3.2340000000000002E-12</v>
      </c>
      <c r="D736" t="s">
        <v>9</v>
      </c>
      <c r="E736" t="s">
        <v>181</v>
      </c>
      <c r="F736" t="s">
        <v>38</v>
      </c>
      <c r="G736" t="s">
        <v>220</v>
      </c>
    </row>
    <row r="737" spans="1:7" x14ac:dyDescent="0.35">
      <c r="A737" t="s">
        <v>148</v>
      </c>
      <c r="B737" s="7">
        <v>-1.0578000000000001E-6</v>
      </c>
      <c r="D737" t="s">
        <v>9</v>
      </c>
      <c r="E737" t="s">
        <v>180</v>
      </c>
      <c r="F737" t="s">
        <v>38</v>
      </c>
      <c r="G737" t="s">
        <v>220</v>
      </c>
    </row>
    <row r="738" spans="1:7" x14ac:dyDescent="0.35">
      <c r="A738" t="s">
        <v>213</v>
      </c>
      <c r="B738" s="7">
        <v>1.1773E-7</v>
      </c>
      <c r="D738" t="s">
        <v>9</v>
      </c>
      <c r="E738" t="s">
        <v>181</v>
      </c>
      <c r="F738" t="s">
        <v>38</v>
      </c>
      <c r="G738" t="s">
        <v>220</v>
      </c>
    </row>
    <row r="739" spans="1:7" x14ac:dyDescent="0.35">
      <c r="A739" t="s">
        <v>182</v>
      </c>
      <c r="B739">
        <v>8.1581999999999998E-4</v>
      </c>
      <c r="D739" t="s">
        <v>9</v>
      </c>
      <c r="E739" t="s">
        <v>189</v>
      </c>
      <c r="F739" t="s">
        <v>38</v>
      </c>
      <c r="G739" t="s">
        <v>220</v>
      </c>
    </row>
    <row r="740" spans="1:7" x14ac:dyDescent="0.35">
      <c r="A740" t="s">
        <v>40</v>
      </c>
      <c r="B740" s="7">
        <v>1.6519E-6</v>
      </c>
      <c r="D740" t="s">
        <v>9</v>
      </c>
      <c r="E740" t="s">
        <v>179</v>
      </c>
      <c r="F740" t="s">
        <v>38</v>
      </c>
      <c r="G740" t="s">
        <v>220</v>
      </c>
    </row>
    <row r="741" spans="1:7" x14ac:dyDescent="0.35">
      <c r="A741" t="s">
        <v>214</v>
      </c>
      <c r="B741">
        <v>0.64656000000000002</v>
      </c>
      <c r="D741" t="s">
        <v>123</v>
      </c>
      <c r="E741" t="s">
        <v>124</v>
      </c>
      <c r="F741" t="s">
        <v>38</v>
      </c>
      <c r="G741" t="s">
        <v>220</v>
      </c>
    </row>
    <row r="742" spans="1:7" x14ac:dyDescent="0.35">
      <c r="A742" t="s">
        <v>184</v>
      </c>
      <c r="B742" s="7">
        <v>1.3869999999999999E-5</v>
      </c>
      <c r="D742" t="s">
        <v>9</v>
      </c>
      <c r="E742" t="s">
        <v>189</v>
      </c>
      <c r="F742" t="s">
        <v>38</v>
      </c>
      <c r="G742" t="s">
        <v>220</v>
      </c>
    </row>
    <row r="743" spans="1:7" x14ac:dyDescent="0.35">
      <c r="A743" t="s">
        <v>184</v>
      </c>
      <c r="B743" s="7">
        <v>5.397E-5</v>
      </c>
      <c r="D743" t="s">
        <v>9</v>
      </c>
      <c r="E743" t="s">
        <v>181</v>
      </c>
      <c r="F743" t="s">
        <v>38</v>
      </c>
      <c r="G743" t="s">
        <v>220</v>
      </c>
    </row>
    <row r="744" spans="1:7" x14ac:dyDescent="0.35">
      <c r="A744" t="s">
        <v>183</v>
      </c>
      <c r="B744" s="7">
        <v>1.2741E-5</v>
      </c>
      <c r="D744" t="s">
        <v>9</v>
      </c>
      <c r="E744" t="s">
        <v>181</v>
      </c>
      <c r="F744" t="s">
        <v>38</v>
      </c>
      <c r="G744" t="s">
        <v>220</v>
      </c>
    </row>
    <row r="745" spans="1:7" x14ac:dyDescent="0.35">
      <c r="A745" t="s">
        <v>215</v>
      </c>
      <c r="B745">
        <v>3.3654000000000003E-2</v>
      </c>
      <c r="D745" t="s">
        <v>125</v>
      </c>
      <c r="E745" t="s">
        <v>124</v>
      </c>
      <c r="F745" t="s">
        <v>38</v>
      </c>
      <c r="G745" t="s">
        <v>220</v>
      </c>
    </row>
    <row r="746" spans="1:7" x14ac:dyDescent="0.35">
      <c r="A746" t="s">
        <v>216</v>
      </c>
      <c r="B746">
        <v>3.3654000000000003E-2</v>
      </c>
      <c r="D746" t="s">
        <v>125</v>
      </c>
      <c r="E746" t="s">
        <v>124</v>
      </c>
      <c r="F746" t="s">
        <v>38</v>
      </c>
      <c r="G746" t="s">
        <v>220</v>
      </c>
    </row>
    <row r="747" spans="1:7" x14ac:dyDescent="0.35">
      <c r="A747" t="s">
        <v>152</v>
      </c>
      <c r="B747" s="7">
        <v>-3.9254000000000001E-5</v>
      </c>
      <c r="D747" t="s">
        <v>9</v>
      </c>
      <c r="E747" t="s">
        <v>180</v>
      </c>
      <c r="F747" t="s">
        <v>38</v>
      </c>
      <c r="G747" t="s">
        <v>220</v>
      </c>
    </row>
    <row r="748" spans="1:7" x14ac:dyDescent="0.35">
      <c r="A748" t="s">
        <v>217</v>
      </c>
      <c r="B748" s="7">
        <v>7.0345000000000002E-7</v>
      </c>
      <c r="D748" t="s">
        <v>9</v>
      </c>
      <c r="E748" t="s">
        <v>189</v>
      </c>
      <c r="F748" t="s">
        <v>38</v>
      </c>
      <c r="G748" t="s">
        <v>220</v>
      </c>
    </row>
    <row r="749" spans="1:7" x14ac:dyDescent="0.35">
      <c r="A749" t="s">
        <v>217</v>
      </c>
      <c r="B749" s="7">
        <v>2.1932000000000001E-7</v>
      </c>
      <c r="D749" t="s">
        <v>9</v>
      </c>
      <c r="E749" t="s">
        <v>181</v>
      </c>
      <c r="F749" t="s">
        <v>38</v>
      </c>
      <c r="G749" t="s">
        <v>220</v>
      </c>
    </row>
    <row r="751" spans="1:7" ht="15.5" x14ac:dyDescent="0.35">
      <c r="A751" s="1" t="s">
        <v>1</v>
      </c>
      <c r="B751" s="1" t="s">
        <v>416</v>
      </c>
    </row>
    <row r="752" spans="1:7" x14ac:dyDescent="0.35">
      <c r="A752" t="s">
        <v>2</v>
      </c>
      <c r="B752" t="s">
        <v>3</v>
      </c>
    </row>
    <row r="753" spans="1:8" x14ac:dyDescent="0.35">
      <c r="A753" t="s">
        <v>4</v>
      </c>
      <c r="B753">
        <v>1</v>
      </c>
    </row>
    <row r="754" spans="1:8" ht="15.5" x14ac:dyDescent="0.35">
      <c r="A754" t="s">
        <v>5</v>
      </c>
      <c r="B754" s="2" t="s">
        <v>417</v>
      </c>
    </row>
    <row r="755" spans="1:8" x14ac:dyDescent="0.35">
      <c r="A755" t="s">
        <v>6</v>
      </c>
      <c r="B755" t="s">
        <v>7</v>
      </c>
    </row>
    <row r="756" spans="1:8" x14ac:dyDescent="0.35">
      <c r="A756" t="s">
        <v>8</v>
      </c>
      <c r="B756" t="s">
        <v>9</v>
      </c>
    </row>
    <row r="757" spans="1:8" x14ac:dyDescent="0.35">
      <c r="A757" t="s">
        <v>10</v>
      </c>
      <c r="B757" t="s">
        <v>11</v>
      </c>
    </row>
    <row r="758" spans="1:8" x14ac:dyDescent="0.35">
      <c r="A758" t="s">
        <v>28</v>
      </c>
      <c r="B758" t="s">
        <v>241</v>
      </c>
    </row>
    <row r="759" spans="1:8" ht="15.5" x14ac:dyDescent="0.35">
      <c r="A759" s="1" t="s">
        <v>13</v>
      </c>
    </row>
    <row r="760" spans="1:8" x14ac:dyDescent="0.35">
      <c r="A760" t="s">
        <v>14</v>
      </c>
      <c r="B760" t="s">
        <v>15</v>
      </c>
      <c r="C760" t="s">
        <v>2</v>
      </c>
      <c r="D760" t="s">
        <v>8</v>
      </c>
      <c r="E760" t="s">
        <v>16</v>
      </c>
      <c r="F760" t="s">
        <v>6</v>
      </c>
      <c r="G760" t="s">
        <v>12</v>
      </c>
      <c r="H760" t="s">
        <v>5</v>
      </c>
    </row>
    <row r="761" spans="1:8" ht="15.5" x14ac:dyDescent="0.35">
      <c r="A761" s="2" t="s">
        <v>416</v>
      </c>
      <c r="B761">
        <v>1</v>
      </c>
      <c r="C761" t="s">
        <v>3</v>
      </c>
      <c r="D761" t="s">
        <v>9</v>
      </c>
      <c r="F761" t="s">
        <v>18</v>
      </c>
      <c r="G761" t="s">
        <v>19</v>
      </c>
      <c r="H761" s="2" t="s">
        <v>417</v>
      </c>
    </row>
    <row r="762" spans="1:8" ht="15.5" x14ac:dyDescent="0.35">
      <c r="A762" s="2" t="s">
        <v>70</v>
      </c>
      <c r="B762" s="6">
        <f>(1/((Allocation!$C$20*Allocation!$B$4*Allocation!$B$10)/1000))*Allocation!F32</f>
        <v>3.2444757981354098</v>
      </c>
      <c r="C762" t="s">
        <v>3</v>
      </c>
      <c r="D762" t="s">
        <v>9</v>
      </c>
      <c r="F762" t="s">
        <v>21</v>
      </c>
      <c r="G762" t="s">
        <v>19</v>
      </c>
      <c r="H762" s="2" t="s">
        <v>418</v>
      </c>
    </row>
    <row r="763" spans="1:8" ht="15.5" x14ac:dyDescent="0.35">
      <c r="A763" s="2" t="s">
        <v>232</v>
      </c>
      <c r="B763" s="4">
        <f>(180*Allocation!$B$3)/(Allocation!$B$4*Allocation!$B$10)*Allocation!F32</f>
        <v>5.2373480998418598E-2</v>
      </c>
      <c r="C763" t="s">
        <v>27</v>
      </c>
      <c r="D763" t="s">
        <v>20</v>
      </c>
      <c r="F763" t="s">
        <v>21</v>
      </c>
      <c r="H763" s="2" t="s">
        <v>233</v>
      </c>
    </row>
    <row r="764" spans="1:8" ht="15.5" x14ac:dyDescent="0.35">
      <c r="A764" s="2" t="s">
        <v>263</v>
      </c>
      <c r="B764" s="5">
        <f>((346.23/1000)/(Allocation!$B$4*Allocation!$B$10))*Allocation!$F$32</f>
        <v>9.5483462725015969E-2</v>
      </c>
      <c r="C764" t="s">
        <v>33</v>
      </c>
      <c r="D764" t="s">
        <v>9</v>
      </c>
      <c r="F764" t="s">
        <v>21</v>
      </c>
      <c r="H764" s="2" t="s">
        <v>264</v>
      </c>
    </row>
    <row r="765" spans="1:8" ht="15.5" x14ac:dyDescent="0.35">
      <c r="A765" s="2" t="s">
        <v>265</v>
      </c>
      <c r="B765" s="5">
        <f>((41.55/1000)/(Allocation!$B$4*Allocation!$B$10))*Allocation!$F$32</f>
        <v>1.1458677400064735E-2</v>
      </c>
      <c r="C765" t="s">
        <v>266</v>
      </c>
      <c r="D765" t="s">
        <v>9</v>
      </c>
      <c r="F765" t="s">
        <v>21</v>
      </c>
      <c r="H765" s="2" t="s">
        <v>267</v>
      </c>
    </row>
    <row r="766" spans="1:8" ht="15.5" x14ac:dyDescent="0.35">
      <c r="A766" s="2" t="s">
        <v>268</v>
      </c>
      <c r="B766" s="5">
        <f>((20.77/1000)/(Allocation!$B$4*Allocation!$B$10))*Allocation!$F$32</f>
        <v>5.7279597978181608E-3</v>
      </c>
      <c r="C766" t="s">
        <v>33</v>
      </c>
      <c r="D766" t="s">
        <v>9</v>
      </c>
      <c r="F766" t="s">
        <v>21</v>
      </c>
      <c r="H766" s="2" t="s">
        <v>427</v>
      </c>
    </row>
    <row r="767" spans="1:8" ht="15.5" x14ac:dyDescent="0.35">
      <c r="A767" s="2" t="s">
        <v>383</v>
      </c>
      <c r="B767" s="4">
        <f>((76.17/1000)/(Allocation!$B$4*Allocation!$B$10))*Allocation!$F$32</f>
        <v>2.1006196331237806E-2</v>
      </c>
      <c r="C767" t="s">
        <v>33</v>
      </c>
      <c r="D767" t="s">
        <v>9</v>
      </c>
      <c r="F767" t="s">
        <v>21</v>
      </c>
      <c r="G767" t="s">
        <v>400</v>
      </c>
      <c r="H767" s="2" t="s">
        <v>384</v>
      </c>
    </row>
    <row r="768" spans="1:8" ht="15.5" x14ac:dyDescent="0.35">
      <c r="A768" s="2" t="s">
        <v>328</v>
      </c>
      <c r="B768" s="4">
        <f>((106.73/1000)/(Allocation!$B$4*Allocation!$B$10))*Allocation!$F$32</f>
        <v>2.9434046664474352E-2</v>
      </c>
      <c r="C768" t="s">
        <v>33</v>
      </c>
      <c r="D768" t="s">
        <v>9</v>
      </c>
      <c r="F768" t="s">
        <v>21</v>
      </c>
      <c r="G768" t="s">
        <v>327</v>
      </c>
      <c r="H768" s="2" t="s">
        <v>329</v>
      </c>
    </row>
    <row r="769" spans="1:8" ht="15.5" x14ac:dyDescent="0.35">
      <c r="A769" s="2" t="s">
        <v>397</v>
      </c>
      <c r="B769" s="4">
        <f>((26.58/1000)/(Allocation!$B$4*Allocation!$B$10))*Allocation!$F$32</f>
        <v>7.3302441707273321E-3</v>
      </c>
      <c r="C769" t="s">
        <v>27</v>
      </c>
      <c r="D769" t="s">
        <v>9</v>
      </c>
      <c r="F769" t="s">
        <v>21</v>
      </c>
      <c r="G769" t="s">
        <v>399</v>
      </c>
      <c r="H769" s="2" t="s">
        <v>398</v>
      </c>
    </row>
    <row r="770" spans="1:8" ht="15.5" x14ac:dyDescent="0.35">
      <c r="A770" s="2" t="s">
        <v>401</v>
      </c>
      <c r="B770" s="4">
        <f>((117.72/1000)/(Allocation!$B$4*Allocation!$B$10))*Allocation!$F$32</f>
        <v>3.2464873731302545E-2</v>
      </c>
      <c r="C770" t="s">
        <v>27</v>
      </c>
      <c r="D770" t="s">
        <v>9</v>
      </c>
      <c r="F770" t="s">
        <v>21</v>
      </c>
      <c r="G770" t="s">
        <v>403</v>
      </c>
      <c r="H770" s="2" t="s">
        <v>402</v>
      </c>
    </row>
    <row r="771" spans="1:8" x14ac:dyDescent="0.35">
      <c r="A771" t="s">
        <v>201</v>
      </c>
      <c r="B771" s="6">
        <f>(B721*B762)-Allocation!$B$13</f>
        <v>3.7930729515232109</v>
      </c>
      <c r="D771" t="s">
        <v>9</v>
      </c>
      <c r="E771" t="s">
        <v>39</v>
      </c>
      <c r="F771" t="s">
        <v>38</v>
      </c>
      <c r="G771" t="s">
        <v>441</v>
      </c>
    </row>
    <row r="772" spans="1:8" x14ac:dyDescent="0.35">
      <c r="A772" t="s">
        <v>319</v>
      </c>
      <c r="B772" s="7">
        <f>1/(90000000*20)</f>
        <v>5.5555555555555553E-10</v>
      </c>
      <c r="C772" t="s">
        <v>27</v>
      </c>
      <c r="D772" t="s">
        <v>8</v>
      </c>
      <c r="F772" t="s">
        <v>21</v>
      </c>
      <c r="G772" t="s">
        <v>321</v>
      </c>
      <c r="H772" t="s">
        <v>320</v>
      </c>
    </row>
    <row r="773" spans="1:8" ht="15.5" x14ac:dyDescent="0.35">
      <c r="A773" s="2"/>
      <c r="H773" s="2"/>
    </row>
    <row r="774" spans="1:8" ht="15.5" x14ac:dyDescent="0.35">
      <c r="A774" s="1" t="s">
        <v>1</v>
      </c>
      <c r="B774" s="1" t="s">
        <v>419</v>
      </c>
    </row>
    <row r="775" spans="1:8" x14ac:dyDescent="0.35">
      <c r="A775" t="s">
        <v>2</v>
      </c>
      <c r="B775" t="s">
        <v>3</v>
      </c>
    </row>
    <row r="776" spans="1:8" x14ac:dyDescent="0.35">
      <c r="A776" t="s">
        <v>4</v>
      </c>
      <c r="B776">
        <v>1</v>
      </c>
    </row>
    <row r="777" spans="1:8" ht="15.5" x14ac:dyDescent="0.35">
      <c r="A777" t="s">
        <v>5</v>
      </c>
      <c r="B777" s="2" t="s">
        <v>417</v>
      </c>
    </row>
    <row r="778" spans="1:8" x14ac:dyDescent="0.35">
      <c r="A778" t="s">
        <v>6</v>
      </c>
      <c r="B778" t="s">
        <v>7</v>
      </c>
    </row>
    <row r="779" spans="1:8" x14ac:dyDescent="0.35">
      <c r="A779" t="s">
        <v>8</v>
      </c>
      <c r="B779" t="s">
        <v>9</v>
      </c>
    </row>
    <row r="780" spans="1:8" x14ac:dyDescent="0.35">
      <c r="A780" t="s">
        <v>10</v>
      </c>
      <c r="B780" t="s">
        <v>11</v>
      </c>
    </row>
    <row r="781" spans="1:8" x14ac:dyDescent="0.35">
      <c r="A781" t="s">
        <v>28</v>
      </c>
      <c r="B781" t="s">
        <v>386</v>
      </c>
    </row>
    <row r="782" spans="1:8" ht="15.5" x14ac:dyDescent="0.35">
      <c r="A782" s="1" t="s">
        <v>13</v>
      </c>
    </row>
    <row r="783" spans="1:8" x14ac:dyDescent="0.35">
      <c r="A783" t="s">
        <v>14</v>
      </c>
      <c r="B783" t="s">
        <v>15</v>
      </c>
      <c r="C783" t="s">
        <v>2</v>
      </c>
      <c r="D783" t="s">
        <v>8</v>
      </c>
      <c r="E783" t="s">
        <v>16</v>
      </c>
      <c r="F783" t="s">
        <v>6</v>
      </c>
      <c r="G783" t="s">
        <v>12</v>
      </c>
      <c r="H783" t="s">
        <v>5</v>
      </c>
    </row>
    <row r="784" spans="1:8" ht="15.5" x14ac:dyDescent="0.35">
      <c r="A784" s="2" t="s">
        <v>419</v>
      </c>
      <c r="B784">
        <v>1</v>
      </c>
      <c r="C784" t="s">
        <v>3</v>
      </c>
      <c r="D784" t="s">
        <v>9</v>
      </c>
      <c r="F784" t="s">
        <v>18</v>
      </c>
      <c r="G784" t="s">
        <v>19</v>
      </c>
      <c r="H784" s="2" t="s">
        <v>417</v>
      </c>
    </row>
    <row r="785" spans="1:8" ht="15.5" x14ac:dyDescent="0.35">
      <c r="A785" s="2" t="s">
        <v>70</v>
      </c>
      <c r="B785" s="6">
        <f>(1/((Allocation!C20*Allocation!B4*Allocation!B10)/1000))*Allocation!G32</f>
        <v>3.5882226085354634</v>
      </c>
      <c r="C785" t="s">
        <v>3</v>
      </c>
      <c r="D785" t="s">
        <v>9</v>
      </c>
      <c r="F785" t="s">
        <v>21</v>
      </c>
      <c r="G785" t="s">
        <v>19</v>
      </c>
      <c r="H785" s="2" t="s">
        <v>418</v>
      </c>
    </row>
    <row r="786" spans="1:8" ht="15.5" x14ac:dyDescent="0.35">
      <c r="A786" s="2" t="s">
        <v>232</v>
      </c>
      <c r="B786" s="4">
        <f>(180*Allocation!$B$3)/(Allocation!$B$4*Allocation!$B$10)*Allocation!G32</f>
        <v>5.7922364134825585E-2</v>
      </c>
      <c r="C786" t="s">
        <v>27</v>
      </c>
      <c r="D786" t="s">
        <v>20</v>
      </c>
      <c r="F786" t="s">
        <v>21</v>
      </c>
      <c r="H786" s="2" t="s">
        <v>233</v>
      </c>
    </row>
    <row r="787" spans="1:8" ht="15.5" x14ac:dyDescent="0.35">
      <c r="A787" s="2" t="s">
        <v>263</v>
      </c>
      <c r="B787" s="5">
        <f>((346.23/1000)/(Allocation!$B$4*Allocation!$B$10))*Allocation!$G$32</f>
        <v>0.10559977666902486</v>
      </c>
      <c r="C787" t="s">
        <v>33</v>
      </c>
      <c r="D787" t="s">
        <v>9</v>
      </c>
      <c r="F787" t="s">
        <v>21</v>
      </c>
      <c r="H787" s="2" t="s">
        <v>264</v>
      </c>
    </row>
    <row r="788" spans="1:8" ht="15.5" x14ac:dyDescent="0.35">
      <c r="A788" s="2" t="s">
        <v>265</v>
      </c>
      <c r="B788" s="5">
        <f>((41.55/1000)/(Allocation!$B$4*Allocation!$B$10))*Allocation!$G$32</f>
        <v>1.2672705197695122E-2</v>
      </c>
      <c r="C788" t="s">
        <v>266</v>
      </c>
      <c r="D788" t="s">
        <v>9</v>
      </c>
      <c r="F788" t="s">
        <v>21</v>
      </c>
      <c r="H788" s="2" t="s">
        <v>267</v>
      </c>
    </row>
    <row r="789" spans="1:8" ht="15.5" x14ac:dyDescent="0.35">
      <c r="A789" s="2" t="s">
        <v>268</v>
      </c>
      <c r="B789" s="5">
        <f>((20.77/1000)/(Allocation!$B$4*Allocation!$B$10))*Allocation!$G$32</f>
        <v>6.3348276042389344E-3</v>
      </c>
      <c r="C789" t="s">
        <v>33</v>
      </c>
      <c r="D789" t="s">
        <v>9</v>
      </c>
      <c r="F789" t="s">
        <v>21</v>
      </c>
      <c r="H789" s="2" t="s">
        <v>427</v>
      </c>
    </row>
    <row r="790" spans="1:8" ht="15.5" x14ac:dyDescent="0.35">
      <c r="A790" s="2" t="s">
        <v>383</v>
      </c>
      <c r="B790" s="4">
        <f>((76.17/1000)/(Allocation!$B$4*Allocation!$B$10))*Allocation!$G$32</f>
        <v>2.3231767867832431E-2</v>
      </c>
      <c r="C790" t="s">
        <v>33</v>
      </c>
      <c r="D790" t="s">
        <v>9</v>
      </c>
      <c r="F790" t="s">
        <v>21</v>
      </c>
      <c r="H790" s="2" t="s">
        <v>384</v>
      </c>
    </row>
    <row r="791" spans="1:8" ht="15.5" x14ac:dyDescent="0.35">
      <c r="A791" s="2" t="s">
        <v>328</v>
      </c>
      <c r="B791" s="4">
        <f>((106.73/1000)/(Allocation!$B$4*Allocation!$B$10))*Allocation!$G$32</f>
        <v>3.2552534915764153E-2</v>
      </c>
      <c r="C791" t="s">
        <v>33</v>
      </c>
      <c r="D791" t="s">
        <v>9</v>
      </c>
      <c r="F791" t="s">
        <v>21</v>
      </c>
      <c r="G791" t="s">
        <v>327</v>
      </c>
      <c r="H791" s="2" t="s">
        <v>329</v>
      </c>
    </row>
    <row r="792" spans="1:8" ht="15.5" x14ac:dyDescent="0.35">
      <c r="A792" s="2" t="s">
        <v>397</v>
      </c>
      <c r="B792" s="4">
        <f>((26.58/1000)/(Allocation!$B$4*Allocation!$B$10))*Allocation!$G$32</f>
        <v>8.1068713394641719E-3</v>
      </c>
      <c r="C792" t="s">
        <v>27</v>
      </c>
      <c r="D792" t="s">
        <v>9</v>
      </c>
      <c r="F792" t="s">
        <v>21</v>
      </c>
      <c r="G792" t="s">
        <v>399</v>
      </c>
      <c r="H792" s="2" t="s">
        <v>398</v>
      </c>
    </row>
    <row r="793" spans="1:8" ht="15.5" x14ac:dyDescent="0.35">
      <c r="A793" s="2" t="s">
        <v>401</v>
      </c>
      <c r="B793" s="4">
        <f>((117.72/1000)/(Allocation!$B$4*Allocation!$B$10))*Allocation!G$32</f>
        <v>3.5904473065527555E-2</v>
      </c>
      <c r="C793" t="s">
        <v>27</v>
      </c>
      <c r="D793" t="s">
        <v>9</v>
      </c>
      <c r="F793" t="s">
        <v>21</v>
      </c>
      <c r="G793" t="s">
        <v>403</v>
      </c>
      <c r="H793" s="2" t="s">
        <v>402</v>
      </c>
    </row>
    <row r="794" spans="1:8" x14ac:dyDescent="0.35">
      <c r="A794" t="s">
        <v>201</v>
      </c>
      <c r="B794" s="6">
        <f>(B721*B785)-Allocation!$B$13</f>
        <v>4.3977278313450778</v>
      </c>
      <c r="D794" t="s">
        <v>9</v>
      </c>
      <c r="E794" t="s">
        <v>39</v>
      </c>
      <c r="F794" t="s">
        <v>38</v>
      </c>
      <c r="G794" t="s">
        <v>441</v>
      </c>
    </row>
    <row r="795" spans="1:8" x14ac:dyDescent="0.35">
      <c r="A795" t="s">
        <v>319</v>
      </c>
      <c r="B795" s="7">
        <f>1/(90000000*20)</f>
        <v>5.5555555555555553E-10</v>
      </c>
      <c r="C795" t="s">
        <v>27</v>
      </c>
      <c r="D795" t="s">
        <v>8</v>
      </c>
      <c r="F795" t="s">
        <v>21</v>
      </c>
      <c r="G795" t="s">
        <v>321</v>
      </c>
      <c r="H795" t="s">
        <v>320</v>
      </c>
    </row>
    <row r="796" spans="1:8" ht="15.5" x14ac:dyDescent="0.35">
      <c r="A796" s="2"/>
      <c r="B796" s="4"/>
      <c r="H796" s="2"/>
    </row>
    <row r="797" spans="1:8" ht="15.5" x14ac:dyDescent="0.35">
      <c r="A797" s="1" t="s">
        <v>1</v>
      </c>
      <c r="B797" s="1" t="s">
        <v>532</v>
      </c>
    </row>
    <row r="798" spans="1:8" x14ac:dyDescent="0.35">
      <c r="A798" t="s">
        <v>2</v>
      </c>
      <c r="B798" t="s">
        <v>3</v>
      </c>
    </row>
    <row r="799" spans="1:8" x14ac:dyDescent="0.35">
      <c r="A799" t="s">
        <v>4</v>
      </c>
      <c r="B799">
        <v>1</v>
      </c>
    </row>
    <row r="800" spans="1:8" ht="15.5" x14ac:dyDescent="0.35">
      <c r="A800" t="s">
        <v>5</v>
      </c>
      <c r="B800" s="2" t="s">
        <v>417</v>
      </c>
    </row>
    <row r="801" spans="1:8" x14ac:dyDescent="0.35">
      <c r="A801" t="s">
        <v>6</v>
      </c>
      <c r="B801" t="s">
        <v>7</v>
      </c>
    </row>
    <row r="802" spans="1:8" x14ac:dyDescent="0.35">
      <c r="A802" t="s">
        <v>8</v>
      </c>
      <c r="B802" t="s">
        <v>9</v>
      </c>
    </row>
    <row r="803" spans="1:8" x14ac:dyDescent="0.35">
      <c r="A803" t="s">
        <v>10</v>
      </c>
      <c r="B803" t="s">
        <v>11</v>
      </c>
    </row>
    <row r="804" spans="1:8" x14ac:dyDescent="0.35">
      <c r="A804" t="s">
        <v>28</v>
      </c>
      <c r="B804" t="s">
        <v>522</v>
      </c>
    </row>
    <row r="805" spans="1:8" ht="15.5" x14ac:dyDescent="0.35">
      <c r="A805" s="1" t="s">
        <v>13</v>
      </c>
    </row>
    <row r="806" spans="1:8" x14ac:dyDescent="0.35">
      <c r="A806" t="s">
        <v>14</v>
      </c>
      <c r="B806" t="s">
        <v>15</v>
      </c>
      <c r="C806" t="s">
        <v>2</v>
      </c>
      <c r="D806" t="s">
        <v>8</v>
      </c>
      <c r="E806" t="s">
        <v>16</v>
      </c>
      <c r="F806" t="s">
        <v>6</v>
      </c>
      <c r="G806" t="s">
        <v>12</v>
      </c>
      <c r="H806" t="s">
        <v>5</v>
      </c>
    </row>
    <row r="807" spans="1:8" ht="15.5" x14ac:dyDescent="0.35">
      <c r="A807" s="2" t="s">
        <v>532</v>
      </c>
      <c r="B807">
        <v>1</v>
      </c>
      <c r="C807" t="s">
        <v>3</v>
      </c>
      <c r="D807" t="s">
        <v>9</v>
      </c>
      <c r="F807" t="s">
        <v>18</v>
      </c>
      <c r="G807" t="s">
        <v>19</v>
      </c>
      <c r="H807" s="2" t="s">
        <v>417</v>
      </c>
    </row>
    <row r="808" spans="1:8" ht="15.5" x14ac:dyDescent="0.35">
      <c r="A808" s="2" t="s">
        <v>70</v>
      </c>
      <c r="B808" s="6">
        <f>(1/((Allocation!C20*Allocation!B4*Allocation!B10)/1000))</f>
        <v>3.9394735346660368</v>
      </c>
      <c r="C808" t="s">
        <v>3</v>
      </c>
      <c r="D808" t="s">
        <v>9</v>
      </c>
      <c r="F808" t="s">
        <v>21</v>
      </c>
      <c r="G808" t="s">
        <v>19</v>
      </c>
      <c r="H808" s="2" t="s">
        <v>418</v>
      </c>
    </row>
    <row r="809" spans="1:8" ht="15.5" x14ac:dyDescent="0.35">
      <c r="A809" s="2" t="s">
        <v>232</v>
      </c>
      <c r="B809" s="4">
        <f>(180*Allocation!$B$3)/(Allocation!$B$4*Allocation!$B$10)</f>
        <v>6.3592381373341833E-2</v>
      </c>
      <c r="C809" t="s">
        <v>27</v>
      </c>
      <c r="D809" t="s">
        <v>20</v>
      </c>
      <c r="F809" t="s">
        <v>21</v>
      </c>
      <c r="H809" s="2" t="s">
        <v>233</v>
      </c>
    </row>
    <row r="810" spans="1:8" ht="15.5" x14ac:dyDescent="0.35">
      <c r="A810" s="2" t="s">
        <v>263</v>
      </c>
      <c r="B810" s="5">
        <f>((346.23/1000)/(Allocation!$B$4*Allocation!$B$10))</f>
        <v>0.11593693336213089</v>
      </c>
      <c r="C810" t="s">
        <v>33</v>
      </c>
      <c r="D810" t="s">
        <v>9</v>
      </c>
      <c r="F810" t="s">
        <v>21</v>
      </c>
      <c r="H810" s="2" t="s">
        <v>264</v>
      </c>
    </row>
    <row r="811" spans="1:8" ht="15.5" x14ac:dyDescent="0.35">
      <c r="A811" s="2" t="s">
        <v>265</v>
      </c>
      <c r="B811" s="5">
        <f>((41.55/1000)/(Allocation!$B$4*Allocation!$B$10))</f>
        <v>1.3913235656056776E-2</v>
      </c>
      <c r="C811" t="s">
        <v>266</v>
      </c>
      <c r="D811" t="s">
        <v>9</v>
      </c>
      <c r="F811" t="s">
        <v>21</v>
      </c>
      <c r="H811" s="2" t="s">
        <v>267</v>
      </c>
    </row>
    <row r="812" spans="1:8" ht="15.5" x14ac:dyDescent="0.35">
      <c r="A812" s="2" t="s">
        <v>268</v>
      </c>
      <c r="B812" s="5">
        <f>((20.77/1000)/(Allocation!$B$4*Allocation!$B$10))</f>
        <v>6.9549435517761559E-3</v>
      </c>
      <c r="C812" t="s">
        <v>33</v>
      </c>
      <c r="D812" t="s">
        <v>9</v>
      </c>
      <c r="F812" t="s">
        <v>21</v>
      </c>
      <c r="H812" s="2" t="s">
        <v>427</v>
      </c>
    </row>
    <row r="813" spans="1:8" ht="15.5" x14ac:dyDescent="0.35">
      <c r="A813" s="2" t="s">
        <v>383</v>
      </c>
      <c r="B813" s="4">
        <f>((76.17/1000)/(Allocation!$B$4*Allocation!$B$10))</f>
        <v>2.5505924426518525E-2</v>
      </c>
      <c r="C813" t="s">
        <v>33</v>
      </c>
      <c r="D813" t="s">
        <v>9</v>
      </c>
      <c r="F813" t="s">
        <v>21</v>
      </c>
      <c r="H813" s="2" t="s">
        <v>384</v>
      </c>
    </row>
    <row r="814" spans="1:8" ht="15.5" x14ac:dyDescent="0.35">
      <c r="A814" s="2" t="s">
        <v>328</v>
      </c>
      <c r="B814" s="4">
        <f>((106.73/1000)/(Allocation!$B$4*Allocation!$B$10))</f>
        <v>3.5739100880167025E-2</v>
      </c>
      <c r="C814" t="s">
        <v>33</v>
      </c>
      <c r="D814" t="s">
        <v>9</v>
      </c>
      <c r="F814" t="s">
        <v>21</v>
      </c>
      <c r="G814" t="s">
        <v>327</v>
      </c>
      <c r="H814" s="2" t="s">
        <v>329</v>
      </c>
    </row>
    <row r="815" spans="1:8" ht="15.5" x14ac:dyDescent="0.35">
      <c r="A815" s="2" t="s">
        <v>397</v>
      </c>
      <c r="B815" s="4">
        <f>((26.58/1000)/(Allocation!$B$4*Allocation!$B$10))</f>
        <v>8.9004525568709778E-3</v>
      </c>
      <c r="C815" t="s">
        <v>27</v>
      </c>
      <c r="D815" t="s">
        <v>9</v>
      </c>
      <c r="F815" t="s">
        <v>21</v>
      </c>
      <c r="G815" t="s">
        <v>399</v>
      </c>
      <c r="H815" s="2" t="s">
        <v>398</v>
      </c>
    </row>
    <row r="816" spans="1:8" ht="15.5" x14ac:dyDescent="0.35">
      <c r="A816" s="2" t="s">
        <v>401</v>
      </c>
      <c r="B816" s="4">
        <f>((117.72/1000)/(Allocation!$B$4*Allocation!$B$10))</f>
        <v>3.9419160082575302E-2</v>
      </c>
      <c r="C816" t="s">
        <v>27</v>
      </c>
      <c r="D816" t="s">
        <v>9</v>
      </c>
      <c r="F816" t="s">
        <v>21</v>
      </c>
      <c r="G816" t="s">
        <v>403</v>
      </c>
      <c r="H816" s="2" t="s">
        <v>402</v>
      </c>
    </row>
    <row r="817" spans="1:10" x14ac:dyDescent="0.35">
      <c r="A817" t="s">
        <v>201</v>
      </c>
      <c r="B817" s="6">
        <f>(B721*B808)-Allocation!$B$13</f>
        <v>5.0155825433048093</v>
      </c>
      <c r="D817" t="s">
        <v>9</v>
      </c>
      <c r="E817" t="s">
        <v>39</v>
      </c>
      <c r="F817" t="s">
        <v>38</v>
      </c>
      <c r="G817" t="s">
        <v>441</v>
      </c>
    </row>
    <row r="818" spans="1:10" x14ac:dyDescent="0.35">
      <c r="A818" t="s">
        <v>319</v>
      </c>
      <c r="B818" s="7">
        <f>1/(90000000*20)</f>
        <v>5.5555555555555553E-10</v>
      </c>
      <c r="C818" t="s">
        <v>27</v>
      </c>
      <c r="D818" t="s">
        <v>8</v>
      </c>
      <c r="F818" t="s">
        <v>21</v>
      </c>
      <c r="G818" t="s">
        <v>321</v>
      </c>
      <c r="H818" t="s">
        <v>320</v>
      </c>
    </row>
    <row r="819" spans="1:10" x14ac:dyDescent="0.35">
      <c r="A819" s="38" t="s">
        <v>30</v>
      </c>
      <c r="B819" s="68">
        <f>Allocation!H19/Allocation!B4*Allocation!B10*-1</f>
        <v>-0.50274302587613584</v>
      </c>
      <c r="C819" t="s">
        <v>3</v>
      </c>
      <c r="D819" s="38" t="s">
        <v>31</v>
      </c>
      <c r="E819" s="38"/>
      <c r="F819" s="38" t="s">
        <v>21</v>
      </c>
      <c r="G819" s="38" t="s">
        <v>523</v>
      </c>
      <c r="H819" s="38" t="s">
        <v>32</v>
      </c>
      <c r="I819" s="38"/>
    </row>
    <row r="820" spans="1:10" ht="15.5" x14ac:dyDescent="0.35">
      <c r="A820" s="2"/>
      <c r="B820" s="4"/>
      <c r="H820" s="2"/>
    </row>
    <row r="821" spans="1:10" ht="15.5" x14ac:dyDescent="0.35">
      <c r="A821" s="1" t="s">
        <v>1</v>
      </c>
      <c r="B821" s="1" t="s">
        <v>420</v>
      </c>
    </row>
    <row r="822" spans="1:10" x14ac:dyDescent="0.35">
      <c r="A822" t="s">
        <v>2</v>
      </c>
      <c r="B822" t="s">
        <v>3</v>
      </c>
    </row>
    <row r="823" spans="1:10" x14ac:dyDescent="0.35">
      <c r="A823" t="s">
        <v>4</v>
      </c>
      <c r="B823">
        <v>1</v>
      </c>
    </row>
    <row r="824" spans="1:10" ht="15.5" x14ac:dyDescent="0.35">
      <c r="A824" t="s">
        <v>5</v>
      </c>
      <c r="B824" s="2" t="s">
        <v>350</v>
      </c>
    </row>
    <row r="825" spans="1:10" x14ac:dyDescent="0.35">
      <c r="A825" t="s">
        <v>6</v>
      </c>
      <c r="B825" t="s">
        <v>7</v>
      </c>
    </row>
    <row r="826" spans="1:10" x14ac:dyDescent="0.35">
      <c r="A826" t="s">
        <v>8</v>
      </c>
      <c r="B826" t="s">
        <v>9</v>
      </c>
    </row>
    <row r="827" spans="1:10" x14ac:dyDescent="0.35">
      <c r="A827" t="s">
        <v>10</v>
      </c>
      <c r="B827" t="s">
        <v>406</v>
      </c>
    </row>
    <row r="828" spans="1:10" x14ac:dyDescent="0.35">
      <c r="A828" t="s">
        <v>12</v>
      </c>
      <c r="B828" t="s">
        <v>375</v>
      </c>
    </row>
    <row r="829" spans="1:10" ht="15.5" x14ac:dyDescent="0.35">
      <c r="A829" s="1" t="s">
        <v>13</v>
      </c>
    </row>
    <row r="830" spans="1:10" x14ac:dyDescent="0.35">
      <c r="A830" t="s">
        <v>14</v>
      </c>
      <c r="B830" t="s">
        <v>15</v>
      </c>
      <c r="C830" t="s">
        <v>2</v>
      </c>
      <c r="D830" t="s">
        <v>8</v>
      </c>
      <c r="E830" t="s">
        <v>16</v>
      </c>
      <c r="F830" t="s">
        <v>6</v>
      </c>
      <c r="G830" t="s">
        <v>351</v>
      </c>
      <c r="H830" t="s">
        <v>352</v>
      </c>
      <c r="I830" t="s">
        <v>12</v>
      </c>
      <c r="J830" t="s">
        <v>5</v>
      </c>
    </row>
    <row r="831" spans="1:10" x14ac:dyDescent="0.35">
      <c r="A831" s="38" t="s">
        <v>420</v>
      </c>
      <c r="B831" s="38">
        <v>1</v>
      </c>
      <c r="C831" t="s">
        <v>3</v>
      </c>
      <c r="D831" s="38" t="s">
        <v>9</v>
      </c>
      <c r="E831" s="38"/>
      <c r="F831" s="38" t="s">
        <v>18</v>
      </c>
      <c r="G831" s="38"/>
      <c r="H831" s="38"/>
      <c r="I831" s="38" t="s">
        <v>19</v>
      </c>
      <c r="J831" s="38" t="s">
        <v>350</v>
      </c>
    </row>
    <row r="832" spans="1:10" ht="15.5" x14ac:dyDescent="0.35">
      <c r="A832" s="2" t="s">
        <v>416</v>
      </c>
      <c r="B832">
        <v>1.00057</v>
      </c>
      <c r="C832" t="s">
        <v>3</v>
      </c>
      <c r="D832" t="s">
        <v>9</v>
      </c>
      <c r="F832" s="38" t="s">
        <v>21</v>
      </c>
      <c r="G832" t="s">
        <v>19</v>
      </c>
      <c r="I832" s="38"/>
      <c r="J832" s="2" t="s">
        <v>417</v>
      </c>
    </row>
    <row r="833" spans="1:10" x14ac:dyDescent="0.35">
      <c r="A833" s="38" t="s">
        <v>30</v>
      </c>
      <c r="B833" s="38">
        <v>6.7000000000000002E-3</v>
      </c>
      <c r="C833" t="s">
        <v>3</v>
      </c>
      <c r="D833" s="38" t="s">
        <v>31</v>
      </c>
      <c r="E833" s="38"/>
      <c r="F833" s="38" t="s">
        <v>21</v>
      </c>
      <c r="G833" s="38"/>
      <c r="H833" s="38"/>
      <c r="I833" s="38"/>
      <c r="J833" s="38" t="s">
        <v>32</v>
      </c>
    </row>
    <row r="834" spans="1:10" x14ac:dyDescent="0.35">
      <c r="A834" s="38" t="s">
        <v>353</v>
      </c>
      <c r="B834" s="38">
        <v>-1.6799999999999999E-4</v>
      </c>
      <c r="C834" s="38" t="s">
        <v>33</v>
      </c>
      <c r="D834" s="38" t="s">
        <v>9</v>
      </c>
      <c r="E834" s="38"/>
      <c r="F834" s="38" t="s">
        <v>21</v>
      </c>
      <c r="G834" s="38"/>
      <c r="H834" s="38"/>
      <c r="I834" s="38"/>
      <c r="J834" s="38" t="s">
        <v>354</v>
      </c>
    </row>
    <row r="835" spans="1:10" x14ac:dyDescent="0.35">
      <c r="A835" s="38" t="s">
        <v>355</v>
      </c>
      <c r="B835" s="39">
        <v>5.8399999999999999E-4</v>
      </c>
      <c r="C835" s="38" t="s">
        <v>33</v>
      </c>
      <c r="D835" s="38" t="s">
        <v>20</v>
      </c>
      <c r="E835" s="38"/>
      <c r="F835" s="38" t="s">
        <v>21</v>
      </c>
      <c r="G835" s="38"/>
      <c r="H835" s="38"/>
      <c r="I835" s="38"/>
      <c r="J835" s="38" t="s">
        <v>356</v>
      </c>
    </row>
    <row r="836" spans="1:10" x14ac:dyDescent="0.35">
      <c r="A836" s="38" t="s">
        <v>357</v>
      </c>
      <c r="B836" s="39">
        <v>2.5999999999999998E-10</v>
      </c>
      <c r="C836" s="38" t="s">
        <v>33</v>
      </c>
      <c r="D836" s="38" t="s">
        <v>8</v>
      </c>
      <c r="E836" s="38"/>
      <c r="F836" s="38" t="s">
        <v>21</v>
      </c>
      <c r="G836" s="38"/>
      <c r="H836" s="38"/>
      <c r="I836" s="38"/>
      <c r="J836" s="38" t="s">
        <v>358</v>
      </c>
    </row>
    <row r="837" spans="1:10" x14ac:dyDescent="0.35">
      <c r="A837" s="38" t="s">
        <v>359</v>
      </c>
      <c r="B837" s="39">
        <v>-6.2700000000000001E-6</v>
      </c>
      <c r="C837" s="38" t="s">
        <v>33</v>
      </c>
      <c r="D837" s="38" t="s">
        <v>9</v>
      </c>
      <c r="E837" s="38"/>
      <c r="F837" s="38" t="s">
        <v>21</v>
      </c>
      <c r="G837" s="38"/>
      <c r="H837" s="38"/>
      <c r="I837" s="38"/>
      <c r="J837" s="38" t="s">
        <v>360</v>
      </c>
    </row>
    <row r="838" spans="1:10" x14ac:dyDescent="0.35">
      <c r="A838" s="38" t="s">
        <v>361</v>
      </c>
      <c r="B838" s="39">
        <v>-7.4999999999999993E-5</v>
      </c>
      <c r="C838" s="38" t="s">
        <v>33</v>
      </c>
      <c r="D838" s="38" t="s">
        <v>131</v>
      </c>
      <c r="E838" s="38"/>
      <c r="F838" s="38" t="s">
        <v>21</v>
      </c>
      <c r="G838" s="38"/>
      <c r="H838" s="38"/>
      <c r="I838" s="38"/>
      <c r="J838" s="38" t="s">
        <v>362</v>
      </c>
    </row>
    <row r="839" spans="1:10" x14ac:dyDescent="0.35">
      <c r="A839" s="38" t="s">
        <v>363</v>
      </c>
      <c r="B839" s="39">
        <v>6.8900000000000005E-4</v>
      </c>
      <c r="C839" s="38" t="s">
        <v>33</v>
      </c>
      <c r="D839" s="38" t="s">
        <v>9</v>
      </c>
      <c r="E839" s="38"/>
      <c r="F839" s="38" t="s">
        <v>21</v>
      </c>
      <c r="G839" s="38"/>
      <c r="H839" s="38"/>
      <c r="I839" s="38"/>
      <c r="J839" s="38" t="s">
        <v>364</v>
      </c>
    </row>
    <row r="840" spans="1:10" x14ac:dyDescent="0.35">
      <c r="A840" s="38" t="s">
        <v>108</v>
      </c>
      <c r="B840" s="38">
        <v>3.3599999999999998E-2</v>
      </c>
      <c r="C840" s="38" t="s">
        <v>33</v>
      </c>
      <c r="D840" s="38" t="s">
        <v>45</v>
      </c>
      <c r="E840" s="38"/>
      <c r="F840" s="38" t="s">
        <v>21</v>
      </c>
      <c r="G840" s="38"/>
      <c r="H840" s="38"/>
      <c r="I840" s="38"/>
      <c r="J840" s="38" t="s">
        <v>111</v>
      </c>
    </row>
    <row r="841" spans="1:10" x14ac:dyDescent="0.35">
      <c r="A841" s="38" t="s">
        <v>365</v>
      </c>
      <c r="B841" s="38">
        <v>3.2599999999999997E-2</v>
      </c>
      <c r="C841" s="38" t="s">
        <v>33</v>
      </c>
      <c r="D841" s="38" t="s">
        <v>45</v>
      </c>
      <c r="E841" s="38"/>
      <c r="F841" s="38" t="s">
        <v>21</v>
      </c>
      <c r="G841" s="38"/>
      <c r="H841" s="38"/>
      <c r="I841" s="38"/>
      <c r="J841" s="38" t="s">
        <v>366</v>
      </c>
    </row>
    <row r="842" spans="1:10" x14ac:dyDescent="0.35">
      <c r="A842" s="38" t="s">
        <v>367</v>
      </c>
      <c r="B842" s="39">
        <v>-6.8899999999999999E-7</v>
      </c>
      <c r="C842" s="38" t="s">
        <v>33</v>
      </c>
      <c r="D842" s="38" t="s">
        <v>131</v>
      </c>
      <c r="E842" s="38"/>
      <c r="F842" s="38" t="s">
        <v>21</v>
      </c>
      <c r="G842" s="38"/>
      <c r="H842" s="38"/>
      <c r="I842" s="38"/>
      <c r="J842" s="38" t="s">
        <v>368</v>
      </c>
    </row>
    <row r="844" spans="1:10" ht="15.5" x14ac:dyDescent="0.35">
      <c r="A844" s="1" t="s">
        <v>1</v>
      </c>
      <c r="B844" s="1" t="s">
        <v>421</v>
      </c>
    </row>
    <row r="845" spans="1:10" x14ac:dyDescent="0.35">
      <c r="A845" t="s">
        <v>2</v>
      </c>
      <c r="B845" t="s">
        <v>3</v>
      </c>
    </row>
    <row r="846" spans="1:10" x14ac:dyDescent="0.35">
      <c r="A846" t="s">
        <v>4</v>
      </c>
      <c r="B846">
        <v>1</v>
      </c>
    </row>
    <row r="847" spans="1:10" ht="15.5" x14ac:dyDescent="0.35">
      <c r="A847" t="s">
        <v>5</v>
      </c>
      <c r="B847" s="2" t="s">
        <v>350</v>
      </c>
    </row>
    <row r="848" spans="1:10" x14ac:dyDescent="0.35">
      <c r="A848" t="s">
        <v>6</v>
      </c>
      <c r="B848" t="s">
        <v>7</v>
      </c>
    </row>
    <row r="849" spans="1:10" x14ac:dyDescent="0.35">
      <c r="A849" t="s">
        <v>8</v>
      </c>
      <c r="B849" t="s">
        <v>9</v>
      </c>
    </row>
    <row r="850" spans="1:10" x14ac:dyDescent="0.35">
      <c r="A850" t="s">
        <v>10</v>
      </c>
      <c r="B850" t="s">
        <v>406</v>
      </c>
    </row>
    <row r="851" spans="1:10" x14ac:dyDescent="0.35">
      <c r="A851" t="s">
        <v>12</v>
      </c>
      <c r="B851" t="s">
        <v>374</v>
      </c>
    </row>
    <row r="852" spans="1:10" ht="15.5" x14ac:dyDescent="0.35">
      <c r="A852" s="1" t="s">
        <v>13</v>
      </c>
    </row>
    <row r="853" spans="1:10" x14ac:dyDescent="0.35">
      <c r="A853" t="s">
        <v>14</v>
      </c>
      <c r="B853" t="s">
        <v>15</v>
      </c>
      <c r="C853" t="s">
        <v>2</v>
      </c>
      <c r="D853" t="s">
        <v>8</v>
      </c>
      <c r="E853" t="s">
        <v>16</v>
      </c>
      <c r="F853" t="s">
        <v>6</v>
      </c>
      <c r="G853" t="s">
        <v>351</v>
      </c>
      <c r="H853" t="s">
        <v>352</v>
      </c>
      <c r="I853" t="s">
        <v>12</v>
      </c>
      <c r="J853" t="s">
        <v>5</v>
      </c>
    </row>
    <row r="854" spans="1:10" x14ac:dyDescent="0.35">
      <c r="A854" s="38" t="s">
        <v>421</v>
      </c>
      <c r="B854" s="38">
        <v>1</v>
      </c>
      <c r="C854" t="s">
        <v>3</v>
      </c>
      <c r="D854" s="38" t="s">
        <v>9</v>
      </c>
      <c r="E854" s="38"/>
      <c r="F854" s="38" t="s">
        <v>18</v>
      </c>
      <c r="G854" s="38"/>
      <c r="H854" s="38"/>
      <c r="I854" s="38" t="s">
        <v>19</v>
      </c>
      <c r="J854" s="38" t="s">
        <v>350</v>
      </c>
    </row>
    <row r="855" spans="1:10" ht="15.5" x14ac:dyDescent="0.35">
      <c r="A855" s="2" t="s">
        <v>419</v>
      </c>
      <c r="B855">
        <v>1.00057</v>
      </c>
      <c r="C855" t="s">
        <v>3</v>
      </c>
      <c r="D855" t="s">
        <v>9</v>
      </c>
      <c r="F855" s="38" t="s">
        <v>21</v>
      </c>
      <c r="G855" t="s">
        <v>19</v>
      </c>
      <c r="I855" s="38"/>
      <c r="J855" s="2" t="s">
        <v>417</v>
      </c>
    </row>
    <row r="856" spans="1:10" x14ac:dyDescent="0.35">
      <c r="A856" s="38" t="s">
        <v>30</v>
      </c>
      <c r="B856" s="38">
        <v>6.7000000000000002E-3</v>
      </c>
      <c r="C856" t="s">
        <v>3</v>
      </c>
      <c r="D856" s="38" t="s">
        <v>31</v>
      </c>
      <c r="E856" s="38"/>
      <c r="F856" s="38" t="s">
        <v>21</v>
      </c>
      <c r="G856" s="38"/>
      <c r="H856" s="38"/>
      <c r="I856" s="38"/>
      <c r="J856" s="38" t="s">
        <v>32</v>
      </c>
    </row>
    <row r="857" spans="1:10" x14ac:dyDescent="0.35">
      <c r="A857" s="38" t="s">
        <v>353</v>
      </c>
      <c r="B857" s="38">
        <v>-1.6799999999999999E-4</v>
      </c>
      <c r="C857" s="38" t="s">
        <v>33</v>
      </c>
      <c r="D857" s="38" t="s">
        <v>9</v>
      </c>
      <c r="E857" s="38"/>
      <c r="F857" s="38" t="s">
        <v>21</v>
      </c>
      <c r="G857" s="38"/>
      <c r="H857" s="38"/>
      <c r="I857" s="38"/>
      <c r="J857" s="38" t="s">
        <v>354</v>
      </c>
    </row>
    <row r="858" spans="1:10" x14ac:dyDescent="0.35">
      <c r="A858" s="38" t="s">
        <v>355</v>
      </c>
      <c r="B858" s="39">
        <v>5.8399999999999999E-4</v>
      </c>
      <c r="C858" s="38" t="s">
        <v>33</v>
      </c>
      <c r="D858" s="38" t="s">
        <v>20</v>
      </c>
      <c r="E858" s="38"/>
      <c r="F858" s="38" t="s">
        <v>21</v>
      </c>
      <c r="G858" s="38"/>
      <c r="H858" s="38"/>
      <c r="I858" s="38"/>
      <c r="J858" s="38" t="s">
        <v>356</v>
      </c>
    </row>
    <row r="859" spans="1:10" x14ac:dyDescent="0.35">
      <c r="A859" s="38" t="s">
        <v>357</v>
      </c>
      <c r="B859" s="39">
        <v>2.5999999999999998E-10</v>
      </c>
      <c r="C859" s="38" t="s">
        <v>33</v>
      </c>
      <c r="D859" s="38" t="s">
        <v>8</v>
      </c>
      <c r="E859" s="38"/>
      <c r="F859" s="38" t="s">
        <v>21</v>
      </c>
      <c r="G859" s="38"/>
      <c r="H859" s="38"/>
      <c r="I859" s="38"/>
      <c r="J859" s="38" t="s">
        <v>358</v>
      </c>
    </row>
    <row r="860" spans="1:10" x14ac:dyDescent="0.35">
      <c r="A860" s="38" t="s">
        <v>359</v>
      </c>
      <c r="B860" s="39">
        <v>-6.2700000000000001E-6</v>
      </c>
      <c r="C860" s="38" t="s">
        <v>33</v>
      </c>
      <c r="D860" s="38" t="s">
        <v>9</v>
      </c>
      <c r="E860" s="38"/>
      <c r="F860" s="38" t="s">
        <v>21</v>
      </c>
      <c r="G860" s="38"/>
      <c r="H860" s="38"/>
      <c r="I860" s="38"/>
      <c r="J860" s="38" t="s">
        <v>360</v>
      </c>
    </row>
    <row r="861" spans="1:10" x14ac:dyDescent="0.35">
      <c r="A861" s="38" t="s">
        <v>361</v>
      </c>
      <c r="B861" s="39">
        <v>-7.4999999999999993E-5</v>
      </c>
      <c r="C861" s="38" t="s">
        <v>33</v>
      </c>
      <c r="D861" s="38" t="s">
        <v>131</v>
      </c>
      <c r="E861" s="38"/>
      <c r="F861" s="38" t="s">
        <v>21</v>
      </c>
      <c r="G861" s="38"/>
      <c r="H861" s="38"/>
      <c r="I861" s="38"/>
      <c r="J861" s="38" t="s">
        <v>362</v>
      </c>
    </row>
    <row r="862" spans="1:10" x14ac:dyDescent="0.35">
      <c r="A862" s="38" t="s">
        <v>363</v>
      </c>
      <c r="B862" s="39">
        <v>6.8900000000000005E-4</v>
      </c>
      <c r="C862" s="38" t="s">
        <v>33</v>
      </c>
      <c r="D862" s="38" t="s">
        <v>9</v>
      </c>
      <c r="E862" s="38"/>
      <c r="F862" s="38" t="s">
        <v>21</v>
      </c>
      <c r="G862" s="38"/>
      <c r="H862" s="38"/>
      <c r="I862" s="38"/>
      <c r="J862" s="38" t="s">
        <v>364</v>
      </c>
    </row>
    <row r="863" spans="1:10" x14ac:dyDescent="0.35">
      <c r="A863" s="38" t="s">
        <v>108</v>
      </c>
      <c r="B863" s="38">
        <v>3.3599999999999998E-2</v>
      </c>
      <c r="C863" s="38" t="s">
        <v>33</v>
      </c>
      <c r="D863" s="38" t="s">
        <v>45</v>
      </c>
      <c r="E863" s="38"/>
      <c r="F863" s="38" t="s">
        <v>21</v>
      </c>
      <c r="G863" s="38"/>
      <c r="H863" s="38"/>
      <c r="I863" s="38"/>
      <c r="J863" s="38" t="s">
        <v>111</v>
      </c>
    </row>
    <row r="864" spans="1:10" x14ac:dyDescent="0.35">
      <c r="A864" s="38" t="s">
        <v>365</v>
      </c>
      <c r="B864" s="38">
        <v>3.2599999999999997E-2</v>
      </c>
      <c r="C864" s="38" t="s">
        <v>33</v>
      </c>
      <c r="D864" s="38" t="s">
        <v>45</v>
      </c>
      <c r="E864" s="38"/>
      <c r="F864" s="38" t="s">
        <v>21</v>
      </c>
      <c r="G864" s="38"/>
      <c r="H864" s="38"/>
      <c r="I864" s="38"/>
      <c r="J864" s="38" t="s">
        <v>366</v>
      </c>
    </row>
    <row r="865" spans="1:10" x14ac:dyDescent="0.35">
      <c r="A865" s="38" t="s">
        <v>367</v>
      </c>
      <c r="B865" s="39">
        <v>-6.8899999999999999E-7</v>
      </c>
      <c r="C865" s="38" t="s">
        <v>33</v>
      </c>
      <c r="D865" s="38" t="s">
        <v>131</v>
      </c>
      <c r="E865" s="38"/>
      <c r="F865" s="38" t="s">
        <v>21</v>
      </c>
      <c r="G865" s="38"/>
      <c r="H865" s="38"/>
      <c r="I865" s="38"/>
      <c r="J865" s="38" t="s">
        <v>368</v>
      </c>
    </row>
    <row r="866" spans="1:10" x14ac:dyDescent="0.35">
      <c r="A866" s="38"/>
      <c r="B866" s="39"/>
      <c r="C866" s="38"/>
      <c r="D866" s="38"/>
      <c r="E866" s="38"/>
      <c r="F866" s="38"/>
      <c r="G866" s="38"/>
      <c r="H866" s="38"/>
      <c r="I866" s="38"/>
      <c r="J866" s="38"/>
    </row>
    <row r="867" spans="1:10" ht="15.5" x14ac:dyDescent="0.35">
      <c r="A867" s="1" t="s">
        <v>1</v>
      </c>
      <c r="B867" s="1" t="s">
        <v>533</v>
      </c>
    </row>
    <row r="868" spans="1:10" x14ac:dyDescent="0.35">
      <c r="A868" t="s">
        <v>2</v>
      </c>
      <c r="B868" t="s">
        <v>3</v>
      </c>
    </row>
    <row r="869" spans="1:10" x14ac:dyDescent="0.35">
      <c r="A869" t="s">
        <v>4</v>
      </c>
      <c r="B869">
        <v>1</v>
      </c>
    </row>
    <row r="870" spans="1:10" ht="15.5" x14ac:dyDescent="0.35">
      <c r="A870" t="s">
        <v>5</v>
      </c>
      <c r="B870" s="2" t="s">
        <v>350</v>
      </c>
    </row>
    <row r="871" spans="1:10" x14ac:dyDescent="0.35">
      <c r="A871" t="s">
        <v>6</v>
      </c>
      <c r="B871" t="s">
        <v>7</v>
      </c>
    </row>
    <row r="872" spans="1:10" x14ac:dyDescent="0.35">
      <c r="A872" t="s">
        <v>8</v>
      </c>
      <c r="B872" t="s">
        <v>9</v>
      </c>
    </row>
    <row r="873" spans="1:10" x14ac:dyDescent="0.35">
      <c r="A873" t="s">
        <v>10</v>
      </c>
      <c r="B873" t="s">
        <v>406</v>
      </c>
    </row>
    <row r="874" spans="1:10" x14ac:dyDescent="0.35">
      <c r="A874" t="s">
        <v>12</v>
      </c>
      <c r="B874" t="s">
        <v>525</v>
      </c>
    </row>
    <row r="875" spans="1:10" ht="15.5" x14ac:dyDescent="0.35">
      <c r="A875" s="1" t="s">
        <v>13</v>
      </c>
    </row>
    <row r="876" spans="1:10" x14ac:dyDescent="0.35">
      <c r="A876" t="s">
        <v>14</v>
      </c>
      <c r="B876" t="s">
        <v>15</v>
      </c>
      <c r="C876" t="s">
        <v>2</v>
      </c>
      <c r="D876" t="s">
        <v>8</v>
      </c>
      <c r="E876" t="s">
        <v>16</v>
      </c>
      <c r="F876" t="s">
        <v>6</v>
      </c>
      <c r="G876" t="s">
        <v>351</v>
      </c>
      <c r="H876" t="s">
        <v>352</v>
      </c>
      <c r="I876" t="s">
        <v>12</v>
      </c>
      <c r="J876" t="s">
        <v>5</v>
      </c>
    </row>
    <row r="877" spans="1:10" x14ac:dyDescent="0.35">
      <c r="A877" s="38" t="s">
        <v>533</v>
      </c>
      <c r="B877" s="38">
        <v>1</v>
      </c>
      <c r="C877" t="s">
        <v>3</v>
      </c>
      <c r="D877" s="38" t="s">
        <v>9</v>
      </c>
      <c r="E877" s="38"/>
      <c r="F877" s="38" t="s">
        <v>18</v>
      </c>
      <c r="G877" s="38"/>
      <c r="H877" s="38"/>
      <c r="I877" s="38" t="s">
        <v>19</v>
      </c>
      <c r="J877" s="38" t="s">
        <v>350</v>
      </c>
    </row>
    <row r="878" spans="1:10" ht="15.5" x14ac:dyDescent="0.35">
      <c r="A878" s="2" t="s">
        <v>532</v>
      </c>
      <c r="B878">
        <v>1.00057</v>
      </c>
      <c r="C878" t="s">
        <v>3</v>
      </c>
      <c r="D878" t="s">
        <v>9</v>
      </c>
      <c r="F878" s="38" t="s">
        <v>21</v>
      </c>
      <c r="G878" t="s">
        <v>19</v>
      </c>
      <c r="I878" s="38"/>
      <c r="J878" s="2" t="s">
        <v>417</v>
      </c>
    </row>
    <row r="879" spans="1:10" x14ac:dyDescent="0.35">
      <c r="A879" s="38" t="s">
        <v>30</v>
      </c>
      <c r="B879" s="38">
        <v>6.7000000000000002E-3</v>
      </c>
      <c r="C879" t="s">
        <v>3</v>
      </c>
      <c r="D879" s="38" t="s">
        <v>31</v>
      </c>
      <c r="E879" s="38"/>
      <c r="F879" s="38" t="s">
        <v>21</v>
      </c>
      <c r="G879" s="38"/>
      <c r="H879" s="38"/>
      <c r="I879" s="38"/>
      <c r="J879" s="38" t="s">
        <v>32</v>
      </c>
    </row>
    <row r="880" spans="1:10" x14ac:dyDescent="0.35">
      <c r="A880" s="38" t="s">
        <v>353</v>
      </c>
      <c r="B880" s="38">
        <v>-1.6799999999999999E-4</v>
      </c>
      <c r="C880" s="38" t="s">
        <v>33</v>
      </c>
      <c r="D880" s="38" t="s">
        <v>9</v>
      </c>
      <c r="E880" s="38"/>
      <c r="F880" s="38" t="s">
        <v>21</v>
      </c>
      <c r="G880" s="38"/>
      <c r="H880" s="38"/>
      <c r="I880" s="38"/>
      <c r="J880" s="38" t="s">
        <v>354</v>
      </c>
    </row>
    <row r="881" spans="1:10" x14ac:dyDescent="0.35">
      <c r="A881" s="38" t="s">
        <v>355</v>
      </c>
      <c r="B881" s="39">
        <v>5.8399999999999999E-4</v>
      </c>
      <c r="C881" s="38" t="s">
        <v>33</v>
      </c>
      <c r="D881" s="38" t="s">
        <v>20</v>
      </c>
      <c r="E881" s="38"/>
      <c r="F881" s="38" t="s">
        <v>21</v>
      </c>
      <c r="G881" s="38"/>
      <c r="H881" s="38"/>
      <c r="I881" s="38"/>
      <c r="J881" s="38" t="s">
        <v>356</v>
      </c>
    </row>
    <row r="882" spans="1:10" x14ac:dyDescent="0.35">
      <c r="A882" s="38" t="s">
        <v>357</v>
      </c>
      <c r="B882" s="39">
        <v>2.5999999999999998E-10</v>
      </c>
      <c r="C882" s="38" t="s">
        <v>33</v>
      </c>
      <c r="D882" s="38" t="s">
        <v>8</v>
      </c>
      <c r="E882" s="38"/>
      <c r="F882" s="38" t="s">
        <v>21</v>
      </c>
      <c r="G882" s="38"/>
      <c r="H882" s="38"/>
      <c r="I882" s="38"/>
      <c r="J882" s="38" t="s">
        <v>358</v>
      </c>
    </row>
    <row r="883" spans="1:10" x14ac:dyDescent="0.35">
      <c r="A883" s="38" t="s">
        <v>359</v>
      </c>
      <c r="B883" s="39">
        <v>-6.2700000000000001E-6</v>
      </c>
      <c r="C883" s="38" t="s">
        <v>33</v>
      </c>
      <c r="D883" s="38" t="s">
        <v>9</v>
      </c>
      <c r="E883" s="38"/>
      <c r="F883" s="38" t="s">
        <v>21</v>
      </c>
      <c r="G883" s="38"/>
      <c r="H883" s="38"/>
      <c r="I883" s="38"/>
      <c r="J883" s="38" t="s">
        <v>360</v>
      </c>
    </row>
    <row r="884" spans="1:10" x14ac:dyDescent="0.35">
      <c r="A884" s="38" t="s">
        <v>361</v>
      </c>
      <c r="B884" s="39">
        <v>-7.4999999999999993E-5</v>
      </c>
      <c r="C884" s="38" t="s">
        <v>33</v>
      </c>
      <c r="D884" s="38" t="s">
        <v>131</v>
      </c>
      <c r="E884" s="38"/>
      <c r="F884" s="38" t="s">
        <v>21</v>
      </c>
      <c r="G884" s="38"/>
      <c r="H884" s="38"/>
      <c r="I884" s="38"/>
      <c r="J884" s="38" t="s">
        <v>362</v>
      </c>
    </row>
    <row r="885" spans="1:10" x14ac:dyDescent="0.35">
      <c r="A885" s="38" t="s">
        <v>363</v>
      </c>
      <c r="B885" s="39">
        <v>6.8900000000000005E-4</v>
      </c>
      <c r="C885" s="38" t="s">
        <v>33</v>
      </c>
      <c r="D885" s="38" t="s">
        <v>9</v>
      </c>
      <c r="E885" s="38"/>
      <c r="F885" s="38" t="s">
        <v>21</v>
      </c>
      <c r="G885" s="38"/>
      <c r="H885" s="38"/>
      <c r="I885" s="38"/>
      <c r="J885" s="38" t="s">
        <v>364</v>
      </c>
    </row>
    <row r="886" spans="1:10" x14ac:dyDescent="0.35">
      <c r="A886" s="38" t="s">
        <v>108</v>
      </c>
      <c r="B886" s="38">
        <v>3.3599999999999998E-2</v>
      </c>
      <c r="C886" s="38" t="s">
        <v>33</v>
      </c>
      <c r="D886" s="38" t="s">
        <v>45</v>
      </c>
      <c r="E886" s="38"/>
      <c r="F886" s="38" t="s">
        <v>21</v>
      </c>
      <c r="G886" s="38"/>
      <c r="H886" s="38"/>
      <c r="I886" s="38"/>
      <c r="J886" s="38" t="s">
        <v>111</v>
      </c>
    </row>
    <row r="887" spans="1:10" x14ac:dyDescent="0.35">
      <c r="A887" s="38" t="s">
        <v>365</v>
      </c>
      <c r="B887" s="38">
        <v>3.2599999999999997E-2</v>
      </c>
      <c r="C887" s="38" t="s">
        <v>33</v>
      </c>
      <c r="D887" s="38" t="s">
        <v>45</v>
      </c>
      <c r="E887" s="38"/>
      <c r="F887" s="38" t="s">
        <v>21</v>
      </c>
      <c r="G887" s="38"/>
      <c r="H887" s="38"/>
      <c r="I887" s="38"/>
      <c r="J887" s="38" t="s">
        <v>366</v>
      </c>
    </row>
    <row r="888" spans="1:10" x14ac:dyDescent="0.35">
      <c r="A888" s="38" t="s">
        <v>367</v>
      </c>
      <c r="B888" s="39">
        <v>-6.8899999999999999E-7</v>
      </c>
      <c r="C888" s="38" t="s">
        <v>33</v>
      </c>
      <c r="D888" s="38" t="s">
        <v>131</v>
      </c>
      <c r="E888" s="38"/>
      <c r="F888" s="38" t="s">
        <v>21</v>
      </c>
      <c r="G888" s="38"/>
      <c r="H888" s="38"/>
      <c r="I888" s="38"/>
      <c r="J888" s="38" t="s">
        <v>368</v>
      </c>
    </row>
    <row r="889" spans="1:10" x14ac:dyDescent="0.35">
      <c r="A889" s="38"/>
      <c r="B889" s="39"/>
      <c r="C889" s="38"/>
      <c r="D889" s="38"/>
      <c r="E889" s="38"/>
      <c r="F889" s="38"/>
      <c r="G889" s="38"/>
      <c r="H889" s="38"/>
      <c r="I889" s="38"/>
      <c r="J889" s="38"/>
    </row>
    <row r="890" spans="1:10" ht="15.5" x14ac:dyDescent="0.35">
      <c r="A890" s="1" t="s">
        <v>1</v>
      </c>
      <c r="B890" s="1" t="s">
        <v>71</v>
      </c>
    </row>
    <row r="891" spans="1:10" x14ac:dyDescent="0.35">
      <c r="A891" t="s">
        <v>2</v>
      </c>
      <c r="B891" t="s">
        <v>3</v>
      </c>
    </row>
    <row r="892" spans="1:10" x14ac:dyDescent="0.35">
      <c r="A892" t="s">
        <v>4</v>
      </c>
      <c r="B892">
        <v>1</v>
      </c>
    </row>
    <row r="893" spans="1:10" ht="15.5" x14ac:dyDescent="0.35">
      <c r="A893" t="s">
        <v>5</v>
      </c>
      <c r="B893" s="2" t="s">
        <v>72</v>
      </c>
    </row>
    <row r="894" spans="1:10" x14ac:dyDescent="0.35">
      <c r="A894" t="s">
        <v>6</v>
      </c>
      <c r="B894" t="s">
        <v>7</v>
      </c>
    </row>
    <row r="895" spans="1:10" x14ac:dyDescent="0.35">
      <c r="A895" t="s">
        <v>8</v>
      </c>
      <c r="B895" t="s">
        <v>9</v>
      </c>
    </row>
    <row r="896" spans="1:10" x14ac:dyDescent="0.35">
      <c r="A896" t="s">
        <v>10</v>
      </c>
      <c r="B896" t="s">
        <v>11</v>
      </c>
    </row>
    <row r="897" spans="1:8" x14ac:dyDescent="0.35">
      <c r="A897" t="s">
        <v>28</v>
      </c>
      <c r="B897" t="s">
        <v>29</v>
      </c>
    </row>
    <row r="898" spans="1:8" ht="15.5" x14ac:dyDescent="0.35">
      <c r="A898" s="1" t="s">
        <v>13</v>
      </c>
    </row>
    <row r="899" spans="1:8" x14ac:dyDescent="0.35">
      <c r="A899" t="s">
        <v>14</v>
      </c>
      <c r="B899" t="s">
        <v>15</v>
      </c>
      <c r="C899" t="s">
        <v>2</v>
      </c>
      <c r="D899" t="s">
        <v>8</v>
      </c>
      <c r="E899" t="s">
        <v>16</v>
      </c>
      <c r="F899" t="s">
        <v>6</v>
      </c>
      <c r="G899" t="s">
        <v>12</v>
      </c>
      <c r="H899" t="s">
        <v>5</v>
      </c>
    </row>
    <row r="900" spans="1:8" ht="15.5" x14ac:dyDescent="0.35">
      <c r="A900" s="2" t="s">
        <v>71</v>
      </c>
      <c r="B900">
        <v>1</v>
      </c>
      <c r="C900" t="s">
        <v>3</v>
      </c>
      <c r="D900" t="s">
        <v>9</v>
      </c>
      <c r="F900" t="s">
        <v>18</v>
      </c>
      <c r="G900" t="s">
        <v>19</v>
      </c>
      <c r="H900" s="2" t="s">
        <v>72</v>
      </c>
    </row>
    <row r="901" spans="1:8" x14ac:dyDescent="0.35">
      <c r="A901" t="s">
        <v>23</v>
      </c>
      <c r="B901" s="6">
        <f>223592*Allocation!$B$3/1000</f>
        <v>0.23590205879279999</v>
      </c>
      <c r="C901" t="s">
        <v>27</v>
      </c>
      <c r="D901" t="s">
        <v>20</v>
      </c>
      <c r="F901" t="s">
        <v>21</v>
      </c>
      <c r="G901" t="s">
        <v>64</v>
      </c>
      <c r="H901" t="s">
        <v>24</v>
      </c>
    </row>
    <row r="902" spans="1:8" x14ac:dyDescent="0.35">
      <c r="A902" t="s">
        <v>43</v>
      </c>
      <c r="B902" s="6">
        <f>53*Allocation!$B$7/1000</f>
        <v>8.5330000000000003E-2</v>
      </c>
      <c r="C902" t="s">
        <v>33</v>
      </c>
      <c r="D902" t="s">
        <v>45</v>
      </c>
      <c r="F902" t="s">
        <v>21</v>
      </c>
      <c r="G902" t="s">
        <v>76</v>
      </c>
      <c r="H902" t="s">
        <v>44</v>
      </c>
    </row>
    <row r="903" spans="1:8" x14ac:dyDescent="0.35">
      <c r="A903" t="s">
        <v>46</v>
      </c>
      <c r="B903" s="6">
        <f>3.183/1000</f>
        <v>3.1829999999999996E-3</v>
      </c>
      <c r="C903" t="s">
        <v>3</v>
      </c>
      <c r="D903" t="s">
        <v>9</v>
      </c>
      <c r="F903" t="s">
        <v>21</v>
      </c>
      <c r="H903" t="s">
        <v>47</v>
      </c>
    </row>
    <row r="904" spans="1:8" x14ac:dyDescent="0.35">
      <c r="A904" t="s">
        <v>48</v>
      </c>
      <c r="B904" s="6">
        <f>2.273/1000</f>
        <v>2.2730000000000003E-3</v>
      </c>
      <c r="C904" t="s">
        <v>3</v>
      </c>
      <c r="D904" t="s">
        <v>9</v>
      </c>
      <c r="F904" t="s">
        <v>21</v>
      </c>
      <c r="H904" t="s">
        <v>49</v>
      </c>
    </row>
    <row r="905" spans="1:8" x14ac:dyDescent="0.35">
      <c r="A905" t="s">
        <v>50</v>
      </c>
      <c r="B905" s="6">
        <f>13.641/1000</f>
        <v>1.3641E-2</v>
      </c>
      <c r="C905" t="s">
        <v>3</v>
      </c>
      <c r="D905" t="s">
        <v>9</v>
      </c>
      <c r="F905" t="s">
        <v>21</v>
      </c>
      <c r="H905" t="s">
        <v>51</v>
      </c>
    </row>
    <row r="906" spans="1:8" x14ac:dyDescent="0.35">
      <c r="A906" t="s">
        <v>58</v>
      </c>
      <c r="B906" s="6">
        <f>0.744/1000*Allocation!$B$6</f>
        <v>3.3747839999999997E-4</v>
      </c>
      <c r="C906" t="s">
        <v>27</v>
      </c>
      <c r="D906" t="s">
        <v>9</v>
      </c>
      <c r="F906" t="s">
        <v>21</v>
      </c>
      <c r="G906" t="s">
        <v>60</v>
      </c>
      <c r="H906" t="s">
        <v>59</v>
      </c>
    </row>
    <row r="907" spans="1:8" x14ac:dyDescent="0.35">
      <c r="A907" t="s">
        <v>120</v>
      </c>
      <c r="B907" s="6">
        <f>0.4682*(44/12)*1</f>
        <v>1.7167333333333332</v>
      </c>
      <c r="D907" t="s">
        <v>9</v>
      </c>
      <c r="E907" t="s">
        <v>121</v>
      </c>
      <c r="F907" t="s">
        <v>38</v>
      </c>
      <c r="G907" s="9" t="s">
        <v>228</v>
      </c>
    </row>
    <row r="908" spans="1:8" x14ac:dyDescent="0.35">
      <c r="A908" t="s">
        <v>116</v>
      </c>
      <c r="B908" s="6">
        <v>15.68</v>
      </c>
      <c r="D908" t="s">
        <v>20</v>
      </c>
      <c r="E908" t="s">
        <v>122</v>
      </c>
      <c r="F908" t="s">
        <v>38</v>
      </c>
      <c r="G908" s="9" t="s">
        <v>228</v>
      </c>
    </row>
    <row r="910" spans="1:8" ht="15.5" x14ac:dyDescent="0.35">
      <c r="A910" s="1" t="s">
        <v>1</v>
      </c>
      <c r="B910" s="1" t="s">
        <v>428</v>
      </c>
    </row>
    <row r="911" spans="1:8" x14ac:dyDescent="0.35">
      <c r="A911" t="s">
        <v>2</v>
      </c>
      <c r="B911" t="s">
        <v>3</v>
      </c>
    </row>
    <row r="912" spans="1:8" x14ac:dyDescent="0.35">
      <c r="A912" t="s">
        <v>4</v>
      </c>
      <c r="B912">
        <v>1</v>
      </c>
    </row>
    <row r="913" spans="1:8" ht="15.5" x14ac:dyDescent="0.35">
      <c r="A913" t="s">
        <v>5</v>
      </c>
      <c r="B913" s="2" t="s">
        <v>429</v>
      </c>
    </row>
    <row r="914" spans="1:8" x14ac:dyDescent="0.35">
      <c r="A914" t="s">
        <v>6</v>
      </c>
      <c r="B914" t="s">
        <v>7</v>
      </c>
    </row>
    <row r="915" spans="1:8" x14ac:dyDescent="0.35">
      <c r="A915" t="s">
        <v>8</v>
      </c>
      <c r="B915" t="s">
        <v>9</v>
      </c>
    </row>
    <row r="916" spans="1:8" x14ac:dyDescent="0.35">
      <c r="A916" t="s">
        <v>10</v>
      </c>
      <c r="B916" t="s">
        <v>11</v>
      </c>
    </row>
    <row r="917" spans="1:8" x14ac:dyDescent="0.35">
      <c r="A917" t="s">
        <v>28</v>
      </c>
      <c r="B917" t="s">
        <v>241</v>
      </c>
    </row>
    <row r="918" spans="1:8" ht="15.5" x14ac:dyDescent="0.35">
      <c r="A918" s="1" t="s">
        <v>13</v>
      </c>
    </row>
    <row r="919" spans="1:8" x14ac:dyDescent="0.35">
      <c r="A919" t="s">
        <v>14</v>
      </c>
      <c r="B919" t="s">
        <v>15</v>
      </c>
      <c r="C919" t="s">
        <v>2</v>
      </c>
      <c r="D919" t="s">
        <v>8</v>
      </c>
      <c r="E919" t="s">
        <v>16</v>
      </c>
      <c r="F919" t="s">
        <v>6</v>
      </c>
      <c r="G919" t="s">
        <v>12</v>
      </c>
      <c r="H919" t="s">
        <v>5</v>
      </c>
    </row>
    <row r="920" spans="1:8" ht="15.5" x14ac:dyDescent="0.35">
      <c r="A920" s="2" t="s">
        <v>428</v>
      </c>
      <c r="B920">
        <v>1</v>
      </c>
      <c r="C920" t="s">
        <v>3</v>
      </c>
      <c r="D920" t="s">
        <v>9</v>
      </c>
      <c r="F920" t="s">
        <v>18</v>
      </c>
      <c r="G920" t="s">
        <v>19</v>
      </c>
      <c r="H920" s="2" t="s">
        <v>429</v>
      </c>
    </row>
    <row r="921" spans="1:8" ht="15.5" x14ac:dyDescent="0.35">
      <c r="A921" s="2" t="s">
        <v>71</v>
      </c>
      <c r="B921" s="6">
        <f>(1/((Allocation!$C$20*Allocation!$B$4*Allocation!$B$10)/1000))*Allocation!F32</f>
        <v>3.2444757981354098</v>
      </c>
      <c r="C921" t="s">
        <v>3</v>
      </c>
      <c r="D921" t="s">
        <v>9</v>
      </c>
      <c r="F921" t="s">
        <v>21</v>
      </c>
      <c r="G921" t="s">
        <v>19</v>
      </c>
      <c r="H921" s="2" t="s">
        <v>430</v>
      </c>
    </row>
    <row r="922" spans="1:8" ht="15.5" x14ac:dyDescent="0.35">
      <c r="A922" s="2" t="s">
        <v>232</v>
      </c>
      <c r="B922" s="4">
        <f>(180*Allocation!$B$3)/(Allocation!$B$4*Allocation!$B$10)*Allocation!F32</f>
        <v>5.2373480998418598E-2</v>
      </c>
      <c r="C922" t="s">
        <v>27</v>
      </c>
      <c r="D922" t="s">
        <v>20</v>
      </c>
      <c r="F922" t="s">
        <v>21</v>
      </c>
      <c r="H922" s="2" t="s">
        <v>233</v>
      </c>
    </row>
    <row r="923" spans="1:8" ht="15.5" x14ac:dyDescent="0.35">
      <c r="A923" s="2" t="s">
        <v>263</v>
      </c>
      <c r="B923" s="5">
        <f>((346.23/1000)/(Allocation!$B$4*Allocation!$B$10))*Allocation!$F$32</f>
        <v>9.5483462725015969E-2</v>
      </c>
      <c r="C923" t="s">
        <v>33</v>
      </c>
      <c r="D923" t="s">
        <v>9</v>
      </c>
      <c r="F923" t="s">
        <v>21</v>
      </c>
      <c r="H923" s="2" t="s">
        <v>264</v>
      </c>
    </row>
    <row r="924" spans="1:8" ht="15.5" x14ac:dyDescent="0.35">
      <c r="A924" s="2" t="s">
        <v>265</v>
      </c>
      <c r="B924" s="5">
        <f>((41.55/1000)/(Allocation!$B$4*Allocation!$B$10))*Allocation!$F$32</f>
        <v>1.1458677400064735E-2</v>
      </c>
      <c r="C924" t="s">
        <v>266</v>
      </c>
      <c r="D924" t="s">
        <v>9</v>
      </c>
      <c r="F924" t="s">
        <v>21</v>
      </c>
      <c r="H924" s="2" t="s">
        <v>267</v>
      </c>
    </row>
    <row r="925" spans="1:8" ht="15.5" x14ac:dyDescent="0.35">
      <c r="A925" s="2" t="s">
        <v>268</v>
      </c>
      <c r="B925" s="5">
        <f>((20.77/1000)/(Allocation!$B$4*Allocation!$B$10))*Allocation!$F$32</f>
        <v>5.7279597978181608E-3</v>
      </c>
      <c r="C925" t="s">
        <v>33</v>
      </c>
      <c r="D925" t="s">
        <v>9</v>
      </c>
      <c r="F925" t="s">
        <v>21</v>
      </c>
      <c r="H925" s="2" t="s">
        <v>427</v>
      </c>
    </row>
    <row r="926" spans="1:8" ht="15.5" x14ac:dyDescent="0.35">
      <c r="A926" s="2" t="s">
        <v>383</v>
      </c>
      <c r="B926" s="4">
        <f>((76.17/1000)/(Allocation!$B$4*Allocation!$B$10))*Allocation!$F$32</f>
        <v>2.1006196331237806E-2</v>
      </c>
      <c r="C926" t="s">
        <v>33</v>
      </c>
      <c r="D926" t="s">
        <v>9</v>
      </c>
      <c r="F926" t="s">
        <v>21</v>
      </c>
      <c r="G926" t="s">
        <v>400</v>
      </c>
      <c r="H926" s="2" t="s">
        <v>384</v>
      </c>
    </row>
    <row r="927" spans="1:8" ht="15.5" x14ac:dyDescent="0.35">
      <c r="A927" s="2" t="s">
        <v>328</v>
      </c>
      <c r="B927" s="4">
        <f>((106.73/1000)/(Allocation!$B$4*Allocation!$B$10))*Allocation!$F$32</f>
        <v>2.9434046664474352E-2</v>
      </c>
      <c r="C927" t="s">
        <v>33</v>
      </c>
      <c r="D927" t="s">
        <v>9</v>
      </c>
      <c r="F927" t="s">
        <v>21</v>
      </c>
      <c r="G927" t="s">
        <v>327</v>
      </c>
      <c r="H927" s="2" t="s">
        <v>329</v>
      </c>
    </row>
    <row r="928" spans="1:8" ht="15.5" x14ac:dyDescent="0.35">
      <c r="A928" s="2" t="s">
        <v>397</v>
      </c>
      <c r="B928" s="4">
        <f>((26.58/1000)/(Allocation!$B$4*Allocation!$B$10))*Allocation!$F$32</f>
        <v>7.3302441707273321E-3</v>
      </c>
      <c r="C928" t="s">
        <v>27</v>
      </c>
      <c r="D928" t="s">
        <v>9</v>
      </c>
      <c r="F928" t="s">
        <v>21</v>
      </c>
      <c r="G928" t="s">
        <v>399</v>
      </c>
      <c r="H928" s="2" t="s">
        <v>398</v>
      </c>
    </row>
    <row r="929" spans="1:8" ht="15.5" x14ac:dyDescent="0.35">
      <c r="A929" s="2" t="s">
        <v>401</v>
      </c>
      <c r="B929" s="4">
        <f>((117.72/1000)/(Allocation!$B$4*Allocation!$B$10))*Allocation!$F$32</f>
        <v>3.2464873731302545E-2</v>
      </c>
      <c r="C929" t="s">
        <v>27</v>
      </c>
      <c r="D929" t="s">
        <v>9</v>
      </c>
      <c r="F929" t="s">
        <v>21</v>
      </c>
      <c r="G929" t="s">
        <v>403</v>
      </c>
      <c r="H929" s="2" t="s">
        <v>402</v>
      </c>
    </row>
    <row r="930" spans="1:8" x14ac:dyDescent="0.35">
      <c r="A930" t="s">
        <v>201</v>
      </c>
      <c r="B930" s="6">
        <f>(B907*B921)-Allocation!$B$13</f>
        <v>3.6558997518523286</v>
      </c>
      <c r="D930" t="s">
        <v>9</v>
      </c>
      <c r="E930" t="s">
        <v>39</v>
      </c>
      <c r="F930" t="s">
        <v>38</v>
      </c>
      <c r="G930" t="s">
        <v>441</v>
      </c>
    </row>
    <row r="931" spans="1:8" x14ac:dyDescent="0.35">
      <c r="A931" t="s">
        <v>319</v>
      </c>
      <c r="B931" s="7">
        <f>1/(90000000*20)</f>
        <v>5.5555555555555553E-10</v>
      </c>
      <c r="C931" t="s">
        <v>27</v>
      </c>
      <c r="D931" t="s">
        <v>8</v>
      </c>
      <c r="F931" t="s">
        <v>21</v>
      </c>
      <c r="G931" t="s">
        <v>321</v>
      </c>
      <c r="H931" t="s">
        <v>320</v>
      </c>
    </row>
    <row r="932" spans="1:8" ht="15.5" x14ac:dyDescent="0.35">
      <c r="A932" s="2"/>
      <c r="H932" s="2"/>
    </row>
    <row r="933" spans="1:8" ht="15.5" x14ac:dyDescent="0.35">
      <c r="A933" s="1" t="s">
        <v>1</v>
      </c>
      <c r="B933" s="1" t="s">
        <v>431</v>
      </c>
    </row>
    <row r="934" spans="1:8" x14ac:dyDescent="0.35">
      <c r="A934" t="s">
        <v>2</v>
      </c>
      <c r="B934" t="s">
        <v>3</v>
      </c>
    </row>
    <row r="935" spans="1:8" x14ac:dyDescent="0.35">
      <c r="A935" t="s">
        <v>4</v>
      </c>
      <c r="B935">
        <v>1</v>
      </c>
    </row>
    <row r="936" spans="1:8" ht="15.5" x14ac:dyDescent="0.35">
      <c r="A936" t="s">
        <v>5</v>
      </c>
      <c r="B936" s="2" t="s">
        <v>429</v>
      </c>
    </row>
    <row r="937" spans="1:8" x14ac:dyDescent="0.35">
      <c r="A937" t="s">
        <v>6</v>
      </c>
      <c r="B937" t="s">
        <v>7</v>
      </c>
    </row>
    <row r="938" spans="1:8" x14ac:dyDescent="0.35">
      <c r="A938" t="s">
        <v>8</v>
      </c>
      <c r="B938" t="s">
        <v>9</v>
      </c>
    </row>
    <row r="939" spans="1:8" x14ac:dyDescent="0.35">
      <c r="A939" t="s">
        <v>10</v>
      </c>
      <c r="B939" t="s">
        <v>11</v>
      </c>
    </row>
    <row r="940" spans="1:8" x14ac:dyDescent="0.35">
      <c r="A940" t="s">
        <v>28</v>
      </c>
      <c r="B940" t="s">
        <v>386</v>
      </c>
    </row>
    <row r="941" spans="1:8" ht="15.5" x14ac:dyDescent="0.35">
      <c r="A941" s="1" t="s">
        <v>13</v>
      </c>
    </row>
    <row r="942" spans="1:8" x14ac:dyDescent="0.35">
      <c r="A942" t="s">
        <v>14</v>
      </c>
      <c r="B942" t="s">
        <v>15</v>
      </c>
      <c r="C942" t="s">
        <v>2</v>
      </c>
      <c r="D942" t="s">
        <v>8</v>
      </c>
      <c r="E942" t="s">
        <v>16</v>
      </c>
      <c r="F942" t="s">
        <v>6</v>
      </c>
      <c r="G942" t="s">
        <v>12</v>
      </c>
      <c r="H942" t="s">
        <v>5</v>
      </c>
    </row>
    <row r="943" spans="1:8" ht="15.5" x14ac:dyDescent="0.35">
      <c r="A943" s="2" t="s">
        <v>431</v>
      </c>
      <c r="B943">
        <v>1</v>
      </c>
      <c r="C943" t="s">
        <v>3</v>
      </c>
      <c r="D943" t="s">
        <v>9</v>
      </c>
      <c r="F943" t="s">
        <v>18</v>
      </c>
      <c r="G943" t="s">
        <v>19</v>
      </c>
      <c r="H943" s="2" t="s">
        <v>429</v>
      </c>
    </row>
    <row r="944" spans="1:8" ht="15.5" x14ac:dyDescent="0.35">
      <c r="A944" s="2" t="s">
        <v>71</v>
      </c>
      <c r="B944" s="6">
        <f>(1/((Allocation!$C$20*Allocation!$B$4*Allocation!$B$10)/1000))*Allocation!G32</f>
        <v>3.5882226085354634</v>
      </c>
      <c r="C944" t="s">
        <v>3</v>
      </c>
      <c r="D944" t="s">
        <v>9</v>
      </c>
      <c r="F944" t="s">
        <v>21</v>
      </c>
      <c r="G944" t="s">
        <v>19</v>
      </c>
      <c r="H944" s="2" t="s">
        <v>430</v>
      </c>
    </row>
    <row r="945" spans="1:8" ht="15.5" x14ac:dyDescent="0.35">
      <c r="A945" s="2" t="s">
        <v>232</v>
      </c>
      <c r="B945" s="4">
        <f>(180*Allocation!$B$3)/(Allocation!$B$4*Allocation!$B$10)*Allocation!G32</f>
        <v>5.7922364134825585E-2</v>
      </c>
      <c r="C945" t="s">
        <v>27</v>
      </c>
      <c r="D945" t="s">
        <v>20</v>
      </c>
      <c r="F945" t="s">
        <v>21</v>
      </c>
      <c r="H945" s="2" t="s">
        <v>233</v>
      </c>
    </row>
    <row r="946" spans="1:8" ht="15.5" x14ac:dyDescent="0.35">
      <c r="A946" s="2" t="s">
        <v>263</v>
      </c>
      <c r="B946" s="5">
        <f>((346.23/1000)/(Allocation!$B$4*Allocation!$B$10))*Allocation!$G$32</f>
        <v>0.10559977666902486</v>
      </c>
      <c r="C946" t="s">
        <v>33</v>
      </c>
      <c r="D946" t="s">
        <v>9</v>
      </c>
      <c r="F946" t="s">
        <v>21</v>
      </c>
      <c r="H946" s="2" t="s">
        <v>264</v>
      </c>
    </row>
    <row r="947" spans="1:8" ht="15.5" x14ac:dyDescent="0.35">
      <c r="A947" s="2" t="s">
        <v>265</v>
      </c>
      <c r="B947" s="5">
        <f>((41.55/1000)/(Allocation!$B$4*Allocation!$B$10))*Allocation!$G$32</f>
        <v>1.2672705197695122E-2</v>
      </c>
      <c r="C947" t="s">
        <v>266</v>
      </c>
      <c r="D947" t="s">
        <v>9</v>
      </c>
      <c r="F947" t="s">
        <v>21</v>
      </c>
      <c r="H947" s="2" t="s">
        <v>267</v>
      </c>
    </row>
    <row r="948" spans="1:8" ht="15.5" x14ac:dyDescent="0.35">
      <c r="A948" s="2" t="s">
        <v>268</v>
      </c>
      <c r="B948" s="5">
        <f>((20.77/1000)/(Allocation!$B$4*Allocation!$B$10))*Allocation!$G$32</f>
        <v>6.3348276042389344E-3</v>
      </c>
      <c r="C948" t="s">
        <v>33</v>
      </c>
      <c r="D948" t="s">
        <v>9</v>
      </c>
      <c r="F948" t="s">
        <v>21</v>
      </c>
      <c r="H948" s="2" t="s">
        <v>427</v>
      </c>
    </row>
    <row r="949" spans="1:8" ht="15.5" x14ac:dyDescent="0.35">
      <c r="A949" s="2" t="s">
        <v>383</v>
      </c>
      <c r="B949" s="4">
        <f>((76.17/1000)/(Allocation!$B$4*Allocation!$B$10))*Allocation!$G$32</f>
        <v>2.3231767867832431E-2</v>
      </c>
      <c r="C949" t="s">
        <v>33</v>
      </c>
      <c r="D949" t="s">
        <v>9</v>
      </c>
      <c r="F949" t="s">
        <v>21</v>
      </c>
      <c r="H949" s="2" t="s">
        <v>384</v>
      </c>
    </row>
    <row r="950" spans="1:8" ht="15.5" x14ac:dyDescent="0.35">
      <c r="A950" s="2" t="s">
        <v>328</v>
      </c>
      <c r="B950" s="4">
        <f>((106.73/1000)/(Allocation!$B$4*Allocation!$B$10))*Allocation!$G$32</f>
        <v>3.2552534915764153E-2</v>
      </c>
      <c r="C950" t="s">
        <v>33</v>
      </c>
      <c r="D950" t="s">
        <v>9</v>
      </c>
      <c r="F950" t="s">
        <v>21</v>
      </c>
      <c r="G950" t="s">
        <v>327</v>
      </c>
      <c r="H950" s="2" t="s">
        <v>329</v>
      </c>
    </row>
    <row r="951" spans="1:8" ht="15.5" x14ac:dyDescent="0.35">
      <c r="A951" s="2" t="s">
        <v>397</v>
      </c>
      <c r="B951" s="4">
        <f>((26.58/1000)/(Allocation!$B$4*Allocation!$B$10))*Allocation!$G$32</f>
        <v>8.1068713394641719E-3</v>
      </c>
      <c r="C951" t="s">
        <v>27</v>
      </c>
      <c r="D951" t="s">
        <v>9</v>
      </c>
      <c r="F951" t="s">
        <v>21</v>
      </c>
      <c r="G951" t="s">
        <v>399</v>
      </c>
      <c r="H951" s="2" t="s">
        <v>398</v>
      </c>
    </row>
    <row r="952" spans="1:8" ht="15.5" x14ac:dyDescent="0.35">
      <c r="A952" s="2" t="s">
        <v>401</v>
      </c>
      <c r="B952" s="4">
        <f>((117.72/1000)/(Allocation!$B$4*Allocation!$B$10))*Allocation!G$32</f>
        <v>3.5904473065527555E-2</v>
      </c>
      <c r="C952" t="s">
        <v>27</v>
      </c>
      <c r="D952" t="s">
        <v>9</v>
      </c>
      <c r="F952" t="s">
        <v>21</v>
      </c>
      <c r="G952" t="s">
        <v>403</v>
      </c>
      <c r="H952" s="2" t="s">
        <v>402</v>
      </c>
    </row>
    <row r="953" spans="1:8" x14ac:dyDescent="0.35">
      <c r="A953" t="s">
        <v>201</v>
      </c>
      <c r="B953" s="6">
        <f>(B907*B944)-Allocation!$B$13</f>
        <v>4.2460213594931142</v>
      </c>
      <c r="D953" t="s">
        <v>9</v>
      </c>
      <c r="E953" t="s">
        <v>39</v>
      </c>
      <c r="F953" t="s">
        <v>38</v>
      </c>
      <c r="G953" t="s">
        <v>441</v>
      </c>
    </row>
    <row r="954" spans="1:8" x14ac:dyDescent="0.35">
      <c r="A954" t="s">
        <v>319</v>
      </c>
      <c r="B954" s="7">
        <f>1/(90000000*20)</f>
        <v>5.5555555555555553E-10</v>
      </c>
      <c r="C954" t="s">
        <v>27</v>
      </c>
      <c r="D954" t="s">
        <v>8</v>
      </c>
      <c r="F954" t="s">
        <v>21</v>
      </c>
      <c r="G954" t="s">
        <v>321</v>
      </c>
      <c r="H954" t="s">
        <v>320</v>
      </c>
    </row>
    <row r="955" spans="1:8" ht="15.5" x14ac:dyDescent="0.35">
      <c r="A955" s="2"/>
      <c r="B955" s="4"/>
      <c r="H955" s="2"/>
    </row>
    <row r="956" spans="1:8" ht="15.5" x14ac:dyDescent="0.35">
      <c r="A956" s="1" t="s">
        <v>1</v>
      </c>
      <c r="B956" s="1" t="s">
        <v>534</v>
      </c>
    </row>
    <row r="957" spans="1:8" x14ac:dyDescent="0.35">
      <c r="A957" t="s">
        <v>2</v>
      </c>
      <c r="B957" t="s">
        <v>3</v>
      </c>
    </row>
    <row r="958" spans="1:8" x14ac:dyDescent="0.35">
      <c r="A958" t="s">
        <v>4</v>
      </c>
      <c r="B958">
        <v>1</v>
      </c>
    </row>
    <row r="959" spans="1:8" ht="15.5" x14ac:dyDescent="0.35">
      <c r="A959" t="s">
        <v>5</v>
      </c>
      <c r="B959" s="2" t="s">
        <v>429</v>
      </c>
    </row>
    <row r="960" spans="1:8" x14ac:dyDescent="0.35">
      <c r="A960" t="s">
        <v>6</v>
      </c>
      <c r="B960" t="s">
        <v>7</v>
      </c>
    </row>
    <row r="961" spans="1:8" x14ac:dyDescent="0.35">
      <c r="A961" t="s">
        <v>8</v>
      </c>
      <c r="B961" t="s">
        <v>9</v>
      </c>
    </row>
    <row r="962" spans="1:8" x14ac:dyDescent="0.35">
      <c r="A962" t="s">
        <v>10</v>
      </c>
      <c r="B962" t="s">
        <v>11</v>
      </c>
    </row>
    <row r="963" spans="1:8" x14ac:dyDescent="0.35">
      <c r="A963" t="s">
        <v>28</v>
      </c>
      <c r="B963" t="s">
        <v>522</v>
      </c>
    </row>
    <row r="964" spans="1:8" ht="15.5" x14ac:dyDescent="0.35">
      <c r="A964" s="1" t="s">
        <v>13</v>
      </c>
    </row>
    <row r="965" spans="1:8" x14ac:dyDescent="0.35">
      <c r="A965" t="s">
        <v>14</v>
      </c>
      <c r="B965" t="s">
        <v>15</v>
      </c>
      <c r="C965" t="s">
        <v>2</v>
      </c>
      <c r="D965" t="s">
        <v>8</v>
      </c>
      <c r="E965" t="s">
        <v>16</v>
      </c>
      <c r="F965" t="s">
        <v>6</v>
      </c>
      <c r="G965" t="s">
        <v>12</v>
      </c>
      <c r="H965" t="s">
        <v>5</v>
      </c>
    </row>
    <row r="966" spans="1:8" ht="15.5" x14ac:dyDescent="0.35">
      <c r="A966" s="2" t="s">
        <v>534</v>
      </c>
      <c r="B966">
        <v>1</v>
      </c>
      <c r="C966" t="s">
        <v>3</v>
      </c>
      <c r="D966" t="s">
        <v>9</v>
      </c>
      <c r="F966" t="s">
        <v>18</v>
      </c>
      <c r="G966" t="s">
        <v>19</v>
      </c>
      <c r="H966" s="2" t="s">
        <v>429</v>
      </c>
    </row>
    <row r="967" spans="1:8" ht="15.5" x14ac:dyDescent="0.35">
      <c r="A967" s="2" t="s">
        <v>71</v>
      </c>
      <c r="B967" s="6">
        <f>(1/((Allocation!$C$20*Allocation!$B$4*Allocation!$B$10)/1000))</f>
        <v>3.9394735346660368</v>
      </c>
      <c r="C967" t="s">
        <v>3</v>
      </c>
      <c r="D967" t="s">
        <v>9</v>
      </c>
      <c r="F967" t="s">
        <v>21</v>
      </c>
      <c r="G967" t="s">
        <v>19</v>
      </c>
      <c r="H967" s="2" t="s">
        <v>430</v>
      </c>
    </row>
    <row r="968" spans="1:8" ht="15.5" x14ac:dyDescent="0.35">
      <c r="A968" s="2" t="s">
        <v>232</v>
      </c>
      <c r="B968" s="4">
        <f>(180*Allocation!$B$3)/(Allocation!$B$4*Allocation!$B$10)</f>
        <v>6.3592381373341833E-2</v>
      </c>
      <c r="C968" t="s">
        <v>27</v>
      </c>
      <c r="D968" t="s">
        <v>20</v>
      </c>
      <c r="F968" t="s">
        <v>21</v>
      </c>
      <c r="H968" s="2" t="s">
        <v>233</v>
      </c>
    </row>
    <row r="969" spans="1:8" ht="15.5" x14ac:dyDescent="0.35">
      <c r="A969" s="2" t="s">
        <v>263</v>
      </c>
      <c r="B969" s="5">
        <f>((346.23/1000)/(Allocation!$B$4*Allocation!$B$10))</f>
        <v>0.11593693336213089</v>
      </c>
      <c r="C969" t="s">
        <v>33</v>
      </c>
      <c r="D969" t="s">
        <v>9</v>
      </c>
      <c r="F969" t="s">
        <v>21</v>
      </c>
      <c r="H969" s="2" t="s">
        <v>264</v>
      </c>
    </row>
    <row r="970" spans="1:8" ht="15.5" x14ac:dyDescent="0.35">
      <c r="A970" s="2" t="s">
        <v>265</v>
      </c>
      <c r="B970" s="5">
        <f>((41.55/1000)/(Allocation!$B$4*Allocation!$B$10))</f>
        <v>1.3913235656056776E-2</v>
      </c>
      <c r="C970" t="s">
        <v>266</v>
      </c>
      <c r="D970" t="s">
        <v>9</v>
      </c>
      <c r="F970" t="s">
        <v>21</v>
      </c>
      <c r="H970" s="2" t="s">
        <v>267</v>
      </c>
    </row>
    <row r="971" spans="1:8" ht="15.5" x14ac:dyDescent="0.35">
      <c r="A971" s="2" t="s">
        <v>268</v>
      </c>
      <c r="B971" s="5">
        <f>((20.77/1000)/(Allocation!$B$4*Allocation!$B$10))</f>
        <v>6.9549435517761559E-3</v>
      </c>
      <c r="C971" t="s">
        <v>33</v>
      </c>
      <c r="D971" t="s">
        <v>9</v>
      </c>
      <c r="F971" t="s">
        <v>21</v>
      </c>
      <c r="H971" s="2" t="s">
        <v>427</v>
      </c>
    </row>
    <row r="972" spans="1:8" ht="15.5" x14ac:dyDescent="0.35">
      <c r="A972" s="2" t="s">
        <v>383</v>
      </c>
      <c r="B972" s="4">
        <f>((76.17/1000)/(Allocation!$B$4*Allocation!$B$10))</f>
        <v>2.5505924426518525E-2</v>
      </c>
      <c r="C972" t="s">
        <v>33</v>
      </c>
      <c r="D972" t="s">
        <v>9</v>
      </c>
      <c r="F972" t="s">
        <v>21</v>
      </c>
      <c r="H972" s="2" t="s">
        <v>384</v>
      </c>
    </row>
    <row r="973" spans="1:8" ht="15.5" x14ac:dyDescent="0.35">
      <c r="A973" s="2" t="s">
        <v>328</v>
      </c>
      <c r="B973" s="4">
        <f>((106.73/1000)/(Allocation!$B$4*Allocation!$B$10))</f>
        <v>3.5739100880167025E-2</v>
      </c>
      <c r="C973" t="s">
        <v>33</v>
      </c>
      <c r="D973" t="s">
        <v>9</v>
      </c>
      <c r="F973" t="s">
        <v>21</v>
      </c>
      <c r="G973" t="s">
        <v>327</v>
      </c>
      <c r="H973" s="2" t="s">
        <v>329</v>
      </c>
    </row>
    <row r="974" spans="1:8" ht="15.5" x14ac:dyDescent="0.35">
      <c r="A974" s="2" t="s">
        <v>397</v>
      </c>
      <c r="B974" s="4">
        <f>((26.58/1000)/(Allocation!$B$4*Allocation!$B$10))</f>
        <v>8.9004525568709778E-3</v>
      </c>
      <c r="C974" t="s">
        <v>27</v>
      </c>
      <c r="D974" t="s">
        <v>9</v>
      </c>
      <c r="F974" t="s">
        <v>21</v>
      </c>
      <c r="G974" t="s">
        <v>399</v>
      </c>
      <c r="H974" s="2" t="s">
        <v>398</v>
      </c>
    </row>
    <row r="975" spans="1:8" ht="15.5" x14ac:dyDescent="0.35">
      <c r="A975" s="2" t="s">
        <v>401</v>
      </c>
      <c r="B975" s="4">
        <f>((117.72/1000)/(Allocation!$B$4*Allocation!$B$10))</f>
        <v>3.9419160082575302E-2</v>
      </c>
      <c r="C975" t="s">
        <v>27</v>
      </c>
      <c r="D975" t="s">
        <v>9</v>
      </c>
      <c r="F975" t="s">
        <v>21</v>
      </c>
      <c r="G975" t="s">
        <v>403</v>
      </c>
      <c r="H975" s="2" t="s">
        <v>402</v>
      </c>
    </row>
    <row r="976" spans="1:8" x14ac:dyDescent="0.35">
      <c r="A976" t="s">
        <v>201</v>
      </c>
      <c r="B976" s="6">
        <f>(B907*B967)-Allocation!$B$13</f>
        <v>4.8490255327456744</v>
      </c>
      <c r="D976" t="s">
        <v>9</v>
      </c>
      <c r="E976" t="s">
        <v>39</v>
      </c>
      <c r="F976" t="s">
        <v>38</v>
      </c>
      <c r="G976" t="s">
        <v>441</v>
      </c>
    </row>
    <row r="977" spans="1:10" x14ac:dyDescent="0.35">
      <c r="A977" t="s">
        <v>319</v>
      </c>
      <c r="B977" s="7">
        <f>1/(90000000*20)</f>
        <v>5.5555555555555553E-10</v>
      </c>
      <c r="C977" t="s">
        <v>27</v>
      </c>
      <c r="D977" t="s">
        <v>8</v>
      </c>
      <c r="F977" t="s">
        <v>21</v>
      </c>
      <c r="G977" t="s">
        <v>321</v>
      </c>
      <c r="H977" t="s">
        <v>320</v>
      </c>
    </row>
    <row r="978" spans="1:10" x14ac:dyDescent="0.35">
      <c r="A978" s="38" t="s">
        <v>30</v>
      </c>
      <c r="B978" s="68">
        <f>Allocation!G19/Allocation!B4*Allocation!B10*-1</f>
        <v>-0.50274302587613584</v>
      </c>
      <c r="C978" t="s">
        <v>3</v>
      </c>
      <c r="D978" s="38" t="s">
        <v>31</v>
      </c>
      <c r="E978" s="38"/>
      <c r="F978" s="38" t="s">
        <v>21</v>
      </c>
      <c r="G978" s="38" t="s">
        <v>523</v>
      </c>
      <c r="H978" s="38" t="s">
        <v>32</v>
      </c>
      <c r="I978" s="38"/>
    </row>
    <row r="979" spans="1:10" ht="15.5" x14ac:dyDescent="0.35">
      <c r="A979" s="2"/>
      <c r="B979" s="4"/>
      <c r="H979" s="2"/>
    </row>
    <row r="980" spans="1:10" ht="15.5" x14ac:dyDescent="0.35">
      <c r="A980" s="1" t="s">
        <v>1</v>
      </c>
      <c r="B980" s="1" t="s">
        <v>432</v>
      </c>
    </row>
    <row r="981" spans="1:10" x14ac:dyDescent="0.35">
      <c r="A981" t="s">
        <v>2</v>
      </c>
      <c r="B981" t="s">
        <v>3</v>
      </c>
    </row>
    <row r="982" spans="1:10" x14ac:dyDescent="0.35">
      <c r="A982" t="s">
        <v>4</v>
      </c>
      <c r="B982">
        <v>1</v>
      </c>
    </row>
    <row r="983" spans="1:10" ht="15.5" x14ac:dyDescent="0.35">
      <c r="A983" t="s">
        <v>5</v>
      </c>
      <c r="B983" s="2" t="s">
        <v>350</v>
      </c>
    </row>
    <row r="984" spans="1:10" x14ac:dyDescent="0.35">
      <c r="A984" t="s">
        <v>6</v>
      </c>
      <c r="B984" t="s">
        <v>7</v>
      </c>
    </row>
    <row r="985" spans="1:10" x14ac:dyDescent="0.35">
      <c r="A985" t="s">
        <v>8</v>
      </c>
      <c r="B985" t="s">
        <v>9</v>
      </c>
    </row>
    <row r="986" spans="1:10" x14ac:dyDescent="0.35">
      <c r="A986" t="s">
        <v>10</v>
      </c>
      <c r="B986" t="s">
        <v>406</v>
      </c>
    </row>
    <row r="987" spans="1:10" x14ac:dyDescent="0.35">
      <c r="A987" t="s">
        <v>12</v>
      </c>
      <c r="B987" t="s">
        <v>375</v>
      </c>
    </row>
    <row r="988" spans="1:10" ht="15.5" x14ac:dyDescent="0.35">
      <c r="A988" s="1" t="s">
        <v>13</v>
      </c>
    </row>
    <row r="989" spans="1:10" x14ac:dyDescent="0.35">
      <c r="A989" t="s">
        <v>14</v>
      </c>
      <c r="B989" t="s">
        <v>15</v>
      </c>
      <c r="C989" t="s">
        <v>2</v>
      </c>
      <c r="D989" t="s">
        <v>8</v>
      </c>
      <c r="E989" t="s">
        <v>16</v>
      </c>
      <c r="F989" t="s">
        <v>6</v>
      </c>
      <c r="G989" t="s">
        <v>351</v>
      </c>
      <c r="H989" t="s">
        <v>352</v>
      </c>
      <c r="I989" t="s">
        <v>12</v>
      </c>
      <c r="J989" t="s">
        <v>5</v>
      </c>
    </row>
    <row r="990" spans="1:10" x14ac:dyDescent="0.35">
      <c r="A990" s="38" t="s">
        <v>432</v>
      </c>
      <c r="B990" s="38">
        <v>1</v>
      </c>
      <c r="C990" t="s">
        <v>3</v>
      </c>
      <c r="D990" s="38" t="s">
        <v>9</v>
      </c>
      <c r="E990" s="38"/>
      <c r="F990" s="38" t="s">
        <v>18</v>
      </c>
      <c r="G990" s="38"/>
      <c r="H990" s="38"/>
      <c r="I990" s="38" t="s">
        <v>19</v>
      </c>
      <c r="J990" s="38" t="s">
        <v>350</v>
      </c>
    </row>
    <row r="991" spans="1:10" ht="15.5" x14ac:dyDescent="0.35">
      <c r="A991" s="2" t="s">
        <v>428</v>
      </c>
      <c r="B991">
        <v>1.00057</v>
      </c>
      <c r="C991" t="s">
        <v>3</v>
      </c>
      <c r="D991" t="s">
        <v>9</v>
      </c>
      <c r="F991" s="38" t="s">
        <v>21</v>
      </c>
      <c r="G991" t="s">
        <v>19</v>
      </c>
      <c r="I991" s="38"/>
      <c r="J991" s="2" t="s">
        <v>429</v>
      </c>
    </row>
    <row r="992" spans="1:10" x14ac:dyDescent="0.35">
      <c r="A992" s="38" t="s">
        <v>30</v>
      </c>
      <c r="B992" s="38">
        <v>6.7000000000000002E-3</v>
      </c>
      <c r="C992" t="s">
        <v>3</v>
      </c>
      <c r="D992" s="38" t="s">
        <v>31</v>
      </c>
      <c r="E992" s="38"/>
      <c r="F992" s="38" t="s">
        <v>21</v>
      </c>
      <c r="G992" s="38"/>
      <c r="H992" s="38"/>
      <c r="I992" s="38"/>
      <c r="J992" s="38" t="s">
        <v>32</v>
      </c>
    </row>
    <row r="993" spans="1:10" x14ac:dyDescent="0.35">
      <c r="A993" s="38" t="s">
        <v>353</v>
      </c>
      <c r="B993" s="38">
        <v>-1.6799999999999999E-4</v>
      </c>
      <c r="C993" s="38" t="s">
        <v>33</v>
      </c>
      <c r="D993" s="38" t="s">
        <v>9</v>
      </c>
      <c r="E993" s="38"/>
      <c r="F993" s="38" t="s">
        <v>21</v>
      </c>
      <c r="G993" s="38"/>
      <c r="H993" s="38"/>
      <c r="I993" s="38"/>
      <c r="J993" s="38" t="s">
        <v>354</v>
      </c>
    </row>
    <row r="994" spans="1:10" x14ac:dyDescent="0.35">
      <c r="A994" s="38" t="s">
        <v>355</v>
      </c>
      <c r="B994" s="39">
        <v>5.8399999999999999E-4</v>
      </c>
      <c r="C994" s="38" t="s">
        <v>33</v>
      </c>
      <c r="D994" s="38" t="s">
        <v>20</v>
      </c>
      <c r="E994" s="38"/>
      <c r="F994" s="38" t="s">
        <v>21</v>
      </c>
      <c r="G994" s="38"/>
      <c r="H994" s="38"/>
      <c r="I994" s="38"/>
      <c r="J994" s="38" t="s">
        <v>356</v>
      </c>
    </row>
    <row r="995" spans="1:10" x14ac:dyDescent="0.35">
      <c r="A995" s="38" t="s">
        <v>357</v>
      </c>
      <c r="B995" s="39">
        <v>2.5999999999999998E-10</v>
      </c>
      <c r="C995" s="38" t="s">
        <v>33</v>
      </c>
      <c r="D995" s="38" t="s">
        <v>8</v>
      </c>
      <c r="E995" s="38"/>
      <c r="F995" s="38" t="s">
        <v>21</v>
      </c>
      <c r="G995" s="38"/>
      <c r="H995" s="38"/>
      <c r="I995" s="38"/>
      <c r="J995" s="38" t="s">
        <v>358</v>
      </c>
    </row>
    <row r="996" spans="1:10" x14ac:dyDescent="0.35">
      <c r="A996" s="38" t="s">
        <v>359</v>
      </c>
      <c r="B996" s="39">
        <v>-6.2700000000000001E-6</v>
      </c>
      <c r="C996" s="38" t="s">
        <v>33</v>
      </c>
      <c r="D996" s="38" t="s">
        <v>9</v>
      </c>
      <c r="E996" s="38"/>
      <c r="F996" s="38" t="s">
        <v>21</v>
      </c>
      <c r="G996" s="38"/>
      <c r="H996" s="38"/>
      <c r="I996" s="38"/>
      <c r="J996" s="38" t="s">
        <v>360</v>
      </c>
    </row>
    <row r="997" spans="1:10" x14ac:dyDescent="0.35">
      <c r="A997" s="38" t="s">
        <v>361</v>
      </c>
      <c r="B997" s="39">
        <v>-7.4999999999999993E-5</v>
      </c>
      <c r="C997" s="38" t="s">
        <v>33</v>
      </c>
      <c r="D997" s="38" t="s">
        <v>131</v>
      </c>
      <c r="E997" s="38"/>
      <c r="F997" s="38" t="s">
        <v>21</v>
      </c>
      <c r="G997" s="38"/>
      <c r="H997" s="38"/>
      <c r="I997" s="38"/>
      <c r="J997" s="38" t="s">
        <v>362</v>
      </c>
    </row>
    <row r="998" spans="1:10" x14ac:dyDescent="0.35">
      <c r="A998" s="38" t="s">
        <v>363</v>
      </c>
      <c r="B998" s="39">
        <v>6.8900000000000005E-4</v>
      </c>
      <c r="C998" s="38" t="s">
        <v>33</v>
      </c>
      <c r="D998" s="38" t="s">
        <v>9</v>
      </c>
      <c r="E998" s="38"/>
      <c r="F998" s="38" t="s">
        <v>21</v>
      </c>
      <c r="G998" s="38"/>
      <c r="H998" s="38"/>
      <c r="I998" s="38"/>
      <c r="J998" s="38" t="s">
        <v>364</v>
      </c>
    </row>
    <row r="999" spans="1:10" x14ac:dyDescent="0.35">
      <c r="A999" s="38" t="s">
        <v>108</v>
      </c>
      <c r="B999" s="38">
        <v>3.3599999999999998E-2</v>
      </c>
      <c r="C999" s="38" t="s">
        <v>33</v>
      </c>
      <c r="D999" s="38" t="s">
        <v>45</v>
      </c>
      <c r="E999" s="38"/>
      <c r="F999" s="38" t="s">
        <v>21</v>
      </c>
      <c r="G999" s="38"/>
      <c r="H999" s="38"/>
      <c r="I999" s="38"/>
      <c r="J999" s="38" t="s">
        <v>111</v>
      </c>
    </row>
    <row r="1000" spans="1:10" x14ac:dyDescent="0.35">
      <c r="A1000" s="38" t="s">
        <v>365</v>
      </c>
      <c r="B1000" s="38">
        <v>3.2599999999999997E-2</v>
      </c>
      <c r="C1000" s="38" t="s">
        <v>33</v>
      </c>
      <c r="D1000" s="38" t="s">
        <v>45</v>
      </c>
      <c r="E1000" s="38"/>
      <c r="F1000" s="38" t="s">
        <v>21</v>
      </c>
      <c r="G1000" s="38"/>
      <c r="H1000" s="38"/>
      <c r="I1000" s="38"/>
      <c r="J1000" s="38" t="s">
        <v>366</v>
      </c>
    </row>
    <row r="1001" spans="1:10" x14ac:dyDescent="0.35">
      <c r="A1001" s="38" t="s">
        <v>367</v>
      </c>
      <c r="B1001" s="39">
        <v>-6.8899999999999999E-7</v>
      </c>
      <c r="C1001" s="38" t="s">
        <v>33</v>
      </c>
      <c r="D1001" s="38" t="s">
        <v>131</v>
      </c>
      <c r="E1001" s="38"/>
      <c r="F1001" s="38" t="s">
        <v>21</v>
      </c>
      <c r="G1001" s="38"/>
      <c r="H1001" s="38"/>
      <c r="I1001" s="38"/>
      <c r="J1001" s="38" t="s">
        <v>368</v>
      </c>
    </row>
    <row r="1003" spans="1:10" ht="15.5" x14ac:dyDescent="0.35">
      <c r="A1003" s="1" t="s">
        <v>1</v>
      </c>
      <c r="B1003" s="1" t="s">
        <v>433</v>
      </c>
    </row>
    <row r="1004" spans="1:10" x14ac:dyDescent="0.35">
      <c r="A1004" t="s">
        <v>2</v>
      </c>
      <c r="B1004" t="s">
        <v>3</v>
      </c>
    </row>
    <row r="1005" spans="1:10" x14ac:dyDescent="0.35">
      <c r="A1005" t="s">
        <v>4</v>
      </c>
      <c r="B1005">
        <v>1</v>
      </c>
    </row>
    <row r="1006" spans="1:10" ht="15.5" x14ac:dyDescent="0.35">
      <c r="A1006" t="s">
        <v>5</v>
      </c>
      <c r="B1006" s="2" t="s">
        <v>350</v>
      </c>
    </row>
    <row r="1007" spans="1:10" x14ac:dyDescent="0.35">
      <c r="A1007" t="s">
        <v>6</v>
      </c>
      <c r="B1007" t="s">
        <v>7</v>
      </c>
    </row>
    <row r="1008" spans="1:10" x14ac:dyDescent="0.35">
      <c r="A1008" t="s">
        <v>8</v>
      </c>
      <c r="B1008" t="s">
        <v>9</v>
      </c>
    </row>
    <row r="1009" spans="1:10" x14ac:dyDescent="0.35">
      <c r="A1009" t="s">
        <v>10</v>
      </c>
      <c r="B1009" t="s">
        <v>406</v>
      </c>
    </row>
    <row r="1010" spans="1:10" x14ac:dyDescent="0.35">
      <c r="A1010" t="s">
        <v>12</v>
      </c>
      <c r="B1010" t="s">
        <v>374</v>
      </c>
    </row>
    <row r="1011" spans="1:10" ht="15.5" x14ac:dyDescent="0.35">
      <c r="A1011" s="1" t="s">
        <v>13</v>
      </c>
    </row>
    <row r="1012" spans="1:10" x14ac:dyDescent="0.35">
      <c r="A1012" t="s">
        <v>14</v>
      </c>
      <c r="B1012" t="s">
        <v>15</v>
      </c>
      <c r="C1012" t="s">
        <v>2</v>
      </c>
      <c r="D1012" t="s">
        <v>8</v>
      </c>
      <c r="E1012" t="s">
        <v>16</v>
      </c>
      <c r="F1012" t="s">
        <v>6</v>
      </c>
      <c r="G1012" t="s">
        <v>351</v>
      </c>
      <c r="H1012" t="s">
        <v>352</v>
      </c>
      <c r="I1012" t="s">
        <v>12</v>
      </c>
      <c r="J1012" t="s">
        <v>5</v>
      </c>
    </row>
    <row r="1013" spans="1:10" x14ac:dyDescent="0.35">
      <c r="A1013" s="38" t="s">
        <v>433</v>
      </c>
      <c r="B1013" s="38">
        <v>1</v>
      </c>
      <c r="C1013" t="s">
        <v>3</v>
      </c>
      <c r="D1013" s="38" t="s">
        <v>9</v>
      </c>
      <c r="E1013" s="38"/>
      <c r="F1013" s="38" t="s">
        <v>18</v>
      </c>
      <c r="G1013" s="38"/>
      <c r="H1013" s="38"/>
      <c r="I1013" s="38" t="s">
        <v>19</v>
      </c>
      <c r="J1013" s="38" t="s">
        <v>350</v>
      </c>
    </row>
    <row r="1014" spans="1:10" ht="15.5" x14ac:dyDescent="0.35">
      <c r="A1014" s="2" t="s">
        <v>431</v>
      </c>
      <c r="B1014">
        <v>1.00057</v>
      </c>
      <c r="C1014" t="s">
        <v>3</v>
      </c>
      <c r="D1014" t="s">
        <v>9</v>
      </c>
      <c r="F1014" s="38" t="s">
        <v>21</v>
      </c>
      <c r="G1014" t="s">
        <v>19</v>
      </c>
      <c r="I1014" s="38"/>
      <c r="J1014" s="2" t="s">
        <v>429</v>
      </c>
    </row>
    <row r="1015" spans="1:10" x14ac:dyDescent="0.35">
      <c r="A1015" s="38" t="s">
        <v>30</v>
      </c>
      <c r="B1015" s="38">
        <v>6.7000000000000002E-3</v>
      </c>
      <c r="C1015" t="s">
        <v>3</v>
      </c>
      <c r="D1015" s="38" t="s">
        <v>31</v>
      </c>
      <c r="E1015" s="38"/>
      <c r="F1015" s="38" t="s">
        <v>21</v>
      </c>
      <c r="G1015" s="38"/>
      <c r="H1015" s="38"/>
      <c r="I1015" s="38"/>
      <c r="J1015" s="38" t="s">
        <v>32</v>
      </c>
    </row>
    <row r="1016" spans="1:10" x14ac:dyDescent="0.35">
      <c r="A1016" s="38" t="s">
        <v>353</v>
      </c>
      <c r="B1016" s="38">
        <v>-1.6799999999999999E-4</v>
      </c>
      <c r="C1016" s="38" t="s">
        <v>33</v>
      </c>
      <c r="D1016" s="38" t="s">
        <v>9</v>
      </c>
      <c r="E1016" s="38"/>
      <c r="F1016" s="38" t="s">
        <v>21</v>
      </c>
      <c r="G1016" s="38"/>
      <c r="H1016" s="38"/>
      <c r="I1016" s="38"/>
      <c r="J1016" s="38" t="s">
        <v>354</v>
      </c>
    </row>
    <row r="1017" spans="1:10" x14ac:dyDescent="0.35">
      <c r="A1017" s="38" t="s">
        <v>355</v>
      </c>
      <c r="B1017" s="39">
        <v>5.8399999999999999E-4</v>
      </c>
      <c r="C1017" s="38" t="s">
        <v>33</v>
      </c>
      <c r="D1017" s="38" t="s">
        <v>20</v>
      </c>
      <c r="E1017" s="38"/>
      <c r="F1017" s="38" t="s">
        <v>21</v>
      </c>
      <c r="G1017" s="38"/>
      <c r="H1017" s="38"/>
      <c r="I1017" s="38"/>
      <c r="J1017" s="38" t="s">
        <v>356</v>
      </c>
    </row>
    <row r="1018" spans="1:10" x14ac:dyDescent="0.35">
      <c r="A1018" s="38" t="s">
        <v>357</v>
      </c>
      <c r="B1018" s="39">
        <v>2.5999999999999998E-10</v>
      </c>
      <c r="C1018" s="38" t="s">
        <v>33</v>
      </c>
      <c r="D1018" s="38" t="s">
        <v>8</v>
      </c>
      <c r="E1018" s="38"/>
      <c r="F1018" s="38" t="s">
        <v>21</v>
      </c>
      <c r="G1018" s="38"/>
      <c r="H1018" s="38"/>
      <c r="I1018" s="38"/>
      <c r="J1018" s="38" t="s">
        <v>358</v>
      </c>
    </row>
    <row r="1019" spans="1:10" x14ac:dyDescent="0.35">
      <c r="A1019" s="38" t="s">
        <v>359</v>
      </c>
      <c r="B1019" s="39">
        <v>-6.2700000000000001E-6</v>
      </c>
      <c r="C1019" s="38" t="s">
        <v>33</v>
      </c>
      <c r="D1019" s="38" t="s">
        <v>9</v>
      </c>
      <c r="E1019" s="38"/>
      <c r="F1019" s="38" t="s">
        <v>21</v>
      </c>
      <c r="G1019" s="38"/>
      <c r="H1019" s="38"/>
      <c r="I1019" s="38"/>
      <c r="J1019" s="38" t="s">
        <v>360</v>
      </c>
    </row>
    <row r="1020" spans="1:10" x14ac:dyDescent="0.35">
      <c r="A1020" s="38" t="s">
        <v>361</v>
      </c>
      <c r="B1020" s="39">
        <v>-7.4999999999999993E-5</v>
      </c>
      <c r="C1020" s="38" t="s">
        <v>33</v>
      </c>
      <c r="D1020" s="38" t="s">
        <v>131</v>
      </c>
      <c r="E1020" s="38"/>
      <c r="F1020" s="38" t="s">
        <v>21</v>
      </c>
      <c r="G1020" s="38"/>
      <c r="H1020" s="38"/>
      <c r="I1020" s="38"/>
      <c r="J1020" s="38" t="s">
        <v>362</v>
      </c>
    </row>
    <row r="1021" spans="1:10" x14ac:dyDescent="0.35">
      <c r="A1021" s="38" t="s">
        <v>363</v>
      </c>
      <c r="B1021" s="39">
        <v>6.8900000000000005E-4</v>
      </c>
      <c r="C1021" s="38" t="s">
        <v>33</v>
      </c>
      <c r="D1021" s="38" t="s">
        <v>9</v>
      </c>
      <c r="E1021" s="38"/>
      <c r="F1021" s="38" t="s">
        <v>21</v>
      </c>
      <c r="G1021" s="38"/>
      <c r="H1021" s="38"/>
      <c r="I1021" s="38"/>
      <c r="J1021" s="38" t="s">
        <v>364</v>
      </c>
    </row>
    <row r="1022" spans="1:10" x14ac:dyDescent="0.35">
      <c r="A1022" s="38" t="s">
        <v>108</v>
      </c>
      <c r="B1022" s="38">
        <v>3.3599999999999998E-2</v>
      </c>
      <c r="C1022" s="38" t="s">
        <v>33</v>
      </c>
      <c r="D1022" s="38" t="s">
        <v>45</v>
      </c>
      <c r="E1022" s="38"/>
      <c r="F1022" s="38" t="s">
        <v>21</v>
      </c>
      <c r="G1022" s="38"/>
      <c r="H1022" s="38"/>
      <c r="I1022" s="38"/>
      <c r="J1022" s="38" t="s">
        <v>111</v>
      </c>
    </row>
    <row r="1023" spans="1:10" x14ac:dyDescent="0.35">
      <c r="A1023" s="38" t="s">
        <v>365</v>
      </c>
      <c r="B1023" s="38">
        <v>3.2599999999999997E-2</v>
      </c>
      <c r="C1023" s="38" t="s">
        <v>33</v>
      </c>
      <c r="D1023" s="38" t="s">
        <v>45</v>
      </c>
      <c r="E1023" s="38"/>
      <c r="F1023" s="38" t="s">
        <v>21</v>
      </c>
      <c r="G1023" s="38"/>
      <c r="H1023" s="38"/>
      <c r="I1023" s="38"/>
      <c r="J1023" s="38" t="s">
        <v>366</v>
      </c>
    </row>
    <row r="1024" spans="1:10" x14ac:dyDescent="0.35">
      <c r="A1024" s="38" t="s">
        <v>367</v>
      </c>
      <c r="B1024" s="39">
        <v>-6.8899999999999999E-7</v>
      </c>
      <c r="C1024" s="38" t="s">
        <v>33</v>
      </c>
      <c r="D1024" s="38" t="s">
        <v>131</v>
      </c>
      <c r="E1024" s="38"/>
      <c r="F1024" s="38" t="s">
        <v>21</v>
      </c>
      <c r="G1024" s="38"/>
      <c r="H1024" s="38"/>
      <c r="I1024" s="38"/>
      <c r="J1024" s="38" t="s">
        <v>368</v>
      </c>
    </row>
    <row r="1025" spans="1:10" x14ac:dyDescent="0.35">
      <c r="A1025" s="38"/>
      <c r="B1025" s="39"/>
      <c r="C1025" s="38"/>
      <c r="D1025" s="38"/>
      <c r="E1025" s="38"/>
      <c r="F1025" s="38"/>
      <c r="G1025" s="38"/>
      <c r="H1025" s="38"/>
      <c r="I1025" s="38"/>
      <c r="J1025" s="38"/>
    </row>
    <row r="1026" spans="1:10" ht="15.5" x14ac:dyDescent="0.35">
      <c r="A1026" s="1" t="s">
        <v>1</v>
      </c>
      <c r="B1026" s="1" t="s">
        <v>535</v>
      </c>
    </row>
    <row r="1027" spans="1:10" x14ac:dyDescent="0.35">
      <c r="A1027" t="s">
        <v>2</v>
      </c>
      <c r="B1027" t="s">
        <v>3</v>
      </c>
    </row>
    <row r="1028" spans="1:10" x14ac:dyDescent="0.35">
      <c r="A1028" t="s">
        <v>4</v>
      </c>
      <c r="B1028">
        <v>1</v>
      </c>
    </row>
    <row r="1029" spans="1:10" ht="15.5" x14ac:dyDescent="0.35">
      <c r="A1029" t="s">
        <v>5</v>
      </c>
      <c r="B1029" s="2" t="s">
        <v>350</v>
      </c>
    </row>
    <row r="1030" spans="1:10" x14ac:dyDescent="0.35">
      <c r="A1030" t="s">
        <v>6</v>
      </c>
      <c r="B1030" t="s">
        <v>7</v>
      </c>
    </row>
    <row r="1031" spans="1:10" x14ac:dyDescent="0.35">
      <c r="A1031" t="s">
        <v>8</v>
      </c>
      <c r="B1031" t="s">
        <v>9</v>
      </c>
    </row>
    <row r="1032" spans="1:10" x14ac:dyDescent="0.35">
      <c r="A1032" t="s">
        <v>10</v>
      </c>
      <c r="B1032" t="s">
        <v>406</v>
      </c>
    </row>
    <row r="1033" spans="1:10" x14ac:dyDescent="0.35">
      <c r="A1033" t="s">
        <v>12</v>
      </c>
      <c r="B1033" t="s">
        <v>525</v>
      </c>
    </row>
    <row r="1034" spans="1:10" ht="15.5" x14ac:dyDescent="0.35">
      <c r="A1034" s="1" t="s">
        <v>13</v>
      </c>
    </row>
    <row r="1035" spans="1:10" x14ac:dyDescent="0.35">
      <c r="A1035" t="s">
        <v>14</v>
      </c>
      <c r="B1035" t="s">
        <v>15</v>
      </c>
      <c r="C1035" t="s">
        <v>2</v>
      </c>
      <c r="D1035" t="s">
        <v>8</v>
      </c>
      <c r="E1035" t="s">
        <v>16</v>
      </c>
      <c r="F1035" t="s">
        <v>6</v>
      </c>
      <c r="G1035" t="s">
        <v>351</v>
      </c>
      <c r="H1035" t="s">
        <v>352</v>
      </c>
      <c r="I1035" t="s">
        <v>12</v>
      </c>
      <c r="J1035" t="s">
        <v>5</v>
      </c>
    </row>
    <row r="1036" spans="1:10" x14ac:dyDescent="0.35">
      <c r="A1036" s="38" t="s">
        <v>535</v>
      </c>
      <c r="B1036" s="38">
        <v>1</v>
      </c>
      <c r="C1036" t="s">
        <v>3</v>
      </c>
      <c r="D1036" s="38" t="s">
        <v>9</v>
      </c>
      <c r="E1036" s="38"/>
      <c r="F1036" s="38" t="s">
        <v>18</v>
      </c>
      <c r="G1036" s="38"/>
      <c r="H1036" s="38"/>
      <c r="I1036" s="38" t="s">
        <v>19</v>
      </c>
      <c r="J1036" s="38" t="s">
        <v>350</v>
      </c>
    </row>
    <row r="1037" spans="1:10" ht="15.5" x14ac:dyDescent="0.35">
      <c r="A1037" s="2" t="s">
        <v>534</v>
      </c>
      <c r="B1037">
        <v>1.00057</v>
      </c>
      <c r="C1037" t="s">
        <v>3</v>
      </c>
      <c r="D1037" t="s">
        <v>9</v>
      </c>
      <c r="F1037" s="38" t="s">
        <v>21</v>
      </c>
      <c r="G1037" t="s">
        <v>19</v>
      </c>
      <c r="I1037" s="38"/>
      <c r="J1037" s="2" t="s">
        <v>429</v>
      </c>
    </row>
    <row r="1038" spans="1:10" x14ac:dyDescent="0.35">
      <c r="A1038" s="38" t="s">
        <v>30</v>
      </c>
      <c r="B1038" s="38">
        <v>6.7000000000000002E-3</v>
      </c>
      <c r="C1038" t="s">
        <v>3</v>
      </c>
      <c r="D1038" s="38" t="s">
        <v>31</v>
      </c>
      <c r="E1038" s="38"/>
      <c r="F1038" s="38" t="s">
        <v>21</v>
      </c>
      <c r="G1038" s="38"/>
      <c r="H1038" s="38"/>
      <c r="I1038" s="38"/>
      <c r="J1038" s="38" t="s">
        <v>32</v>
      </c>
    </row>
    <row r="1039" spans="1:10" x14ac:dyDescent="0.35">
      <c r="A1039" s="38" t="s">
        <v>353</v>
      </c>
      <c r="B1039" s="38">
        <v>-1.6799999999999999E-4</v>
      </c>
      <c r="C1039" s="38" t="s">
        <v>33</v>
      </c>
      <c r="D1039" s="38" t="s">
        <v>9</v>
      </c>
      <c r="E1039" s="38"/>
      <c r="F1039" s="38" t="s">
        <v>21</v>
      </c>
      <c r="G1039" s="38"/>
      <c r="H1039" s="38"/>
      <c r="I1039" s="38"/>
      <c r="J1039" s="38" t="s">
        <v>354</v>
      </c>
    </row>
    <row r="1040" spans="1:10" x14ac:dyDescent="0.35">
      <c r="A1040" s="38" t="s">
        <v>355</v>
      </c>
      <c r="B1040" s="39">
        <v>5.8399999999999999E-4</v>
      </c>
      <c r="C1040" s="38" t="s">
        <v>33</v>
      </c>
      <c r="D1040" s="38" t="s">
        <v>20</v>
      </c>
      <c r="E1040" s="38"/>
      <c r="F1040" s="38" t="s">
        <v>21</v>
      </c>
      <c r="G1040" s="38"/>
      <c r="H1040" s="38"/>
      <c r="I1040" s="38"/>
      <c r="J1040" s="38" t="s">
        <v>356</v>
      </c>
    </row>
    <row r="1041" spans="1:10" x14ac:dyDescent="0.35">
      <c r="A1041" s="38" t="s">
        <v>357</v>
      </c>
      <c r="B1041" s="39">
        <v>2.5999999999999998E-10</v>
      </c>
      <c r="C1041" s="38" t="s">
        <v>33</v>
      </c>
      <c r="D1041" s="38" t="s">
        <v>8</v>
      </c>
      <c r="E1041" s="38"/>
      <c r="F1041" s="38" t="s">
        <v>21</v>
      </c>
      <c r="G1041" s="38"/>
      <c r="H1041" s="38"/>
      <c r="I1041" s="38"/>
      <c r="J1041" s="38" t="s">
        <v>358</v>
      </c>
    </row>
    <row r="1042" spans="1:10" x14ac:dyDescent="0.35">
      <c r="A1042" s="38" t="s">
        <v>359</v>
      </c>
      <c r="B1042" s="39">
        <v>-6.2700000000000001E-6</v>
      </c>
      <c r="C1042" s="38" t="s">
        <v>33</v>
      </c>
      <c r="D1042" s="38" t="s">
        <v>9</v>
      </c>
      <c r="E1042" s="38"/>
      <c r="F1042" s="38" t="s">
        <v>21</v>
      </c>
      <c r="G1042" s="38"/>
      <c r="H1042" s="38"/>
      <c r="I1042" s="38"/>
      <c r="J1042" s="38" t="s">
        <v>360</v>
      </c>
    </row>
    <row r="1043" spans="1:10" x14ac:dyDescent="0.35">
      <c r="A1043" s="38" t="s">
        <v>361</v>
      </c>
      <c r="B1043" s="39">
        <v>-7.4999999999999993E-5</v>
      </c>
      <c r="C1043" s="38" t="s">
        <v>33</v>
      </c>
      <c r="D1043" s="38" t="s">
        <v>131</v>
      </c>
      <c r="E1043" s="38"/>
      <c r="F1043" s="38" t="s">
        <v>21</v>
      </c>
      <c r="G1043" s="38"/>
      <c r="H1043" s="38"/>
      <c r="I1043" s="38"/>
      <c r="J1043" s="38" t="s">
        <v>362</v>
      </c>
    </row>
    <row r="1044" spans="1:10" x14ac:dyDescent="0.35">
      <c r="A1044" s="38" t="s">
        <v>363</v>
      </c>
      <c r="B1044" s="39">
        <v>6.8900000000000005E-4</v>
      </c>
      <c r="C1044" s="38" t="s">
        <v>33</v>
      </c>
      <c r="D1044" s="38" t="s">
        <v>9</v>
      </c>
      <c r="E1044" s="38"/>
      <c r="F1044" s="38" t="s">
        <v>21</v>
      </c>
      <c r="G1044" s="38"/>
      <c r="H1044" s="38"/>
      <c r="I1044" s="38"/>
      <c r="J1044" s="38" t="s">
        <v>364</v>
      </c>
    </row>
    <row r="1045" spans="1:10" x14ac:dyDescent="0.35">
      <c r="A1045" s="38" t="s">
        <v>108</v>
      </c>
      <c r="B1045" s="38">
        <v>3.3599999999999998E-2</v>
      </c>
      <c r="C1045" s="38" t="s">
        <v>33</v>
      </c>
      <c r="D1045" s="38" t="s">
        <v>45</v>
      </c>
      <c r="E1045" s="38"/>
      <c r="F1045" s="38" t="s">
        <v>21</v>
      </c>
      <c r="G1045" s="38"/>
      <c r="H1045" s="38"/>
      <c r="I1045" s="38"/>
      <c r="J1045" s="38" t="s">
        <v>111</v>
      </c>
    </row>
    <row r="1046" spans="1:10" x14ac:dyDescent="0.35">
      <c r="A1046" s="38" t="s">
        <v>365</v>
      </c>
      <c r="B1046" s="38">
        <v>3.2599999999999997E-2</v>
      </c>
      <c r="C1046" s="38" t="s">
        <v>33</v>
      </c>
      <c r="D1046" s="38" t="s">
        <v>45</v>
      </c>
      <c r="E1046" s="38"/>
      <c r="F1046" s="38" t="s">
        <v>21</v>
      </c>
      <c r="G1046" s="38"/>
      <c r="H1046" s="38"/>
      <c r="I1046" s="38"/>
      <c r="J1046" s="38" t="s">
        <v>366</v>
      </c>
    </row>
    <row r="1047" spans="1:10" x14ac:dyDescent="0.35">
      <c r="A1047" s="38" t="s">
        <v>367</v>
      </c>
      <c r="B1047" s="39">
        <v>-6.8899999999999999E-7</v>
      </c>
      <c r="C1047" s="38" t="s">
        <v>33</v>
      </c>
      <c r="D1047" s="38" t="s">
        <v>131</v>
      </c>
      <c r="E1047" s="38"/>
      <c r="F1047" s="38" t="s">
        <v>21</v>
      </c>
      <c r="G1047" s="38"/>
      <c r="H1047" s="38"/>
      <c r="I1047" s="38"/>
      <c r="J1047" s="38" t="s">
        <v>368</v>
      </c>
    </row>
    <row r="1049" spans="1:10" ht="15.5" x14ac:dyDescent="0.35">
      <c r="A1049" s="1" t="s">
        <v>1</v>
      </c>
      <c r="B1049" s="1" t="s">
        <v>80</v>
      </c>
    </row>
    <row r="1050" spans="1:10" x14ac:dyDescent="0.35">
      <c r="A1050" t="s">
        <v>2</v>
      </c>
      <c r="B1050" t="s">
        <v>3</v>
      </c>
    </row>
    <row r="1051" spans="1:10" x14ac:dyDescent="0.35">
      <c r="A1051" t="s">
        <v>4</v>
      </c>
      <c r="B1051">
        <v>1</v>
      </c>
    </row>
    <row r="1052" spans="1:10" ht="15.5" x14ac:dyDescent="0.35">
      <c r="A1052" t="s">
        <v>5</v>
      </c>
      <c r="B1052" s="2" t="s">
        <v>81</v>
      </c>
    </row>
    <row r="1053" spans="1:10" x14ac:dyDescent="0.35">
      <c r="A1053" t="s">
        <v>6</v>
      </c>
      <c r="B1053" t="s">
        <v>7</v>
      </c>
    </row>
    <row r="1054" spans="1:10" x14ac:dyDescent="0.35">
      <c r="A1054" t="s">
        <v>8</v>
      </c>
      <c r="B1054" t="s">
        <v>9</v>
      </c>
    </row>
    <row r="1055" spans="1:10" x14ac:dyDescent="0.35">
      <c r="A1055" t="s">
        <v>10</v>
      </c>
      <c r="B1055" t="s">
        <v>11</v>
      </c>
    </row>
    <row r="1056" spans="1:10" x14ac:dyDescent="0.35">
      <c r="A1056" t="s">
        <v>28</v>
      </c>
      <c r="B1056" t="s">
        <v>376</v>
      </c>
    </row>
    <row r="1057" spans="1:8" ht="15.5" x14ac:dyDescent="0.35">
      <c r="A1057" s="1" t="s">
        <v>13</v>
      </c>
    </row>
    <row r="1058" spans="1:8" x14ac:dyDescent="0.35">
      <c r="A1058" t="s">
        <v>14</v>
      </c>
      <c r="B1058" t="s">
        <v>15</v>
      </c>
      <c r="C1058" t="s">
        <v>2</v>
      </c>
      <c r="D1058" t="s">
        <v>8</v>
      </c>
      <c r="E1058" t="s">
        <v>16</v>
      </c>
      <c r="F1058" t="s">
        <v>6</v>
      </c>
      <c r="G1058" t="s">
        <v>12</v>
      </c>
      <c r="H1058" t="s">
        <v>5</v>
      </c>
    </row>
    <row r="1059" spans="1:8" ht="15.5" x14ac:dyDescent="0.35">
      <c r="A1059" s="2" t="s">
        <v>80</v>
      </c>
      <c r="B1059">
        <v>1</v>
      </c>
      <c r="C1059" t="s">
        <v>3</v>
      </c>
      <c r="D1059" t="s">
        <v>9</v>
      </c>
      <c r="F1059" t="s">
        <v>18</v>
      </c>
      <c r="G1059" t="s">
        <v>19</v>
      </c>
      <c r="H1059" s="2" t="s">
        <v>81</v>
      </c>
    </row>
    <row r="1060" spans="1:8" x14ac:dyDescent="0.35">
      <c r="A1060" t="s">
        <v>23</v>
      </c>
      <c r="B1060" s="5">
        <f>36385*Allocation!$B$3/1000</f>
        <v>3.8388208921499994E-2</v>
      </c>
      <c r="C1060" t="s">
        <v>27</v>
      </c>
      <c r="D1060" t="s">
        <v>20</v>
      </c>
      <c r="F1060" t="s">
        <v>21</v>
      </c>
      <c r="G1060" t="s">
        <v>83</v>
      </c>
      <c r="H1060" t="s">
        <v>24</v>
      </c>
    </row>
    <row r="1061" spans="1:8" x14ac:dyDescent="0.35">
      <c r="A1061" t="s">
        <v>82</v>
      </c>
      <c r="B1061" s="5">
        <f>11685*Allocation!$B$3/1000</f>
        <v>1.2328328191499999E-2</v>
      </c>
      <c r="C1061" t="s">
        <v>27</v>
      </c>
      <c r="D1061" t="s">
        <v>20</v>
      </c>
      <c r="F1061" t="s">
        <v>21</v>
      </c>
      <c r="G1061" t="s">
        <v>84</v>
      </c>
      <c r="H1061" t="s">
        <v>82</v>
      </c>
    </row>
    <row r="1062" spans="1:8" x14ac:dyDescent="0.35">
      <c r="A1062" t="s">
        <v>85</v>
      </c>
      <c r="B1062" s="5">
        <f>(20425+17860)*Allocation!$B$3/1000</f>
        <v>4.0392815131500004E-2</v>
      </c>
      <c r="C1062" t="s">
        <v>27</v>
      </c>
      <c r="D1062" t="s">
        <v>20</v>
      </c>
      <c r="F1062" t="s">
        <v>21</v>
      </c>
      <c r="G1062" t="s">
        <v>87</v>
      </c>
      <c r="H1062" t="s">
        <v>86</v>
      </c>
    </row>
    <row r="1063" spans="1:8" x14ac:dyDescent="0.35">
      <c r="A1063" t="s">
        <v>30</v>
      </c>
      <c r="B1063" s="5">
        <f>8550*Allocation!$B$3/1000/3.6</f>
        <v>2.5057577624999997E-3</v>
      </c>
      <c r="C1063" t="s">
        <v>3</v>
      </c>
      <c r="D1063" t="s">
        <v>31</v>
      </c>
      <c r="F1063" t="s">
        <v>21</v>
      </c>
      <c r="H1063" t="s">
        <v>32</v>
      </c>
    </row>
    <row r="1064" spans="1:8" x14ac:dyDescent="0.35">
      <c r="A1064" t="s">
        <v>43</v>
      </c>
      <c r="B1064">
        <f>12*Allocation!$B$7/1000</f>
        <v>1.932E-2</v>
      </c>
      <c r="C1064" t="s">
        <v>33</v>
      </c>
      <c r="D1064" t="s">
        <v>45</v>
      </c>
      <c r="F1064" t="s">
        <v>21</v>
      </c>
      <c r="G1064" t="s">
        <v>88</v>
      </c>
      <c r="H1064" t="s">
        <v>44</v>
      </c>
    </row>
    <row r="1065" spans="1:8" x14ac:dyDescent="0.35">
      <c r="A1065" t="s">
        <v>46</v>
      </c>
      <c r="B1065">
        <f>0.9796/1000</f>
        <v>9.7959999999999996E-4</v>
      </c>
      <c r="C1065" t="s">
        <v>3</v>
      </c>
      <c r="D1065" t="s">
        <v>9</v>
      </c>
      <c r="F1065" t="s">
        <v>21</v>
      </c>
      <c r="H1065" t="s">
        <v>47</v>
      </c>
    </row>
    <row r="1066" spans="1:8" x14ac:dyDescent="0.35">
      <c r="A1066" t="s">
        <v>48</v>
      </c>
      <c r="B1066">
        <f>0.3237/1000</f>
        <v>3.2370000000000001E-4</v>
      </c>
      <c r="C1066" t="s">
        <v>3</v>
      </c>
      <c r="D1066" t="s">
        <v>9</v>
      </c>
      <c r="F1066" t="s">
        <v>21</v>
      </c>
      <c r="H1066" t="s">
        <v>49</v>
      </c>
    </row>
    <row r="1067" spans="1:8" x14ac:dyDescent="0.35">
      <c r="A1067" t="s">
        <v>50</v>
      </c>
      <c r="B1067">
        <f>1.508/1000</f>
        <v>1.508E-3</v>
      </c>
      <c r="C1067" t="s">
        <v>3</v>
      </c>
      <c r="D1067" t="s">
        <v>9</v>
      </c>
      <c r="F1067" t="s">
        <v>21</v>
      </c>
      <c r="H1067" t="s">
        <v>51</v>
      </c>
    </row>
    <row r="1068" spans="1:8" x14ac:dyDescent="0.35">
      <c r="A1068" s="8" t="s">
        <v>52</v>
      </c>
      <c r="B1068">
        <f>5.2/1000</f>
        <v>5.1999999999999998E-3</v>
      </c>
      <c r="C1068" t="s">
        <v>27</v>
      </c>
      <c r="D1068" t="s">
        <v>9</v>
      </c>
      <c r="F1068" t="s">
        <v>21</v>
      </c>
      <c r="H1068" s="8" t="s">
        <v>53</v>
      </c>
    </row>
    <row r="1069" spans="1:8" x14ac:dyDescent="0.35">
      <c r="A1069" t="s">
        <v>113</v>
      </c>
      <c r="B1069">
        <f>2.5*1.14/1000/1000</f>
        <v>2.8499999999999998E-6</v>
      </c>
      <c r="C1069" t="s">
        <v>27</v>
      </c>
      <c r="D1069" t="s">
        <v>9</v>
      </c>
      <c r="F1069" t="s">
        <v>21</v>
      </c>
      <c r="G1069" t="s">
        <v>56</v>
      </c>
      <c r="H1069" t="s">
        <v>114</v>
      </c>
    </row>
    <row r="1070" spans="1:8" x14ac:dyDescent="0.35">
      <c r="A1070" t="s">
        <v>54</v>
      </c>
      <c r="B1070">
        <f>45*1.14/1000/1000</f>
        <v>5.13E-5</v>
      </c>
      <c r="C1070" t="s">
        <v>27</v>
      </c>
      <c r="D1070" t="s">
        <v>9</v>
      </c>
      <c r="F1070" t="s">
        <v>21</v>
      </c>
      <c r="G1070" t="s">
        <v>55</v>
      </c>
      <c r="H1070" t="s">
        <v>57</v>
      </c>
    </row>
    <row r="1071" spans="1:8" x14ac:dyDescent="0.35">
      <c r="A1071" t="s">
        <v>58</v>
      </c>
      <c r="B1071">
        <f>0.744/1000*Allocation!$B$6</f>
        <v>3.3747839999999997E-4</v>
      </c>
      <c r="C1071" t="s">
        <v>27</v>
      </c>
      <c r="D1071" t="s">
        <v>9</v>
      </c>
      <c r="F1071" t="s">
        <v>21</v>
      </c>
      <c r="G1071" t="s">
        <v>60</v>
      </c>
      <c r="H1071" t="s">
        <v>59</v>
      </c>
    </row>
    <row r="1072" spans="1:8" x14ac:dyDescent="0.35">
      <c r="A1072" t="s">
        <v>130</v>
      </c>
      <c r="B1072" s="4">
        <v>4.2599999999999999E-2</v>
      </c>
      <c r="C1072" t="s">
        <v>3</v>
      </c>
      <c r="D1072" t="s">
        <v>131</v>
      </c>
      <c r="F1072" t="s">
        <v>21</v>
      </c>
      <c r="G1072" t="s">
        <v>135</v>
      </c>
      <c r="H1072" t="s">
        <v>132</v>
      </c>
    </row>
    <row r="1073" spans="1:7" x14ac:dyDescent="0.35">
      <c r="A1073" t="s">
        <v>168</v>
      </c>
      <c r="B1073" s="7">
        <v>2.3126999999999999E-6</v>
      </c>
      <c r="D1073" t="s">
        <v>9</v>
      </c>
      <c r="E1073" t="s">
        <v>180</v>
      </c>
      <c r="F1073" t="s">
        <v>38</v>
      </c>
      <c r="G1073" t="s">
        <v>378</v>
      </c>
    </row>
    <row r="1074" spans="1:7" x14ac:dyDescent="0.35">
      <c r="A1074" t="s">
        <v>199</v>
      </c>
      <c r="B1074" s="7">
        <v>3.5645999999999997E-5</v>
      </c>
      <c r="D1074" t="s">
        <v>9</v>
      </c>
      <c r="E1074" t="s">
        <v>180</v>
      </c>
      <c r="F1074" t="s">
        <v>38</v>
      </c>
      <c r="G1074" t="s">
        <v>378</v>
      </c>
    </row>
    <row r="1075" spans="1:7" x14ac:dyDescent="0.35">
      <c r="A1075" t="s">
        <v>137</v>
      </c>
      <c r="B1075">
        <v>2.48605E-4</v>
      </c>
      <c r="D1075" t="s">
        <v>9</v>
      </c>
      <c r="E1075" t="s">
        <v>179</v>
      </c>
      <c r="F1075" t="s">
        <v>38</v>
      </c>
      <c r="G1075" t="s">
        <v>378</v>
      </c>
    </row>
    <row r="1076" spans="1:7" x14ac:dyDescent="0.35">
      <c r="A1076" t="s">
        <v>200</v>
      </c>
      <c r="B1076" s="7">
        <v>2.5372999999999998E-6</v>
      </c>
      <c r="D1076" t="s">
        <v>9</v>
      </c>
      <c r="E1076" t="s">
        <v>180</v>
      </c>
      <c r="F1076" t="s">
        <v>38</v>
      </c>
      <c r="G1076" t="s">
        <v>378</v>
      </c>
    </row>
    <row r="1077" spans="1:7" x14ac:dyDescent="0.35">
      <c r="A1077" t="s">
        <v>160</v>
      </c>
      <c r="B1077" s="7">
        <v>9.3513999999999999E-6</v>
      </c>
      <c r="D1077" t="s">
        <v>9</v>
      </c>
      <c r="E1077" t="s">
        <v>180</v>
      </c>
      <c r="F1077" t="s">
        <v>38</v>
      </c>
      <c r="G1077" t="s">
        <v>378</v>
      </c>
    </row>
    <row r="1078" spans="1:7" x14ac:dyDescent="0.35">
      <c r="A1078" t="s">
        <v>158</v>
      </c>
      <c r="B1078" s="7">
        <v>2.8088E-8</v>
      </c>
      <c r="D1078" t="s">
        <v>9</v>
      </c>
      <c r="E1078" t="s">
        <v>180</v>
      </c>
      <c r="F1078" t="s">
        <v>38</v>
      </c>
      <c r="G1078" t="s">
        <v>378</v>
      </c>
    </row>
    <row r="1079" spans="1:7" x14ac:dyDescent="0.35">
      <c r="A1079" t="s">
        <v>201</v>
      </c>
      <c r="B1079">
        <v>7.1538421000000005E-2</v>
      </c>
      <c r="D1079" t="s">
        <v>9</v>
      </c>
      <c r="E1079" t="s">
        <v>179</v>
      </c>
      <c r="F1079" t="s">
        <v>38</v>
      </c>
      <c r="G1079" t="s">
        <v>378</v>
      </c>
    </row>
    <row r="1080" spans="1:7" x14ac:dyDescent="0.35">
      <c r="A1080" t="s">
        <v>120</v>
      </c>
      <c r="B1080">
        <v>0.44</v>
      </c>
      <c r="D1080" t="s">
        <v>9</v>
      </c>
      <c r="E1080" t="s">
        <v>121</v>
      </c>
      <c r="F1080" t="s">
        <v>38</v>
      </c>
      <c r="G1080" t="s">
        <v>494</v>
      </c>
    </row>
    <row r="1081" spans="1:7" x14ac:dyDescent="0.35">
      <c r="A1081" t="s">
        <v>202</v>
      </c>
      <c r="B1081">
        <v>0.03</v>
      </c>
      <c r="D1081" t="s">
        <v>9</v>
      </c>
      <c r="E1081" t="s">
        <v>208</v>
      </c>
      <c r="F1081" t="s">
        <v>38</v>
      </c>
      <c r="G1081" t="s">
        <v>378</v>
      </c>
    </row>
    <row r="1082" spans="1:7" x14ac:dyDescent="0.35">
      <c r="A1082" t="s">
        <v>155</v>
      </c>
      <c r="B1082" s="7">
        <v>2.1009E-7</v>
      </c>
      <c r="D1082" t="s">
        <v>9</v>
      </c>
      <c r="E1082" t="s">
        <v>180</v>
      </c>
      <c r="F1082" t="s">
        <v>38</v>
      </c>
      <c r="G1082" t="s">
        <v>378</v>
      </c>
    </row>
    <row r="1083" spans="1:7" x14ac:dyDescent="0.35">
      <c r="A1083" t="s">
        <v>142</v>
      </c>
      <c r="B1083" s="7">
        <v>1.3009E-7</v>
      </c>
      <c r="D1083" t="s">
        <v>9</v>
      </c>
      <c r="E1083" t="s">
        <v>180</v>
      </c>
      <c r="F1083" t="s">
        <v>38</v>
      </c>
      <c r="G1083" t="s">
        <v>378</v>
      </c>
    </row>
    <row r="1084" spans="1:7" x14ac:dyDescent="0.35">
      <c r="A1084" t="s">
        <v>42</v>
      </c>
      <c r="B1084" s="7">
        <v>2.1058400000000002E-5</v>
      </c>
      <c r="D1084" t="s">
        <v>9</v>
      </c>
      <c r="E1084" t="s">
        <v>179</v>
      </c>
      <c r="F1084" t="s">
        <v>38</v>
      </c>
      <c r="G1084" t="s">
        <v>378</v>
      </c>
    </row>
    <row r="1085" spans="1:7" x14ac:dyDescent="0.35">
      <c r="A1085" t="s">
        <v>116</v>
      </c>
      <c r="B1085">
        <v>4.9478001594543501</v>
      </c>
      <c r="D1085" t="s">
        <v>20</v>
      </c>
      <c r="E1085" t="s">
        <v>122</v>
      </c>
      <c r="F1085" t="s">
        <v>38</v>
      </c>
      <c r="G1085" t="s">
        <v>378</v>
      </c>
    </row>
    <row r="1086" spans="1:7" x14ac:dyDescent="0.35">
      <c r="A1086" t="s">
        <v>165</v>
      </c>
      <c r="B1086" s="7">
        <v>3.3181999999999998E-6</v>
      </c>
      <c r="D1086" t="s">
        <v>9</v>
      </c>
      <c r="E1086" t="s">
        <v>180</v>
      </c>
      <c r="F1086" t="s">
        <v>38</v>
      </c>
      <c r="G1086" t="s">
        <v>378</v>
      </c>
    </row>
    <row r="1087" spans="1:7" x14ac:dyDescent="0.35">
      <c r="A1087" t="s">
        <v>178</v>
      </c>
      <c r="B1087" s="7">
        <v>2.1526999999999999E-7</v>
      </c>
      <c r="D1087" t="s">
        <v>9</v>
      </c>
      <c r="E1087" t="s">
        <v>180</v>
      </c>
      <c r="F1087" t="s">
        <v>38</v>
      </c>
      <c r="G1087" t="s">
        <v>378</v>
      </c>
    </row>
    <row r="1088" spans="1:7" x14ac:dyDescent="0.35">
      <c r="A1088" t="s">
        <v>203</v>
      </c>
      <c r="B1088" s="7">
        <v>7.7928999999999995E-6</v>
      </c>
      <c r="D1088" t="s">
        <v>9</v>
      </c>
      <c r="E1088" t="s">
        <v>180</v>
      </c>
      <c r="F1088" t="s">
        <v>38</v>
      </c>
      <c r="G1088" t="s">
        <v>378</v>
      </c>
    </row>
    <row r="1089" spans="1:7" x14ac:dyDescent="0.35">
      <c r="A1089" t="s">
        <v>204</v>
      </c>
      <c r="B1089">
        <v>2.8600000000000001E-4</v>
      </c>
      <c r="D1089" t="s">
        <v>9</v>
      </c>
      <c r="E1089" t="s">
        <v>208</v>
      </c>
      <c r="F1089" t="s">
        <v>38</v>
      </c>
      <c r="G1089" t="s">
        <v>378</v>
      </c>
    </row>
    <row r="1090" spans="1:7" x14ac:dyDescent="0.35">
      <c r="A1090" t="s">
        <v>148</v>
      </c>
      <c r="B1090" s="7">
        <v>1.0490000000000001E-7</v>
      </c>
      <c r="D1090" t="s">
        <v>9</v>
      </c>
      <c r="E1090" t="s">
        <v>180</v>
      </c>
      <c r="F1090" t="s">
        <v>38</v>
      </c>
      <c r="G1090" t="s">
        <v>378</v>
      </c>
    </row>
    <row r="1091" spans="1:7" x14ac:dyDescent="0.35">
      <c r="A1091" t="s">
        <v>182</v>
      </c>
      <c r="B1091">
        <v>1.7521259999999999E-3</v>
      </c>
      <c r="D1091" t="s">
        <v>9</v>
      </c>
      <c r="E1091" t="s">
        <v>189</v>
      </c>
      <c r="F1091" t="s">
        <v>38</v>
      </c>
      <c r="G1091" t="s">
        <v>378</v>
      </c>
    </row>
    <row r="1092" spans="1:7" x14ac:dyDescent="0.35">
      <c r="A1092" t="s">
        <v>40</v>
      </c>
      <c r="B1092" s="7">
        <v>4.4222639999999998E-6</v>
      </c>
      <c r="D1092" t="s">
        <v>9</v>
      </c>
      <c r="E1092" t="s">
        <v>179</v>
      </c>
      <c r="F1092" t="s">
        <v>38</v>
      </c>
      <c r="G1092" t="s">
        <v>378</v>
      </c>
    </row>
    <row r="1093" spans="1:7" x14ac:dyDescent="0.35">
      <c r="A1093" t="s">
        <v>205</v>
      </c>
      <c r="B1093">
        <v>0.13575000000000001</v>
      </c>
      <c r="D1093" t="s">
        <v>123</v>
      </c>
      <c r="E1093" t="s">
        <v>124</v>
      </c>
      <c r="F1093" t="s">
        <v>38</v>
      </c>
      <c r="G1093" t="s">
        <v>378</v>
      </c>
    </row>
    <row r="1094" spans="1:7" x14ac:dyDescent="0.35">
      <c r="A1094" t="s">
        <v>41</v>
      </c>
      <c r="B1094">
        <v>3.0000000000000001E-3</v>
      </c>
      <c r="D1094" t="s">
        <v>9</v>
      </c>
      <c r="E1094" t="s">
        <v>208</v>
      </c>
      <c r="F1094" t="s">
        <v>38</v>
      </c>
      <c r="G1094" t="s">
        <v>378</v>
      </c>
    </row>
    <row r="1095" spans="1:7" x14ac:dyDescent="0.35">
      <c r="A1095" t="s">
        <v>183</v>
      </c>
      <c r="B1095" s="7">
        <v>3.0072000000000002E-6</v>
      </c>
      <c r="D1095" t="s">
        <v>9</v>
      </c>
      <c r="E1095" t="s">
        <v>181</v>
      </c>
      <c r="F1095" t="s">
        <v>38</v>
      </c>
      <c r="G1095" t="s">
        <v>378</v>
      </c>
    </row>
    <row r="1096" spans="1:7" x14ac:dyDescent="0.35">
      <c r="A1096" t="s">
        <v>183</v>
      </c>
      <c r="B1096" s="7">
        <v>1.0557999999999999E-6</v>
      </c>
      <c r="D1096" t="s">
        <v>9</v>
      </c>
      <c r="E1096" t="s">
        <v>189</v>
      </c>
      <c r="F1096" t="s">
        <v>38</v>
      </c>
      <c r="G1096" t="s">
        <v>378</v>
      </c>
    </row>
    <row r="1097" spans="1:7" x14ac:dyDescent="0.35">
      <c r="A1097" t="s">
        <v>206</v>
      </c>
      <c r="B1097">
        <v>0.15082999999999999</v>
      </c>
      <c r="D1097" t="s">
        <v>125</v>
      </c>
      <c r="E1097" t="s">
        <v>124</v>
      </c>
      <c r="F1097" t="s">
        <v>38</v>
      </c>
      <c r="G1097" t="s">
        <v>378</v>
      </c>
    </row>
    <row r="1098" spans="1:7" x14ac:dyDescent="0.35">
      <c r="A1098" t="s">
        <v>207</v>
      </c>
      <c r="B1098">
        <v>0.15082999999999999</v>
      </c>
      <c r="D1098" t="s">
        <v>125</v>
      </c>
      <c r="E1098" t="s">
        <v>124</v>
      </c>
      <c r="F1098" t="s">
        <v>38</v>
      </c>
      <c r="G1098" t="s">
        <v>378</v>
      </c>
    </row>
    <row r="1099" spans="1:7" x14ac:dyDescent="0.35">
      <c r="A1099" t="s">
        <v>136</v>
      </c>
      <c r="B1099">
        <v>1.40841069805568E-2</v>
      </c>
      <c r="D1099" t="s">
        <v>131</v>
      </c>
      <c r="E1099" t="s">
        <v>189</v>
      </c>
      <c r="F1099" t="s">
        <v>38</v>
      </c>
      <c r="G1099" t="s">
        <v>378</v>
      </c>
    </row>
    <row r="1100" spans="1:7" x14ac:dyDescent="0.35">
      <c r="A1100" t="s">
        <v>136</v>
      </c>
      <c r="B1100">
        <v>2.5020866274303999E-2</v>
      </c>
      <c r="D1100" t="s">
        <v>131</v>
      </c>
      <c r="E1100" t="s">
        <v>39</v>
      </c>
      <c r="F1100" t="s">
        <v>38</v>
      </c>
      <c r="G1100" t="s">
        <v>378</v>
      </c>
    </row>
    <row r="1101" spans="1:7" x14ac:dyDescent="0.35">
      <c r="A1101" t="s">
        <v>136</v>
      </c>
      <c r="B1101">
        <v>3.5210267451392099E-3</v>
      </c>
      <c r="D1101" t="s">
        <v>131</v>
      </c>
      <c r="E1101" t="s">
        <v>181</v>
      </c>
      <c r="F1101" t="s">
        <v>38</v>
      </c>
      <c r="G1101" t="s">
        <v>378</v>
      </c>
    </row>
    <row r="1102" spans="1:7" x14ac:dyDescent="0.35">
      <c r="A1102" t="s">
        <v>152</v>
      </c>
      <c r="B1102" s="7">
        <v>2.1604999999999999E-6</v>
      </c>
      <c r="D1102" t="s">
        <v>9</v>
      </c>
      <c r="E1102" t="s">
        <v>180</v>
      </c>
      <c r="F1102" t="s">
        <v>38</v>
      </c>
      <c r="G1102" t="s">
        <v>378</v>
      </c>
    </row>
    <row r="1104" spans="1:7" ht="15.5" x14ac:dyDescent="0.35">
      <c r="A1104" s="1" t="s">
        <v>1</v>
      </c>
      <c r="B1104" s="1" t="s">
        <v>300</v>
      </c>
    </row>
    <row r="1105" spans="1:8" x14ac:dyDescent="0.35">
      <c r="A1105" t="s">
        <v>2</v>
      </c>
      <c r="B1105" t="s">
        <v>3</v>
      </c>
    </row>
    <row r="1106" spans="1:8" x14ac:dyDescent="0.35">
      <c r="A1106" t="s">
        <v>4</v>
      </c>
      <c r="B1106">
        <v>1</v>
      </c>
    </row>
    <row r="1107" spans="1:8" ht="15.5" x14ac:dyDescent="0.35">
      <c r="A1107" t="s">
        <v>5</v>
      </c>
      <c r="B1107" s="2" t="s">
        <v>299</v>
      </c>
    </row>
    <row r="1108" spans="1:8" x14ac:dyDescent="0.35">
      <c r="A1108" t="s">
        <v>6</v>
      </c>
      <c r="B1108" t="s">
        <v>7</v>
      </c>
    </row>
    <row r="1109" spans="1:8" x14ac:dyDescent="0.35">
      <c r="A1109" t="s">
        <v>8</v>
      </c>
      <c r="B1109" t="s">
        <v>9</v>
      </c>
    </row>
    <row r="1110" spans="1:8" x14ac:dyDescent="0.35">
      <c r="A1110" t="s">
        <v>10</v>
      </c>
      <c r="B1110" t="s">
        <v>11</v>
      </c>
    </row>
    <row r="1111" spans="1:8" x14ac:dyDescent="0.35">
      <c r="A1111" t="s">
        <v>28</v>
      </c>
      <c r="B1111" t="s">
        <v>241</v>
      </c>
    </row>
    <row r="1112" spans="1:8" ht="15.5" x14ac:dyDescent="0.35">
      <c r="A1112" s="1" t="s">
        <v>13</v>
      </c>
    </row>
    <row r="1113" spans="1:8" x14ac:dyDescent="0.35">
      <c r="A1113" t="s">
        <v>14</v>
      </c>
      <c r="B1113" t="s">
        <v>15</v>
      </c>
      <c r="C1113" t="s">
        <v>2</v>
      </c>
      <c r="D1113" t="s">
        <v>8</v>
      </c>
      <c r="E1113" t="s">
        <v>16</v>
      </c>
      <c r="F1113" t="s">
        <v>6</v>
      </c>
      <c r="G1113" t="s">
        <v>12</v>
      </c>
      <c r="H1113" t="s">
        <v>5</v>
      </c>
    </row>
    <row r="1114" spans="1:8" ht="15.5" x14ac:dyDescent="0.35">
      <c r="A1114" s="2" t="s">
        <v>300</v>
      </c>
      <c r="B1114">
        <v>1</v>
      </c>
      <c r="C1114" t="s">
        <v>3</v>
      </c>
      <c r="D1114" t="s">
        <v>9</v>
      </c>
      <c r="F1114" t="s">
        <v>18</v>
      </c>
      <c r="G1114" t="s">
        <v>19</v>
      </c>
      <c r="H1114" s="2" t="s">
        <v>299</v>
      </c>
    </row>
    <row r="1115" spans="1:8" ht="15.5" x14ac:dyDescent="0.35">
      <c r="A1115" s="2" t="s">
        <v>80</v>
      </c>
      <c r="B1115" s="6">
        <f>(1/((Allocation!$C$39*Allocation!$B$4*Allocation!$B$10)/1000))*Allocation!F47</f>
        <v>11.932686628537386</v>
      </c>
      <c r="C1115" t="s">
        <v>3</v>
      </c>
      <c r="D1115" t="s">
        <v>9</v>
      </c>
      <c r="F1115" t="s">
        <v>21</v>
      </c>
      <c r="G1115" t="s">
        <v>19</v>
      </c>
      <c r="H1115" s="2" t="s">
        <v>422</v>
      </c>
    </row>
    <row r="1116" spans="1:8" ht="15.5" x14ac:dyDescent="0.35">
      <c r="A1116" s="2" t="s">
        <v>232</v>
      </c>
      <c r="B1116" s="4">
        <f>(300*Allocation!$B$3)/(Allocation!$B$4*Allocation!$B$10)*Allocation!F47</f>
        <v>8.0825562182458455E-2</v>
      </c>
      <c r="C1116" t="s">
        <v>27</v>
      </c>
      <c r="D1116" t="s">
        <v>20</v>
      </c>
      <c r="F1116" t="s">
        <v>21</v>
      </c>
      <c r="G1116" t="s">
        <v>425</v>
      </c>
      <c r="H1116" s="2" t="s">
        <v>233</v>
      </c>
    </row>
    <row r="1117" spans="1:8" x14ac:dyDescent="0.35">
      <c r="A1117" t="s">
        <v>225</v>
      </c>
      <c r="B1117" s="5">
        <f>((41.1/1000)/(Allocation!$B$4*Allocation!$B$10))*Allocation!$F$47</f>
        <v>1.0495275197263775E-2</v>
      </c>
      <c r="C1117" t="s">
        <v>33</v>
      </c>
      <c r="D1117" t="s">
        <v>9</v>
      </c>
      <c r="F1117" t="s">
        <v>21</v>
      </c>
      <c r="G1117" t="s">
        <v>426</v>
      </c>
      <c r="H1117" t="s">
        <v>226</v>
      </c>
    </row>
    <row r="1118" spans="1:8" x14ac:dyDescent="0.35">
      <c r="A1118" t="s">
        <v>201</v>
      </c>
      <c r="B1118" s="6">
        <f>(B1080*B1115)-Allocation!$B$13</f>
        <v>3.3363821165564502</v>
      </c>
      <c r="D1118" t="s">
        <v>9</v>
      </c>
      <c r="E1118" t="s">
        <v>39</v>
      </c>
      <c r="F1118" t="s">
        <v>38</v>
      </c>
      <c r="G1118" t="s">
        <v>441</v>
      </c>
    </row>
    <row r="1119" spans="1:8" x14ac:dyDescent="0.35">
      <c r="A1119" t="s">
        <v>319</v>
      </c>
      <c r="B1119" s="7">
        <f>1/(90000000*20)</f>
        <v>5.5555555555555553E-10</v>
      </c>
      <c r="C1119" t="s">
        <v>27</v>
      </c>
      <c r="D1119" t="s">
        <v>8</v>
      </c>
      <c r="F1119" t="s">
        <v>21</v>
      </c>
      <c r="G1119" t="s">
        <v>321</v>
      </c>
      <c r="H1119" t="s">
        <v>320</v>
      </c>
    </row>
    <row r="1120" spans="1:8" ht="15.5" x14ac:dyDescent="0.35">
      <c r="A1120" s="2"/>
      <c r="H1120" s="2"/>
    </row>
    <row r="1121" spans="1:8" ht="15.5" x14ac:dyDescent="0.35">
      <c r="A1121" s="1" t="s">
        <v>1</v>
      </c>
      <c r="B1121" s="1" t="s">
        <v>314</v>
      </c>
    </row>
    <row r="1122" spans="1:8" x14ac:dyDescent="0.35">
      <c r="A1122" t="s">
        <v>2</v>
      </c>
      <c r="B1122" t="s">
        <v>3</v>
      </c>
    </row>
    <row r="1123" spans="1:8" x14ac:dyDescent="0.35">
      <c r="A1123" t="s">
        <v>4</v>
      </c>
      <c r="B1123">
        <v>1</v>
      </c>
    </row>
    <row r="1124" spans="1:8" ht="15.5" x14ac:dyDescent="0.35">
      <c r="A1124" t="s">
        <v>5</v>
      </c>
      <c r="B1124" s="2" t="s">
        <v>299</v>
      </c>
    </row>
    <row r="1125" spans="1:8" x14ac:dyDescent="0.35">
      <c r="A1125" t="s">
        <v>6</v>
      </c>
      <c r="B1125" t="s">
        <v>7</v>
      </c>
    </row>
    <row r="1126" spans="1:8" x14ac:dyDescent="0.35">
      <c r="A1126" t="s">
        <v>8</v>
      </c>
      <c r="B1126" t="s">
        <v>9</v>
      </c>
    </row>
    <row r="1127" spans="1:8" x14ac:dyDescent="0.35">
      <c r="A1127" t="s">
        <v>10</v>
      </c>
      <c r="B1127" t="s">
        <v>11</v>
      </c>
    </row>
    <row r="1128" spans="1:8" x14ac:dyDescent="0.35">
      <c r="A1128" t="s">
        <v>28</v>
      </c>
      <c r="B1128" t="s">
        <v>386</v>
      </c>
    </row>
    <row r="1129" spans="1:8" ht="15.5" x14ac:dyDescent="0.35">
      <c r="A1129" s="1" t="s">
        <v>13</v>
      </c>
    </row>
    <row r="1130" spans="1:8" x14ac:dyDescent="0.35">
      <c r="A1130" t="s">
        <v>14</v>
      </c>
      <c r="B1130" t="s">
        <v>15</v>
      </c>
      <c r="C1130" t="s">
        <v>2</v>
      </c>
      <c r="D1130" t="s">
        <v>8</v>
      </c>
      <c r="E1130" t="s">
        <v>16</v>
      </c>
      <c r="F1130" t="s">
        <v>6</v>
      </c>
      <c r="G1130" t="s">
        <v>12</v>
      </c>
      <c r="H1130" t="s">
        <v>5</v>
      </c>
    </row>
    <row r="1131" spans="1:8" ht="15.5" x14ac:dyDescent="0.35">
      <c r="A1131" s="2" t="s">
        <v>314</v>
      </c>
      <c r="B1131">
        <v>1</v>
      </c>
      <c r="C1131" t="s">
        <v>3</v>
      </c>
      <c r="D1131" t="s">
        <v>9</v>
      </c>
      <c r="F1131" t="s">
        <v>18</v>
      </c>
      <c r="G1131" t="s">
        <v>19</v>
      </c>
      <c r="H1131" s="2" t="s">
        <v>299</v>
      </c>
    </row>
    <row r="1132" spans="1:8" ht="15.5" x14ac:dyDescent="0.35">
      <c r="A1132" s="2" t="s">
        <v>80</v>
      </c>
      <c r="B1132" s="6">
        <f>(1/((Allocation!$C$39*Allocation!$B$4*Allocation!$B$10)/1000))*Allocation!G47</f>
        <v>13.698636033825473</v>
      </c>
      <c r="C1132" t="s">
        <v>3</v>
      </c>
      <c r="D1132" t="s">
        <v>9</v>
      </c>
      <c r="F1132" t="s">
        <v>21</v>
      </c>
      <c r="G1132" t="s">
        <v>19</v>
      </c>
      <c r="H1132" s="2" t="s">
        <v>422</v>
      </c>
    </row>
    <row r="1133" spans="1:8" ht="15.5" x14ac:dyDescent="0.35">
      <c r="A1133" s="2" t="s">
        <v>232</v>
      </c>
      <c r="B1133" s="4">
        <f>(300*Allocation!$B$3)/(Allocation!$B$4*Allocation!$B$10)*Allocation!G47</f>
        <v>9.2787147859805866E-2</v>
      </c>
      <c r="C1133" t="s">
        <v>27</v>
      </c>
      <c r="D1133" t="s">
        <v>20</v>
      </c>
      <c r="F1133" t="s">
        <v>21</v>
      </c>
      <c r="G1133" t="s">
        <v>425</v>
      </c>
      <c r="H1133" s="2" t="s">
        <v>233</v>
      </c>
    </row>
    <row r="1134" spans="1:8" x14ac:dyDescent="0.35">
      <c r="A1134" t="s">
        <v>225</v>
      </c>
      <c r="B1134" s="5">
        <f>((41.1/1000)/(Allocation!$B$4*Allocation!$B$10))*Allocation!$G$47</f>
        <v>1.2048498337190858E-2</v>
      </c>
      <c r="C1134" t="s">
        <v>33</v>
      </c>
      <c r="D1134" t="s">
        <v>9</v>
      </c>
      <c r="F1134" t="s">
        <v>21</v>
      </c>
      <c r="G1134" t="s">
        <v>426</v>
      </c>
      <c r="H1134" t="s">
        <v>226</v>
      </c>
    </row>
    <row r="1135" spans="1:8" x14ac:dyDescent="0.35">
      <c r="A1135" t="s">
        <v>201</v>
      </c>
      <c r="B1135" s="6">
        <f>(B1080*B1132)-Allocation!$B$13</f>
        <v>4.113399854883208</v>
      </c>
      <c r="D1135" t="s">
        <v>9</v>
      </c>
      <c r="E1135" t="s">
        <v>39</v>
      </c>
      <c r="F1135" t="s">
        <v>38</v>
      </c>
      <c r="G1135" t="s">
        <v>441</v>
      </c>
    </row>
    <row r="1136" spans="1:8" x14ac:dyDescent="0.35">
      <c r="A1136" t="s">
        <v>319</v>
      </c>
      <c r="B1136" s="7">
        <f>1/(90000000*20)</f>
        <v>5.5555555555555553E-10</v>
      </c>
      <c r="C1136" t="s">
        <v>27</v>
      </c>
      <c r="D1136" t="s">
        <v>8</v>
      </c>
      <c r="F1136" t="s">
        <v>21</v>
      </c>
      <c r="G1136" t="s">
        <v>321</v>
      </c>
      <c r="H1136" t="s">
        <v>320</v>
      </c>
    </row>
    <row r="1137" spans="1:8" ht="15.5" x14ac:dyDescent="0.35">
      <c r="A1137" s="2"/>
      <c r="B1137" s="4"/>
      <c r="H1137" s="2"/>
    </row>
    <row r="1138" spans="1:8" ht="15.5" x14ac:dyDescent="0.35">
      <c r="A1138" s="1" t="s">
        <v>1</v>
      </c>
      <c r="B1138" s="1" t="s">
        <v>536</v>
      </c>
    </row>
    <row r="1139" spans="1:8" x14ac:dyDescent="0.35">
      <c r="A1139" t="s">
        <v>2</v>
      </c>
      <c r="B1139" t="s">
        <v>3</v>
      </c>
    </row>
    <row r="1140" spans="1:8" x14ac:dyDescent="0.35">
      <c r="A1140" t="s">
        <v>4</v>
      </c>
      <c r="B1140">
        <v>1</v>
      </c>
    </row>
    <row r="1141" spans="1:8" ht="15.5" x14ac:dyDescent="0.35">
      <c r="A1141" t="s">
        <v>5</v>
      </c>
      <c r="B1141" s="2" t="s">
        <v>299</v>
      </c>
    </row>
    <row r="1142" spans="1:8" x14ac:dyDescent="0.35">
      <c r="A1142" t="s">
        <v>6</v>
      </c>
      <c r="B1142" t="s">
        <v>7</v>
      </c>
    </row>
    <row r="1143" spans="1:8" x14ac:dyDescent="0.35">
      <c r="A1143" t="s">
        <v>8</v>
      </c>
      <c r="B1143" t="s">
        <v>9</v>
      </c>
    </row>
    <row r="1144" spans="1:8" x14ac:dyDescent="0.35">
      <c r="A1144" t="s">
        <v>10</v>
      </c>
      <c r="B1144" t="s">
        <v>11</v>
      </c>
    </row>
    <row r="1145" spans="1:8" x14ac:dyDescent="0.35">
      <c r="A1145" t="s">
        <v>28</v>
      </c>
      <c r="B1145" t="s">
        <v>522</v>
      </c>
    </row>
    <row r="1146" spans="1:8" ht="15.5" x14ac:dyDescent="0.35">
      <c r="A1146" s="1" t="s">
        <v>13</v>
      </c>
    </row>
    <row r="1147" spans="1:8" x14ac:dyDescent="0.35">
      <c r="A1147" t="s">
        <v>14</v>
      </c>
      <c r="B1147" t="s">
        <v>15</v>
      </c>
      <c r="C1147" t="s">
        <v>2</v>
      </c>
      <c r="D1147" t="s">
        <v>8</v>
      </c>
      <c r="E1147" t="s">
        <v>16</v>
      </c>
      <c r="F1147" t="s">
        <v>6</v>
      </c>
      <c r="G1147" t="s">
        <v>12</v>
      </c>
      <c r="H1147" t="s">
        <v>5</v>
      </c>
    </row>
    <row r="1148" spans="1:8" ht="15.5" x14ac:dyDescent="0.35">
      <c r="A1148" s="2" t="s">
        <v>536</v>
      </c>
      <c r="B1148">
        <v>1</v>
      </c>
      <c r="C1148" t="s">
        <v>3</v>
      </c>
      <c r="D1148" t="s">
        <v>9</v>
      </c>
      <c r="F1148" t="s">
        <v>18</v>
      </c>
      <c r="G1148" t="s">
        <v>19</v>
      </c>
      <c r="H1148" s="2" t="s">
        <v>299</v>
      </c>
    </row>
    <row r="1149" spans="1:8" ht="15.5" x14ac:dyDescent="0.35">
      <c r="A1149" s="2" t="s">
        <v>80</v>
      </c>
      <c r="B1149" s="6">
        <f>(1/((Allocation!$C$39*Allocation!$B$4*Allocation!$B$10)/1000))</f>
        <v>15.64744160965482</v>
      </c>
      <c r="C1149" t="s">
        <v>3</v>
      </c>
      <c r="D1149" t="s">
        <v>9</v>
      </c>
      <c r="F1149" t="s">
        <v>21</v>
      </c>
      <c r="G1149" t="s">
        <v>19</v>
      </c>
      <c r="H1149" s="2" t="s">
        <v>422</v>
      </c>
    </row>
    <row r="1150" spans="1:8" ht="15.5" x14ac:dyDescent="0.35">
      <c r="A1150" s="2" t="s">
        <v>232</v>
      </c>
      <c r="B1150" s="4">
        <f>(300*Allocation!$B$3)/(Allocation!$B$4*Allocation!$B$10)</f>
        <v>0.10598730228890306</v>
      </c>
      <c r="C1150" t="s">
        <v>27</v>
      </c>
      <c r="D1150" t="s">
        <v>20</v>
      </c>
      <c r="F1150" t="s">
        <v>21</v>
      </c>
      <c r="G1150" t="s">
        <v>425</v>
      </c>
      <c r="H1150" s="2" t="s">
        <v>233</v>
      </c>
    </row>
    <row r="1151" spans="1:8" x14ac:dyDescent="0.35">
      <c r="A1151" t="s">
        <v>225</v>
      </c>
      <c r="B1151" s="5">
        <f>((41.1/1000)/(Allocation!$B$4*Allocation!$B$10))</f>
        <v>1.3762550793355803E-2</v>
      </c>
      <c r="C1151" t="s">
        <v>33</v>
      </c>
      <c r="D1151" t="s">
        <v>9</v>
      </c>
      <c r="F1151" t="s">
        <v>21</v>
      </c>
      <c r="G1151" t="s">
        <v>426</v>
      </c>
      <c r="H1151" t="s">
        <v>226</v>
      </c>
    </row>
    <row r="1152" spans="1:8" x14ac:dyDescent="0.35">
      <c r="A1152" t="s">
        <v>201</v>
      </c>
      <c r="B1152" s="6">
        <f>(B1080*B1149)-Allocation!$B$13</f>
        <v>4.9708743082481206</v>
      </c>
      <c r="D1152" t="s">
        <v>9</v>
      </c>
      <c r="E1152" t="s">
        <v>39</v>
      </c>
      <c r="F1152" t="s">
        <v>38</v>
      </c>
      <c r="G1152" t="s">
        <v>441</v>
      </c>
    </row>
    <row r="1153" spans="1:10" x14ac:dyDescent="0.35">
      <c r="A1153" t="s">
        <v>319</v>
      </c>
      <c r="B1153" s="7">
        <f>1/(90000000*20)</f>
        <v>5.5555555555555553E-10</v>
      </c>
      <c r="C1153" t="s">
        <v>27</v>
      </c>
      <c r="D1153" t="s">
        <v>8</v>
      </c>
      <c r="F1153" t="s">
        <v>21</v>
      </c>
      <c r="G1153" t="s">
        <v>321</v>
      </c>
      <c r="H1153" t="s">
        <v>320</v>
      </c>
    </row>
    <row r="1154" spans="1:10" x14ac:dyDescent="0.35">
      <c r="A1154" s="38" t="s">
        <v>30</v>
      </c>
      <c r="B1154" s="68">
        <f>Allocation!C38/Allocation!B4*Allocation!B10*-1</f>
        <v>-0.73063276089828266</v>
      </c>
      <c r="C1154" t="s">
        <v>3</v>
      </c>
      <c r="D1154" s="38" t="s">
        <v>31</v>
      </c>
      <c r="E1154" s="38"/>
      <c r="F1154" s="38" t="s">
        <v>21</v>
      </c>
      <c r="G1154" s="38" t="s">
        <v>523</v>
      </c>
      <c r="H1154" s="38" t="s">
        <v>32</v>
      </c>
      <c r="I1154" s="38"/>
    </row>
    <row r="1155" spans="1:10" ht="15.5" x14ac:dyDescent="0.35">
      <c r="A1155" s="2"/>
      <c r="B1155" s="4"/>
      <c r="H1155" s="2"/>
    </row>
    <row r="1156" spans="1:10" ht="15.5" x14ac:dyDescent="0.35">
      <c r="A1156" s="1" t="s">
        <v>1</v>
      </c>
      <c r="B1156" s="1" t="s">
        <v>369</v>
      </c>
    </row>
    <row r="1157" spans="1:10" x14ac:dyDescent="0.35">
      <c r="A1157" t="s">
        <v>2</v>
      </c>
      <c r="B1157" t="s">
        <v>3</v>
      </c>
    </row>
    <row r="1158" spans="1:10" x14ac:dyDescent="0.35">
      <c r="A1158" t="s">
        <v>4</v>
      </c>
      <c r="B1158">
        <v>1</v>
      </c>
    </row>
    <row r="1159" spans="1:10" ht="15.5" x14ac:dyDescent="0.35">
      <c r="A1159" t="s">
        <v>5</v>
      </c>
      <c r="B1159" s="2" t="s">
        <v>350</v>
      </c>
    </row>
    <row r="1160" spans="1:10" x14ac:dyDescent="0.35">
      <c r="A1160" t="s">
        <v>6</v>
      </c>
      <c r="B1160" t="s">
        <v>7</v>
      </c>
    </row>
    <row r="1161" spans="1:10" x14ac:dyDescent="0.35">
      <c r="A1161" t="s">
        <v>8</v>
      </c>
      <c r="B1161" t="s">
        <v>9</v>
      </c>
    </row>
    <row r="1162" spans="1:10" x14ac:dyDescent="0.35">
      <c r="A1162" t="s">
        <v>10</v>
      </c>
      <c r="B1162" t="s">
        <v>406</v>
      </c>
    </row>
    <row r="1163" spans="1:10" x14ac:dyDescent="0.35">
      <c r="A1163" t="s">
        <v>12</v>
      </c>
      <c r="B1163" t="s">
        <v>375</v>
      </c>
    </row>
    <row r="1164" spans="1:10" ht="15.5" x14ac:dyDescent="0.35">
      <c r="A1164" s="1" t="s">
        <v>13</v>
      </c>
    </row>
    <row r="1165" spans="1:10" x14ac:dyDescent="0.35">
      <c r="A1165" t="s">
        <v>14</v>
      </c>
      <c r="B1165" t="s">
        <v>15</v>
      </c>
      <c r="C1165" t="s">
        <v>2</v>
      </c>
      <c r="D1165" t="s">
        <v>8</v>
      </c>
      <c r="E1165" t="s">
        <v>16</v>
      </c>
      <c r="F1165" t="s">
        <v>6</v>
      </c>
      <c r="G1165" t="s">
        <v>351</v>
      </c>
      <c r="H1165" t="s">
        <v>352</v>
      </c>
      <c r="I1165" t="s">
        <v>12</v>
      </c>
      <c r="J1165" t="s">
        <v>5</v>
      </c>
    </row>
    <row r="1166" spans="1:10" x14ac:dyDescent="0.35">
      <c r="A1166" s="38" t="s">
        <v>369</v>
      </c>
      <c r="B1166" s="38">
        <v>1</v>
      </c>
      <c r="C1166" t="s">
        <v>3</v>
      </c>
      <c r="D1166" s="38" t="s">
        <v>9</v>
      </c>
      <c r="E1166" s="38"/>
      <c r="F1166" s="38" t="s">
        <v>18</v>
      </c>
      <c r="G1166" s="38"/>
      <c r="H1166" s="38"/>
      <c r="I1166" s="38" t="s">
        <v>19</v>
      </c>
      <c r="J1166" s="38" t="s">
        <v>350</v>
      </c>
    </row>
    <row r="1167" spans="1:10" ht="15.5" x14ac:dyDescent="0.35">
      <c r="A1167" s="2" t="s">
        <v>300</v>
      </c>
      <c r="B1167">
        <v>1.00057</v>
      </c>
      <c r="C1167" t="s">
        <v>3</v>
      </c>
      <c r="D1167" t="s">
        <v>9</v>
      </c>
      <c r="F1167" s="38" t="s">
        <v>21</v>
      </c>
      <c r="G1167" t="s">
        <v>19</v>
      </c>
      <c r="I1167" s="38"/>
      <c r="J1167" s="2" t="s">
        <v>299</v>
      </c>
    </row>
    <row r="1168" spans="1:10" x14ac:dyDescent="0.35">
      <c r="A1168" s="38" t="s">
        <v>30</v>
      </c>
      <c r="B1168" s="38">
        <v>6.7000000000000002E-3</v>
      </c>
      <c r="C1168" t="s">
        <v>3</v>
      </c>
      <c r="D1168" s="38" t="s">
        <v>31</v>
      </c>
      <c r="E1168" s="38"/>
      <c r="F1168" s="38" t="s">
        <v>21</v>
      </c>
      <c r="G1168" s="38"/>
      <c r="H1168" s="38"/>
      <c r="I1168" s="38"/>
      <c r="J1168" s="38" t="s">
        <v>32</v>
      </c>
    </row>
    <row r="1169" spans="1:10" x14ac:dyDescent="0.35">
      <c r="A1169" s="38" t="s">
        <v>353</v>
      </c>
      <c r="B1169" s="38">
        <v>-1.6799999999999999E-4</v>
      </c>
      <c r="C1169" s="38" t="s">
        <v>33</v>
      </c>
      <c r="D1169" s="38" t="s">
        <v>9</v>
      </c>
      <c r="E1169" s="38"/>
      <c r="F1169" s="38" t="s">
        <v>21</v>
      </c>
      <c r="G1169" s="38"/>
      <c r="H1169" s="38"/>
      <c r="I1169" s="38"/>
      <c r="J1169" s="38" t="s">
        <v>354</v>
      </c>
    </row>
    <row r="1170" spans="1:10" x14ac:dyDescent="0.35">
      <c r="A1170" s="38" t="s">
        <v>355</v>
      </c>
      <c r="B1170" s="39">
        <v>5.8399999999999999E-4</v>
      </c>
      <c r="C1170" s="38" t="s">
        <v>33</v>
      </c>
      <c r="D1170" s="38" t="s">
        <v>20</v>
      </c>
      <c r="E1170" s="38"/>
      <c r="F1170" s="38" t="s">
        <v>21</v>
      </c>
      <c r="G1170" s="38"/>
      <c r="H1170" s="38"/>
      <c r="I1170" s="38"/>
      <c r="J1170" s="38" t="s">
        <v>356</v>
      </c>
    </row>
    <row r="1171" spans="1:10" x14ac:dyDescent="0.35">
      <c r="A1171" s="38" t="s">
        <v>357</v>
      </c>
      <c r="B1171" s="39">
        <v>2.5999999999999998E-10</v>
      </c>
      <c r="C1171" s="38" t="s">
        <v>33</v>
      </c>
      <c r="D1171" s="38" t="s">
        <v>8</v>
      </c>
      <c r="E1171" s="38"/>
      <c r="F1171" s="38" t="s">
        <v>21</v>
      </c>
      <c r="G1171" s="38"/>
      <c r="H1171" s="38"/>
      <c r="I1171" s="38"/>
      <c r="J1171" s="38" t="s">
        <v>358</v>
      </c>
    </row>
    <row r="1172" spans="1:10" x14ac:dyDescent="0.35">
      <c r="A1172" s="38" t="s">
        <v>359</v>
      </c>
      <c r="B1172" s="39">
        <v>-6.2700000000000001E-6</v>
      </c>
      <c r="C1172" s="38" t="s">
        <v>33</v>
      </c>
      <c r="D1172" s="38" t="s">
        <v>9</v>
      </c>
      <c r="E1172" s="38"/>
      <c r="F1172" s="38" t="s">
        <v>21</v>
      </c>
      <c r="G1172" s="38"/>
      <c r="H1172" s="38"/>
      <c r="I1172" s="38"/>
      <c r="J1172" s="38" t="s">
        <v>360</v>
      </c>
    </row>
    <row r="1173" spans="1:10" x14ac:dyDescent="0.35">
      <c r="A1173" s="38" t="s">
        <v>361</v>
      </c>
      <c r="B1173" s="39">
        <v>-7.4999999999999993E-5</v>
      </c>
      <c r="C1173" s="38" t="s">
        <v>33</v>
      </c>
      <c r="D1173" s="38" t="s">
        <v>131</v>
      </c>
      <c r="E1173" s="38"/>
      <c r="F1173" s="38" t="s">
        <v>21</v>
      </c>
      <c r="G1173" s="38"/>
      <c r="H1173" s="38"/>
      <c r="I1173" s="38"/>
      <c r="J1173" s="38" t="s">
        <v>362</v>
      </c>
    </row>
    <row r="1174" spans="1:10" x14ac:dyDescent="0.35">
      <c r="A1174" s="38" t="s">
        <v>363</v>
      </c>
      <c r="B1174" s="39">
        <v>6.8900000000000005E-4</v>
      </c>
      <c r="C1174" s="38" t="s">
        <v>33</v>
      </c>
      <c r="D1174" s="38" t="s">
        <v>9</v>
      </c>
      <c r="E1174" s="38"/>
      <c r="F1174" s="38" t="s">
        <v>21</v>
      </c>
      <c r="G1174" s="38"/>
      <c r="H1174" s="38"/>
      <c r="I1174" s="38"/>
      <c r="J1174" s="38" t="s">
        <v>364</v>
      </c>
    </row>
    <row r="1175" spans="1:10" x14ac:dyDescent="0.35">
      <c r="A1175" s="38" t="s">
        <v>108</v>
      </c>
      <c r="B1175" s="38">
        <v>3.3599999999999998E-2</v>
      </c>
      <c r="C1175" s="38" t="s">
        <v>33</v>
      </c>
      <c r="D1175" s="38" t="s">
        <v>45</v>
      </c>
      <c r="E1175" s="38"/>
      <c r="F1175" s="38" t="s">
        <v>21</v>
      </c>
      <c r="G1175" s="38"/>
      <c r="H1175" s="38"/>
      <c r="I1175" s="38"/>
      <c r="J1175" s="38" t="s">
        <v>111</v>
      </c>
    </row>
    <row r="1176" spans="1:10" x14ac:dyDescent="0.35">
      <c r="A1176" s="38" t="s">
        <v>365</v>
      </c>
      <c r="B1176" s="38">
        <v>3.2599999999999997E-2</v>
      </c>
      <c r="C1176" s="38" t="s">
        <v>33</v>
      </c>
      <c r="D1176" s="38" t="s">
        <v>45</v>
      </c>
      <c r="E1176" s="38"/>
      <c r="F1176" s="38" t="s">
        <v>21</v>
      </c>
      <c r="G1176" s="38"/>
      <c r="H1176" s="38"/>
      <c r="I1176" s="38"/>
      <c r="J1176" s="38" t="s">
        <v>366</v>
      </c>
    </row>
    <row r="1177" spans="1:10" x14ac:dyDescent="0.35">
      <c r="A1177" s="38" t="s">
        <v>367</v>
      </c>
      <c r="B1177" s="39">
        <v>-6.8899999999999999E-7</v>
      </c>
      <c r="C1177" s="38" t="s">
        <v>33</v>
      </c>
      <c r="D1177" s="38" t="s">
        <v>131</v>
      </c>
      <c r="E1177" s="38"/>
      <c r="F1177" s="38" t="s">
        <v>21</v>
      </c>
      <c r="G1177" s="38"/>
      <c r="H1177" s="38"/>
      <c r="I1177" s="38"/>
      <c r="J1177" s="38" t="s">
        <v>368</v>
      </c>
    </row>
    <row r="1179" spans="1:10" ht="15.5" x14ac:dyDescent="0.35">
      <c r="A1179" s="1" t="s">
        <v>1</v>
      </c>
      <c r="B1179" s="1" t="s">
        <v>370</v>
      </c>
    </row>
    <row r="1180" spans="1:10" x14ac:dyDescent="0.35">
      <c r="A1180" t="s">
        <v>2</v>
      </c>
      <c r="B1180" t="s">
        <v>3</v>
      </c>
    </row>
    <row r="1181" spans="1:10" x14ac:dyDescent="0.35">
      <c r="A1181" t="s">
        <v>4</v>
      </c>
      <c r="B1181">
        <v>1</v>
      </c>
    </row>
    <row r="1182" spans="1:10" ht="15.5" x14ac:dyDescent="0.35">
      <c r="A1182" t="s">
        <v>5</v>
      </c>
      <c r="B1182" s="2" t="s">
        <v>350</v>
      </c>
    </row>
    <row r="1183" spans="1:10" x14ac:dyDescent="0.35">
      <c r="A1183" t="s">
        <v>6</v>
      </c>
      <c r="B1183" t="s">
        <v>7</v>
      </c>
    </row>
    <row r="1184" spans="1:10" x14ac:dyDescent="0.35">
      <c r="A1184" t="s">
        <v>8</v>
      </c>
      <c r="B1184" t="s">
        <v>9</v>
      </c>
    </row>
    <row r="1185" spans="1:10" x14ac:dyDescent="0.35">
      <c r="A1185" t="s">
        <v>10</v>
      </c>
      <c r="B1185" t="s">
        <v>406</v>
      </c>
    </row>
    <row r="1186" spans="1:10" x14ac:dyDescent="0.35">
      <c r="A1186" t="s">
        <v>12</v>
      </c>
      <c r="B1186" t="s">
        <v>374</v>
      </c>
    </row>
    <row r="1187" spans="1:10" ht="15.5" x14ac:dyDescent="0.35">
      <c r="A1187" s="1" t="s">
        <v>13</v>
      </c>
    </row>
    <row r="1188" spans="1:10" x14ac:dyDescent="0.35">
      <c r="A1188" t="s">
        <v>14</v>
      </c>
      <c r="B1188" t="s">
        <v>15</v>
      </c>
      <c r="C1188" t="s">
        <v>2</v>
      </c>
      <c r="D1188" t="s">
        <v>8</v>
      </c>
      <c r="E1188" t="s">
        <v>16</v>
      </c>
      <c r="F1188" t="s">
        <v>6</v>
      </c>
      <c r="G1188" t="s">
        <v>351</v>
      </c>
      <c r="H1188" t="s">
        <v>352</v>
      </c>
      <c r="I1188" t="s">
        <v>12</v>
      </c>
      <c r="J1188" t="s">
        <v>5</v>
      </c>
    </row>
    <row r="1189" spans="1:10" x14ac:dyDescent="0.35">
      <c r="A1189" s="38" t="s">
        <v>370</v>
      </c>
      <c r="B1189" s="38">
        <v>1</v>
      </c>
      <c r="C1189" t="s">
        <v>3</v>
      </c>
      <c r="D1189" s="38" t="s">
        <v>9</v>
      </c>
      <c r="E1189" s="38"/>
      <c r="F1189" s="38" t="s">
        <v>18</v>
      </c>
      <c r="G1189" s="38"/>
      <c r="H1189" s="38"/>
      <c r="I1189" s="38" t="s">
        <v>19</v>
      </c>
      <c r="J1189" s="38" t="s">
        <v>350</v>
      </c>
    </row>
    <row r="1190" spans="1:10" ht="15.5" x14ac:dyDescent="0.35">
      <c r="A1190" s="2" t="s">
        <v>314</v>
      </c>
      <c r="B1190">
        <v>1.00057</v>
      </c>
      <c r="C1190" t="s">
        <v>3</v>
      </c>
      <c r="D1190" t="s">
        <v>9</v>
      </c>
      <c r="F1190" s="38" t="s">
        <v>21</v>
      </c>
      <c r="G1190" t="s">
        <v>19</v>
      </c>
      <c r="I1190" s="38"/>
      <c r="J1190" s="2" t="s">
        <v>299</v>
      </c>
    </row>
    <row r="1191" spans="1:10" x14ac:dyDescent="0.35">
      <c r="A1191" s="38" t="s">
        <v>30</v>
      </c>
      <c r="B1191" s="38">
        <v>6.7000000000000002E-3</v>
      </c>
      <c r="C1191" t="s">
        <v>3</v>
      </c>
      <c r="D1191" s="38" t="s">
        <v>31</v>
      </c>
      <c r="E1191" s="38"/>
      <c r="F1191" s="38" t="s">
        <v>21</v>
      </c>
      <c r="G1191" s="38"/>
      <c r="H1191" s="38"/>
      <c r="I1191" s="38"/>
      <c r="J1191" s="38" t="s">
        <v>32</v>
      </c>
    </row>
    <row r="1192" spans="1:10" x14ac:dyDescent="0.35">
      <c r="A1192" s="38" t="s">
        <v>353</v>
      </c>
      <c r="B1192" s="38">
        <v>-1.6799999999999999E-4</v>
      </c>
      <c r="C1192" s="38" t="s">
        <v>33</v>
      </c>
      <c r="D1192" s="38" t="s">
        <v>9</v>
      </c>
      <c r="E1192" s="38"/>
      <c r="F1192" s="38" t="s">
        <v>21</v>
      </c>
      <c r="G1192" s="38"/>
      <c r="H1192" s="38"/>
      <c r="I1192" s="38"/>
      <c r="J1192" s="38" t="s">
        <v>354</v>
      </c>
    </row>
    <row r="1193" spans="1:10" x14ac:dyDescent="0.35">
      <c r="A1193" s="38" t="s">
        <v>355</v>
      </c>
      <c r="B1193" s="39">
        <v>5.8399999999999999E-4</v>
      </c>
      <c r="C1193" s="38" t="s">
        <v>33</v>
      </c>
      <c r="D1193" s="38" t="s">
        <v>20</v>
      </c>
      <c r="E1193" s="38"/>
      <c r="F1193" s="38" t="s">
        <v>21</v>
      </c>
      <c r="G1193" s="38"/>
      <c r="H1193" s="38"/>
      <c r="I1193" s="38"/>
      <c r="J1193" s="38" t="s">
        <v>356</v>
      </c>
    </row>
    <row r="1194" spans="1:10" x14ac:dyDescent="0.35">
      <c r="A1194" s="38" t="s">
        <v>357</v>
      </c>
      <c r="B1194" s="39">
        <v>2.5999999999999998E-10</v>
      </c>
      <c r="C1194" s="38" t="s">
        <v>33</v>
      </c>
      <c r="D1194" s="38" t="s">
        <v>8</v>
      </c>
      <c r="E1194" s="38"/>
      <c r="F1194" s="38" t="s">
        <v>21</v>
      </c>
      <c r="G1194" s="38"/>
      <c r="H1194" s="38"/>
      <c r="I1194" s="38"/>
      <c r="J1194" s="38" t="s">
        <v>358</v>
      </c>
    </row>
    <row r="1195" spans="1:10" x14ac:dyDescent="0.35">
      <c r="A1195" s="38" t="s">
        <v>359</v>
      </c>
      <c r="B1195" s="39">
        <v>-6.2700000000000001E-6</v>
      </c>
      <c r="C1195" s="38" t="s">
        <v>33</v>
      </c>
      <c r="D1195" s="38" t="s">
        <v>9</v>
      </c>
      <c r="E1195" s="38"/>
      <c r="F1195" s="38" t="s">
        <v>21</v>
      </c>
      <c r="G1195" s="38"/>
      <c r="H1195" s="38"/>
      <c r="I1195" s="38"/>
      <c r="J1195" s="38" t="s">
        <v>360</v>
      </c>
    </row>
    <row r="1196" spans="1:10" x14ac:dyDescent="0.35">
      <c r="A1196" s="38" t="s">
        <v>361</v>
      </c>
      <c r="B1196" s="39">
        <v>-7.4999999999999993E-5</v>
      </c>
      <c r="C1196" s="38" t="s">
        <v>33</v>
      </c>
      <c r="D1196" s="38" t="s">
        <v>131</v>
      </c>
      <c r="E1196" s="38"/>
      <c r="F1196" s="38" t="s">
        <v>21</v>
      </c>
      <c r="G1196" s="38"/>
      <c r="H1196" s="38"/>
      <c r="I1196" s="38"/>
      <c r="J1196" s="38" t="s">
        <v>362</v>
      </c>
    </row>
    <row r="1197" spans="1:10" x14ac:dyDescent="0.35">
      <c r="A1197" s="38" t="s">
        <v>363</v>
      </c>
      <c r="B1197" s="39">
        <v>6.8900000000000005E-4</v>
      </c>
      <c r="C1197" s="38" t="s">
        <v>33</v>
      </c>
      <c r="D1197" s="38" t="s">
        <v>9</v>
      </c>
      <c r="E1197" s="38"/>
      <c r="F1197" s="38" t="s">
        <v>21</v>
      </c>
      <c r="G1197" s="38"/>
      <c r="H1197" s="38"/>
      <c r="I1197" s="38"/>
      <c r="J1197" s="38" t="s">
        <v>364</v>
      </c>
    </row>
    <row r="1198" spans="1:10" x14ac:dyDescent="0.35">
      <c r="A1198" s="38" t="s">
        <v>108</v>
      </c>
      <c r="B1198" s="38">
        <v>3.3599999999999998E-2</v>
      </c>
      <c r="C1198" s="38" t="s">
        <v>33</v>
      </c>
      <c r="D1198" s="38" t="s">
        <v>45</v>
      </c>
      <c r="E1198" s="38"/>
      <c r="F1198" s="38" t="s">
        <v>21</v>
      </c>
      <c r="G1198" s="38"/>
      <c r="H1198" s="38"/>
      <c r="I1198" s="38"/>
      <c r="J1198" s="38" t="s">
        <v>111</v>
      </c>
    </row>
    <row r="1199" spans="1:10" x14ac:dyDescent="0.35">
      <c r="A1199" s="38" t="s">
        <v>365</v>
      </c>
      <c r="B1199" s="38">
        <v>3.2599999999999997E-2</v>
      </c>
      <c r="C1199" s="38" t="s">
        <v>33</v>
      </c>
      <c r="D1199" s="38" t="s">
        <v>45</v>
      </c>
      <c r="E1199" s="38"/>
      <c r="F1199" s="38" t="s">
        <v>21</v>
      </c>
      <c r="G1199" s="38"/>
      <c r="H1199" s="38"/>
      <c r="I1199" s="38"/>
      <c r="J1199" s="38" t="s">
        <v>366</v>
      </c>
    </row>
    <row r="1200" spans="1:10" x14ac:dyDescent="0.35">
      <c r="A1200" s="38" t="s">
        <v>367</v>
      </c>
      <c r="B1200" s="39">
        <v>-6.8899999999999999E-7</v>
      </c>
      <c r="C1200" s="38" t="s">
        <v>33</v>
      </c>
      <c r="D1200" s="38" t="s">
        <v>131</v>
      </c>
      <c r="E1200" s="38"/>
      <c r="F1200" s="38" t="s">
        <v>21</v>
      </c>
      <c r="G1200" s="38"/>
      <c r="H1200" s="38"/>
      <c r="I1200" s="38"/>
      <c r="J1200" s="38" t="s">
        <v>368</v>
      </c>
    </row>
    <row r="1201" spans="1:10" x14ac:dyDescent="0.35">
      <c r="A1201" s="38"/>
      <c r="B1201" s="39"/>
      <c r="C1201" s="38"/>
      <c r="D1201" s="38"/>
      <c r="E1201" s="38"/>
      <c r="F1201" s="38"/>
      <c r="G1201" s="38"/>
      <c r="H1201" s="38"/>
      <c r="I1201" s="38"/>
      <c r="J1201" s="38"/>
    </row>
    <row r="1202" spans="1:10" ht="15.5" x14ac:dyDescent="0.35">
      <c r="A1202" s="1" t="s">
        <v>1</v>
      </c>
      <c r="B1202" s="1" t="s">
        <v>537</v>
      </c>
    </row>
    <row r="1203" spans="1:10" x14ac:dyDescent="0.35">
      <c r="A1203" t="s">
        <v>2</v>
      </c>
      <c r="B1203" t="s">
        <v>3</v>
      </c>
    </row>
    <row r="1204" spans="1:10" x14ac:dyDescent="0.35">
      <c r="A1204" t="s">
        <v>4</v>
      </c>
      <c r="B1204">
        <v>1</v>
      </c>
    </row>
    <row r="1205" spans="1:10" ht="15.5" x14ac:dyDescent="0.35">
      <c r="A1205" t="s">
        <v>5</v>
      </c>
      <c r="B1205" s="2" t="s">
        <v>350</v>
      </c>
    </row>
    <row r="1206" spans="1:10" x14ac:dyDescent="0.35">
      <c r="A1206" t="s">
        <v>6</v>
      </c>
      <c r="B1206" t="s">
        <v>7</v>
      </c>
    </row>
    <row r="1207" spans="1:10" x14ac:dyDescent="0.35">
      <c r="A1207" t="s">
        <v>8</v>
      </c>
      <c r="B1207" t="s">
        <v>9</v>
      </c>
    </row>
    <row r="1208" spans="1:10" x14ac:dyDescent="0.35">
      <c r="A1208" t="s">
        <v>10</v>
      </c>
      <c r="B1208" t="s">
        <v>406</v>
      </c>
    </row>
    <row r="1209" spans="1:10" x14ac:dyDescent="0.35">
      <c r="A1209" t="s">
        <v>12</v>
      </c>
      <c r="B1209" t="s">
        <v>525</v>
      </c>
    </row>
    <row r="1210" spans="1:10" ht="15.5" x14ac:dyDescent="0.35">
      <c r="A1210" s="1" t="s">
        <v>13</v>
      </c>
    </row>
    <row r="1211" spans="1:10" x14ac:dyDescent="0.35">
      <c r="A1211" t="s">
        <v>14</v>
      </c>
      <c r="B1211" t="s">
        <v>15</v>
      </c>
      <c r="C1211" t="s">
        <v>2</v>
      </c>
      <c r="D1211" t="s">
        <v>8</v>
      </c>
      <c r="E1211" t="s">
        <v>16</v>
      </c>
      <c r="F1211" t="s">
        <v>6</v>
      </c>
      <c r="G1211" t="s">
        <v>351</v>
      </c>
      <c r="H1211" t="s">
        <v>352</v>
      </c>
      <c r="I1211" t="s">
        <v>12</v>
      </c>
      <c r="J1211" t="s">
        <v>5</v>
      </c>
    </row>
    <row r="1212" spans="1:10" x14ac:dyDescent="0.35">
      <c r="A1212" s="38" t="s">
        <v>537</v>
      </c>
      <c r="B1212" s="38">
        <v>1</v>
      </c>
      <c r="C1212" t="s">
        <v>3</v>
      </c>
      <c r="D1212" s="38" t="s">
        <v>9</v>
      </c>
      <c r="E1212" s="38"/>
      <c r="F1212" s="38" t="s">
        <v>18</v>
      </c>
      <c r="G1212" s="38"/>
      <c r="H1212" s="38"/>
      <c r="I1212" s="38" t="s">
        <v>19</v>
      </c>
      <c r="J1212" s="38" t="s">
        <v>350</v>
      </c>
    </row>
    <row r="1213" spans="1:10" ht="15.5" x14ac:dyDescent="0.35">
      <c r="A1213" s="2" t="s">
        <v>536</v>
      </c>
      <c r="B1213">
        <v>1.00057</v>
      </c>
      <c r="C1213" t="s">
        <v>3</v>
      </c>
      <c r="D1213" t="s">
        <v>9</v>
      </c>
      <c r="F1213" s="38" t="s">
        <v>21</v>
      </c>
      <c r="G1213" t="s">
        <v>19</v>
      </c>
      <c r="I1213" s="38"/>
      <c r="J1213" s="2" t="s">
        <v>299</v>
      </c>
    </row>
    <row r="1214" spans="1:10" x14ac:dyDescent="0.35">
      <c r="A1214" s="38" t="s">
        <v>30</v>
      </c>
      <c r="B1214" s="38">
        <v>6.7000000000000002E-3</v>
      </c>
      <c r="C1214" t="s">
        <v>3</v>
      </c>
      <c r="D1214" s="38" t="s">
        <v>31</v>
      </c>
      <c r="E1214" s="38"/>
      <c r="F1214" s="38" t="s">
        <v>21</v>
      </c>
      <c r="G1214" s="38"/>
      <c r="H1214" s="38"/>
      <c r="I1214" s="38"/>
      <c r="J1214" s="38" t="s">
        <v>32</v>
      </c>
    </row>
    <row r="1215" spans="1:10" x14ac:dyDescent="0.35">
      <c r="A1215" s="38" t="s">
        <v>353</v>
      </c>
      <c r="B1215" s="38">
        <v>-1.6799999999999999E-4</v>
      </c>
      <c r="C1215" s="38" t="s">
        <v>33</v>
      </c>
      <c r="D1215" s="38" t="s">
        <v>9</v>
      </c>
      <c r="E1215" s="38"/>
      <c r="F1215" s="38" t="s">
        <v>21</v>
      </c>
      <c r="G1215" s="38"/>
      <c r="H1215" s="38"/>
      <c r="I1215" s="38"/>
      <c r="J1215" s="38" t="s">
        <v>354</v>
      </c>
    </row>
    <row r="1216" spans="1:10" x14ac:dyDescent="0.35">
      <c r="A1216" s="38" t="s">
        <v>355</v>
      </c>
      <c r="B1216" s="39">
        <v>5.8399999999999999E-4</v>
      </c>
      <c r="C1216" s="38" t="s">
        <v>33</v>
      </c>
      <c r="D1216" s="38" t="s">
        <v>20</v>
      </c>
      <c r="E1216" s="38"/>
      <c r="F1216" s="38" t="s">
        <v>21</v>
      </c>
      <c r="G1216" s="38"/>
      <c r="H1216" s="38"/>
      <c r="I1216" s="38"/>
      <c r="J1216" s="38" t="s">
        <v>356</v>
      </c>
    </row>
    <row r="1217" spans="1:10" x14ac:dyDescent="0.35">
      <c r="A1217" s="38" t="s">
        <v>357</v>
      </c>
      <c r="B1217" s="39">
        <v>2.5999999999999998E-10</v>
      </c>
      <c r="C1217" s="38" t="s">
        <v>33</v>
      </c>
      <c r="D1217" s="38" t="s">
        <v>8</v>
      </c>
      <c r="E1217" s="38"/>
      <c r="F1217" s="38" t="s">
        <v>21</v>
      </c>
      <c r="G1217" s="38"/>
      <c r="H1217" s="38"/>
      <c r="I1217" s="38"/>
      <c r="J1217" s="38" t="s">
        <v>358</v>
      </c>
    </row>
    <row r="1218" spans="1:10" x14ac:dyDescent="0.35">
      <c r="A1218" s="38" t="s">
        <v>359</v>
      </c>
      <c r="B1218" s="39">
        <v>-6.2700000000000001E-6</v>
      </c>
      <c r="C1218" s="38" t="s">
        <v>33</v>
      </c>
      <c r="D1218" s="38" t="s">
        <v>9</v>
      </c>
      <c r="E1218" s="38"/>
      <c r="F1218" s="38" t="s">
        <v>21</v>
      </c>
      <c r="G1218" s="38"/>
      <c r="H1218" s="38"/>
      <c r="I1218" s="38"/>
      <c r="J1218" s="38" t="s">
        <v>360</v>
      </c>
    </row>
    <row r="1219" spans="1:10" x14ac:dyDescent="0.35">
      <c r="A1219" s="38" t="s">
        <v>361</v>
      </c>
      <c r="B1219" s="39">
        <v>-7.4999999999999993E-5</v>
      </c>
      <c r="C1219" s="38" t="s">
        <v>33</v>
      </c>
      <c r="D1219" s="38" t="s">
        <v>131</v>
      </c>
      <c r="E1219" s="38"/>
      <c r="F1219" s="38" t="s">
        <v>21</v>
      </c>
      <c r="G1219" s="38"/>
      <c r="H1219" s="38"/>
      <c r="I1219" s="38"/>
      <c r="J1219" s="38" t="s">
        <v>362</v>
      </c>
    </row>
    <row r="1220" spans="1:10" x14ac:dyDescent="0.35">
      <c r="A1220" s="38" t="s">
        <v>363</v>
      </c>
      <c r="B1220" s="39">
        <v>6.8900000000000005E-4</v>
      </c>
      <c r="C1220" s="38" t="s">
        <v>33</v>
      </c>
      <c r="D1220" s="38" t="s">
        <v>9</v>
      </c>
      <c r="E1220" s="38"/>
      <c r="F1220" s="38" t="s">
        <v>21</v>
      </c>
      <c r="G1220" s="38"/>
      <c r="H1220" s="38"/>
      <c r="I1220" s="38"/>
      <c r="J1220" s="38" t="s">
        <v>364</v>
      </c>
    </row>
    <row r="1221" spans="1:10" x14ac:dyDescent="0.35">
      <c r="A1221" s="38" t="s">
        <v>108</v>
      </c>
      <c r="B1221" s="38">
        <v>3.3599999999999998E-2</v>
      </c>
      <c r="C1221" s="38" t="s">
        <v>33</v>
      </c>
      <c r="D1221" s="38" t="s">
        <v>45</v>
      </c>
      <c r="E1221" s="38"/>
      <c r="F1221" s="38" t="s">
        <v>21</v>
      </c>
      <c r="G1221" s="38"/>
      <c r="H1221" s="38"/>
      <c r="I1221" s="38"/>
      <c r="J1221" s="38" t="s">
        <v>111</v>
      </c>
    </row>
    <row r="1222" spans="1:10" x14ac:dyDescent="0.35">
      <c r="A1222" s="38" t="s">
        <v>365</v>
      </c>
      <c r="B1222" s="38">
        <v>3.2599999999999997E-2</v>
      </c>
      <c r="C1222" s="38" t="s">
        <v>33</v>
      </c>
      <c r="D1222" s="38" t="s">
        <v>45</v>
      </c>
      <c r="E1222" s="38"/>
      <c r="F1222" s="38" t="s">
        <v>21</v>
      </c>
      <c r="G1222" s="38"/>
      <c r="H1222" s="38"/>
      <c r="I1222" s="38"/>
      <c r="J1222" s="38" t="s">
        <v>366</v>
      </c>
    </row>
    <row r="1223" spans="1:10" x14ac:dyDescent="0.35">
      <c r="A1223" s="38" t="s">
        <v>367</v>
      </c>
      <c r="B1223" s="39">
        <v>-6.8899999999999999E-7</v>
      </c>
      <c r="C1223" s="38" t="s">
        <v>33</v>
      </c>
      <c r="D1223" s="38" t="s">
        <v>131</v>
      </c>
      <c r="E1223" s="38"/>
      <c r="F1223" s="38" t="s">
        <v>21</v>
      </c>
      <c r="G1223" s="38"/>
      <c r="H1223" s="38"/>
      <c r="I1223" s="38"/>
      <c r="J1223" s="38" t="s">
        <v>368</v>
      </c>
    </row>
    <row r="1224" spans="1:10" x14ac:dyDescent="0.35">
      <c r="A1224" s="38"/>
      <c r="B1224" s="39"/>
      <c r="C1224" s="38"/>
      <c r="D1224" s="38"/>
      <c r="E1224" s="38"/>
      <c r="F1224" s="38"/>
      <c r="G1224" s="38"/>
      <c r="H1224" s="38"/>
      <c r="I1224" s="38"/>
      <c r="J1224" s="38"/>
    </row>
    <row r="1225" spans="1:10" ht="15.5" x14ac:dyDescent="0.35">
      <c r="A1225" s="1" t="s">
        <v>1</v>
      </c>
      <c r="B1225" s="1" t="s">
        <v>89</v>
      </c>
    </row>
    <row r="1226" spans="1:10" x14ac:dyDescent="0.35">
      <c r="A1226" t="s">
        <v>2</v>
      </c>
      <c r="B1226" t="s">
        <v>3</v>
      </c>
    </row>
    <row r="1227" spans="1:10" x14ac:dyDescent="0.35">
      <c r="A1227" t="s">
        <v>4</v>
      </c>
      <c r="B1227">
        <v>1</v>
      </c>
    </row>
    <row r="1228" spans="1:10" ht="15.5" x14ac:dyDescent="0.35">
      <c r="A1228" t="s">
        <v>5</v>
      </c>
      <c r="B1228" s="2" t="s">
        <v>90</v>
      </c>
    </row>
    <row r="1229" spans="1:10" x14ac:dyDescent="0.35">
      <c r="A1229" t="s">
        <v>6</v>
      </c>
      <c r="B1229" t="s">
        <v>7</v>
      </c>
    </row>
    <row r="1230" spans="1:10" x14ac:dyDescent="0.35">
      <c r="A1230" t="s">
        <v>8</v>
      </c>
      <c r="B1230" t="s">
        <v>9</v>
      </c>
    </row>
    <row r="1231" spans="1:10" x14ac:dyDescent="0.35">
      <c r="A1231" t="s">
        <v>10</v>
      </c>
      <c r="B1231" t="s">
        <v>11</v>
      </c>
    </row>
    <row r="1232" spans="1:10" x14ac:dyDescent="0.35">
      <c r="A1232" t="s">
        <v>28</v>
      </c>
      <c r="B1232" t="s">
        <v>185</v>
      </c>
    </row>
    <row r="1233" spans="1:8" ht="15.5" x14ac:dyDescent="0.35">
      <c r="A1233" s="1" t="s">
        <v>13</v>
      </c>
    </row>
    <row r="1234" spans="1:8" x14ac:dyDescent="0.35">
      <c r="A1234" t="s">
        <v>14</v>
      </c>
      <c r="B1234" t="s">
        <v>15</v>
      </c>
      <c r="C1234" t="s">
        <v>2</v>
      </c>
      <c r="D1234" t="s">
        <v>8</v>
      </c>
      <c r="E1234" t="s">
        <v>16</v>
      </c>
      <c r="F1234" t="s">
        <v>6</v>
      </c>
      <c r="G1234" t="s">
        <v>12</v>
      </c>
      <c r="H1234" t="s">
        <v>5</v>
      </c>
    </row>
    <row r="1235" spans="1:8" ht="15.5" x14ac:dyDescent="0.35">
      <c r="A1235" s="2" t="s">
        <v>89</v>
      </c>
      <c r="B1235">
        <v>1</v>
      </c>
      <c r="C1235" t="s">
        <v>3</v>
      </c>
      <c r="D1235" t="s">
        <v>9</v>
      </c>
      <c r="F1235" t="s">
        <v>18</v>
      </c>
      <c r="G1235" t="s">
        <v>19</v>
      </c>
      <c r="H1235" s="2" t="s">
        <v>90</v>
      </c>
    </row>
    <row r="1236" spans="1:8" x14ac:dyDescent="0.35">
      <c r="A1236" t="s">
        <v>23</v>
      </c>
      <c r="B1236" s="5">
        <f>5983*Allocation!$B$3/Allocation!$B$8/1000</f>
        <v>0.24851916633468898</v>
      </c>
      <c r="C1236" t="s">
        <v>27</v>
      </c>
      <c r="D1236" t="s">
        <v>20</v>
      </c>
      <c r="F1236" t="s">
        <v>21</v>
      </c>
      <c r="G1236" t="s">
        <v>83</v>
      </c>
      <c r="H1236" t="s">
        <v>24</v>
      </c>
    </row>
    <row r="1237" spans="1:8" x14ac:dyDescent="0.35">
      <c r="A1237" t="s">
        <v>82</v>
      </c>
      <c r="B1237" s="5">
        <f>3100*Allocation!$B$3/Allocation!$B$8/1000</f>
        <v>0.12876640742729997</v>
      </c>
      <c r="C1237" t="s">
        <v>27</v>
      </c>
      <c r="D1237" t="s">
        <v>20</v>
      </c>
      <c r="F1237" t="s">
        <v>21</v>
      </c>
      <c r="G1237" t="s">
        <v>84</v>
      </c>
      <c r="H1237" t="s">
        <v>82</v>
      </c>
    </row>
    <row r="1238" spans="1:8" x14ac:dyDescent="0.35">
      <c r="A1238" t="s">
        <v>85</v>
      </c>
      <c r="B1238" s="5">
        <f>7646*Allocation!$B$3/Allocation!$B$8/1000</f>
        <v>0.31759611328681792</v>
      </c>
      <c r="C1238" t="s">
        <v>27</v>
      </c>
      <c r="D1238" t="s">
        <v>20</v>
      </c>
      <c r="F1238" t="s">
        <v>21</v>
      </c>
      <c r="G1238" t="s">
        <v>87</v>
      </c>
      <c r="H1238" t="s">
        <v>86</v>
      </c>
    </row>
    <row r="1239" spans="1:8" x14ac:dyDescent="0.35">
      <c r="A1239" t="s">
        <v>30</v>
      </c>
      <c r="B1239" s="3">
        <f>14*Allocation!$B$3/1000/3.6</f>
        <v>4.1029951666666666E-6</v>
      </c>
      <c r="C1239" t="s">
        <v>3</v>
      </c>
      <c r="D1239" t="s">
        <v>31</v>
      </c>
      <c r="F1239" t="s">
        <v>21</v>
      </c>
      <c r="H1239" t="s">
        <v>32</v>
      </c>
    </row>
    <row r="1240" spans="1:8" x14ac:dyDescent="0.35">
      <c r="A1240" t="s">
        <v>43</v>
      </c>
      <c r="B1240">
        <f>20*Allocation!$B$7/1000</f>
        <v>3.2199999999999999E-2</v>
      </c>
      <c r="C1240" t="s">
        <v>33</v>
      </c>
      <c r="D1240" t="s">
        <v>45</v>
      </c>
      <c r="F1240" t="s">
        <v>21</v>
      </c>
      <c r="G1240" t="s">
        <v>91</v>
      </c>
      <c r="H1240" t="s">
        <v>44</v>
      </c>
    </row>
    <row r="1241" spans="1:8" x14ac:dyDescent="0.35">
      <c r="A1241" t="s">
        <v>46</v>
      </c>
      <c r="B1241">
        <f>0.522/Allocation!B8/1000</f>
        <v>2.0551139999999996E-2</v>
      </c>
      <c r="C1241" t="s">
        <v>3</v>
      </c>
      <c r="D1241" t="s">
        <v>9</v>
      </c>
      <c r="F1241" t="s">
        <v>21</v>
      </c>
      <c r="H1241" t="s">
        <v>47</v>
      </c>
    </row>
    <row r="1242" spans="1:8" x14ac:dyDescent="0.35">
      <c r="A1242" t="s">
        <v>48</v>
      </c>
      <c r="B1242">
        <f>0.1235/Allocation!B8/1000</f>
        <v>4.8621949999999988E-3</v>
      </c>
      <c r="C1242" t="s">
        <v>3</v>
      </c>
      <c r="D1242" t="s">
        <v>9</v>
      </c>
      <c r="F1242" t="s">
        <v>21</v>
      </c>
      <c r="H1242" t="s">
        <v>49</v>
      </c>
    </row>
    <row r="1243" spans="1:8" x14ac:dyDescent="0.35">
      <c r="A1243" t="s">
        <v>50</v>
      </c>
      <c r="B1243">
        <f>0.0194/Allocation!B8/1000</f>
        <v>7.63778E-4</v>
      </c>
      <c r="C1243" t="s">
        <v>3</v>
      </c>
      <c r="D1243" t="s">
        <v>9</v>
      </c>
      <c r="F1243" t="s">
        <v>21</v>
      </c>
      <c r="H1243" t="s">
        <v>51</v>
      </c>
    </row>
    <row r="1244" spans="1:8" x14ac:dyDescent="0.35">
      <c r="A1244" t="s">
        <v>54</v>
      </c>
      <c r="B1244">
        <f>28.67/1000/Allocation!B8/1000</f>
        <v>1.1287379E-3</v>
      </c>
      <c r="C1244" t="s">
        <v>27</v>
      </c>
      <c r="D1244" t="s">
        <v>9</v>
      </c>
      <c r="F1244" t="s">
        <v>21</v>
      </c>
      <c r="G1244" t="s">
        <v>55</v>
      </c>
      <c r="H1244" t="s">
        <v>57</v>
      </c>
    </row>
    <row r="1245" spans="1:8" x14ac:dyDescent="0.35">
      <c r="A1245" t="s">
        <v>191</v>
      </c>
      <c r="B1245" s="7">
        <v>3.6830900643231697E-5</v>
      </c>
      <c r="C1245" t="s">
        <v>27</v>
      </c>
      <c r="D1245" t="s">
        <v>129</v>
      </c>
      <c r="F1245" t="s">
        <v>21</v>
      </c>
      <c r="G1245" t="s">
        <v>190</v>
      </c>
      <c r="H1245" t="s">
        <v>192</v>
      </c>
    </row>
    <row r="1246" spans="1:8" x14ac:dyDescent="0.35">
      <c r="A1246" t="s">
        <v>193</v>
      </c>
      <c r="B1246">
        <v>1.1049380686770699E-4</v>
      </c>
      <c r="C1246" t="s">
        <v>27</v>
      </c>
      <c r="D1246" t="s">
        <v>129</v>
      </c>
      <c r="F1246" t="s">
        <v>21</v>
      </c>
      <c r="G1246" t="s">
        <v>190</v>
      </c>
      <c r="H1246" t="s">
        <v>194</v>
      </c>
    </row>
    <row r="1247" spans="1:8" x14ac:dyDescent="0.35">
      <c r="A1247" t="s">
        <v>195</v>
      </c>
      <c r="B1247" s="7">
        <v>3.6830900643231697E-5</v>
      </c>
      <c r="C1247" t="s">
        <v>27</v>
      </c>
      <c r="D1247" t="s">
        <v>129</v>
      </c>
      <c r="F1247" t="s">
        <v>21</v>
      </c>
      <c r="G1247" t="s">
        <v>190</v>
      </c>
      <c r="H1247" t="s">
        <v>196</v>
      </c>
    </row>
    <row r="1248" spans="1:8" x14ac:dyDescent="0.35">
      <c r="A1248" t="s">
        <v>130</v>
      </c>
      <c r="B1248" s="4">
        <v>0.252</v>
      </c>
      <c r="C1248" t="s">
        <v>3</v>
      </c>
      <c r="D1248" t="s">
        <v>131</v>
      </c>
      <c r="F1248" t="s">
        <v>21</v>
      </c>
      <c r="G1248" t="s">
        <v>135</v>
      </c>
      <c r="H1248" t="s">
        <v>132</v>
      </c>
    </row>
    <row r="1249" spans="1:8" x14ac:dyDescent="0.35">
      <c r="A1249" t="s">
        <v>197</v>
      </c>
      <c r="B1249">
        <v>1.1048999999999999E-4</v>
      </c>
      <c r="C1249" t="s">
        <v>27</v>
      </c>
      <c r="D1249" t="s">
        <v>129</v>
      </c>
      <c r="F1249" t="s">
        <v>21</v>
      </c>
      <c r="G1249" t="s">
        <v>190</v>
      </c>
      <c r="H1249" t="s">
        <v>198</v>
      </c>
    </row>
    <row r="1250" spans="1:8" x14ac:dyDescent="0.35">
      <c r="A1250" t="s">
        <v>160</v>
      </c>
      <c r="B1250" s="7">
        <v>9.0160736528123E-5</v>
      </c>
      <c r="D1250" t="s">
        <v>9</v>
      </c>
      <c r="E1250" t="s">
        <v>180</v>
      </c>
      <c r="F1250" t="s">
        <v>38</v>
      </c>
      <c r="G1250" t="s">
        <v>190</v>
      </c>
    </row>
    <row r="1251" spans="1:8" x14ac:dyDescent="0.35">
      <c r="A1251" t="s">
        <v>142</v>
      </c>
      <c r="B1251" s="7">
        <v>-9.1589421450978903E-6</v>
      </c>
      <c r="D1251" t="s">
        <v>9</v>
      </c>
      <c r="E1251" t="s">
        <v>180</v>
      </c>
      <c r="F1251" t="s">
        <v>38</v>
      </c>
      <c r="G1251" t="s">
        <v>190</v>
      </c>
    </row>
    <row r="1252" spans="1:8" x14ac:dyDescent="0.35">
      <c r="A1252" t="s">
        <v>168</v>
      </c>
      <c r="B1252" s="7">
        <v>8.2358768825088601E-6</v>
      </c>
      <c r="D1252" t="s">
        <v>9</v>
      </c>
      <c r="E1252" t="s">
        <v>180</v>
      </c>
      <c r="F1252" t="s">
        <v>38</v>
      </c>
      <c r="G1252" t="s">
        <v>190</v>
      </c>
    </row>
    <row r="1253" spans="1:8" x14ac:dyDescent="0.35">
      <c r="A1253" t="s">
        <v>174</v>
      </c>
      <c r="B1253" s="7">
        <v>1.48614170237082E-7</v>
      </c>
      <c r="D1253" t="s">
        <v>9</v>
      </c>
      <c r="E1253" t="s">
        <v>180</v>
      </c>
      <c r="F1253" t="s">
        <v>38</v>
      </c>
      <c r="G1253" t="s">
        <v>190</v>
      </c>
    </row>
    <row r="1254" spans="1:8" x14ac:dyDescent="0.35">
      <c r="A1254" t="s">
        <v>183</v>
      </c>
      <c r="B1254">
        <v>1.0017920999684E-4</v>
      </c>
      <c r="D1254" t="s">
        <v>9</v>
      </c>
      <c r="E1254" t="s">
        <v>181</v>
      </c>
      <c r="F1254" t="s">
        <v>38</v>
      </c>
      <c r="G1254" t="s">
        <v>190</v>
      </c>
    </row>
    <row r="1255" spans="1:8" x14ac:dyDescent="0.35">
      <c r="A1255" t="s">
        <v>161</v>
      </c>
      <c r="B1255" s="7">
        <v>8.4092416654724493E-6</v>
      </c>
      <c r="D1255" t="s">
        <v>9</v>
      </c>
      <c r="E1255" t="s">
        <v>180</v>
      </c>
      <c r="F1255" t="s">
        <v>38</v>
      </c>
      <c r="G1255" t="s">
        <v>190</v>
      </c>
    </row>
    <row r="1256" spans="1:8" x14ac:dyDescent="0.35">
      <c r="A1256" t="s">
        <v>182</v>
      </c>
      <c r="B1256">
        <v>1.3650404900446601E-2</v>
      </c>
      <c r="D1256" t="s">
        <v>9</v>
      </c>
      <c r="E1256" t="s">
        <v>189</v>
      </c>
      <c r="F1256" t="s">
        <v>38</v>
      </c>
      <c r="G1256" t="s">
        <v>190</v>
      </c>
    </row>
    <row r="1257" spans="1:8" x14ac:dyDescent="0.35">
      <c r="A1257" t="s">
        <v>158</v>
      </c>
      <c r="B1257" s="7">
        <v>-2.0214841966486099E-7</v>
      </c>
      <c r="D1257" t="s">
        <v>9</v>
      </c>
      <c r="E1257" t="s">
        <v>180</v>
      </c>
      <c r="F1257" t="s">
        <v>38</v>
      </c>
      <c r="G1257" t="s">
        <v>190</v>
      </c>
    </row>
    <row r="1258" spans="1:8" x14ac:dyDescent="0.35">
      <c r="A1258" t="s">
        <v>136</v>
      </c>
      <c r="B1258">
        <v>2.56890246744301E-2</v>
      </c>
      <c r="D1258" t="s">
        <v>131</v>
      </c>
      <c r="E1258" t="s">
        <v>181</v>
      </c>
      <c r="F1258" t="s">
        <v>38</v>
      </c>
      <c r="G1258" t="s">
        <v>190</v>
      </c>
    </row>
    <row r="1259" spans="1:8" x14ac:dyDescent="0.35">
      <c r="A1259" t="s">
        <v>186</v>
      </c>
      <c r="B1259" s="7">
        <v>1.8577323748694601E-8</v>
      </c>
      <c r="D1259" t="s">
        <v>9</v>
      </c>
      <c r="E1259" t="s">
        <v>180</v>
      </c>
      <c r="F1259" t="s">
        <v>38</v>
      </c>
      <c r="G1259" t="s">
        <v>190</v>
      </c>
    </row>
    <row r="1260" spans="1:8" x14ac:dyDescent="0.35">
      <c r="A1260" t="s">
        <v>40</v>
      </c>
      <c r="B1260" s="7">
        <v>4.8263694839849898E-5</v>
      </c>
      <c r="D1260" t="s">
        <v>9</v>
      </c>
      <c r="E1260" t="s">
        <v>179</v>
      </c>
      <c r="F1260" t="s">
        <v>38</v>
      </c>
      <c r="G1260" t="s">
        <v>190</v>
      </c>
    </row>
    <row r="1261" spans="1:8" x14ac:dyDescent="0.35">
      <c r="A1261" t="s">
        <v>150</v>
      </c>
      <c r="B1261" s="7">
        <v>3.0516179580729401E-5</v>
      </c>
      <c r="D1261" t="s">
        <v>9</v>
      </c>
      <c r="E1261" t="s">
        <v>180</v>
      </c>
      <c r="F1261" t="s">
        <v>38</v>
      </c>
      <c r="G1261" t="s">
        <v>190</v>
      </c>
    </row>
    <row r="1262" spans="1:8" x14ac:dyDescent="0.35">
      <c r="A1262" t="s">
        <v>137</v>
      </c>
      <c r="B1262">
        <v>7.5135788670211399E-4</v>
      </c>
      <c r="D1262" t="s">
        <v>9</v>
      </c>
      <c r="E1262" t="s">
        <v>179</v>
      </c>
      <c r="F1262" t="s">
        <v>38</v>
      </c>
      <c r="G1262" t="s">
        <v>190</v>
      </c>
    </row>
    <row r="1263" spans="1:8" x14ac:dyDescent="0.35">
      <c r="A1263" t="s">
        <v>165</v>
      </c>
      <c r="B1263" s="7">
        <v>2.7085346877506901E-5</v>
      </c>
      <c r="D1263" t="s">
        <v>9</v>
      </c>
      <c r="E1263" t="s">
        <v>180</v>
      </c>
      <c r="F1263" t="s">
        <v>38</v>
      </c>
      <c r="G1263" t="s">
        <v>190</v>
      </c>
    </row>
    <row r="1264" spans="1:8" x14ac:dyDescent="0.35">
      <c r="A1264" t="s">
        <v>169</v>
      </c>
      <c r="B1264" s="7">
        <v>8.9169607080421099E-7</v>
      </c>
      <c r="D1264" t="s">
        <v>9</v>
      </c>
      <c r="E1264" t="s">
        <v>180</v>
      </c>
      <c r="F1264" t="s">
        <v>38</v>
      </c>
      <c r="G1264" t="s">
        <v>190</v>
      </c>
    </row>
    <row r="1265" spans="1:7" x14ac:dyDescent="0.35">
      <c r="A1265" t="s">
        <v>152</v>
      </c>
      <c r="B1265" s="7">
        <v>-1.0605085089343501E-5</v>
      </c>
      <c r="D1265" t="s">
        <v>9</v>
      </c>
      <c r="E1265" t="s">
        <v>180</v>
      </c>
      <c r="F1265" t="s">
        <v>38</v>
      </c>
      <c r="G1265" t="s">
        <v>190</v>
      </c>
    </row>
    <row r="1266" spans="1:7" x14ac:dyDescent="0.35">
      <c r="A1266" t="s">
        <v>178</v>
      </c>
      <c r="B1266" s="7">
        <v>-4.4162164728938601E-6</v>
      </c>
      <c r="D1266" t="s">
        <v>9</v>
      </c>
      <c r="E1266" t="s">
        <v>180</v>
      </c>
      <c r="F1266" t="s">
        <v>38</v>
      </c>
      <c r="G1266" t="s">
        <v>190</v>
      </c>
    </row>
    <row r="1267" spans="1:7" x14ac:dyDescent="0.35">
      <c r="A1267" t="s">
        <v>154</v>
      </c>
      <c r="B1267" s="7">
        <v>2.3283254983157499E-6</v>
      </c>
      <c r="D1267" t="s">
        <v>9</v>
      </c>
      <c r="E1267" t="s">
        <v>180</v>
      </c>
      <c r="F1267" t="s">
        <v>38</v>
      </c>
      <c r="G1267" t="s">
        <v>190</v>
      </c>
    </row>
    <row r="1268" spans="1:7" x14ac:dyDescent="0.35">
      <c r="A1268" t="s">
        <v>118</v>
      </c>
      <c r="B1268">
        <v>1.10493806867789</v>
      </c>
      <c r="D1268" t="s">
        <v>125</v>
      </c>
      <c r="E1268" t="s">
        <v>124</v>
      </c>
      <c r="F1268" t="s">
        <v>38</v>
      </c>
      <c r="G1268" t="s">
        <v>190</v>
      </c>
    </row>
    <row r="1269" spans="1:7" x14ac:dyDescent="0.35">
      <c r="A1269" t="s">
        <v>136</v>
      </c>
      <c r="B1269">
        <v>0.12385329220866501</v>
      </c>
      <c r="D1269" t="s">
        <v>131</v>
      </c>
      <c r="E1269" t="s">
        <v>39</v>
      </c>
      <c r="F1269" t="s">
        <v>38</v>
      </c>
      <c r="G1269" t="s">
        <v>190</v>
      </c>
    </row>
    <row r="1270" spans="1:7" x14ac:dyDescent="0.35">
      <c r="A1270" t="s">
        <v>120</v>
      </c>
      <c r="B1270">
        <f>0.393*(44/12)</f>
        <v>1.4410000000000001</v>
      </c>
      <c r="D1270" t="s">
        <v>9</v>
      </c>
      <c r="E1270" t="s">
        <v>121</v>
      </c>
      <c r="F1270" t="s">
        <v>38</v>
      </c>
      <c r="G1270" t="s">
        <v>190</v>
      </c>
    </row>
    <row r="1271" spans="1:7" x14ac:dyDescent="0.35">
      <c r="A1271" t="s">
        <v>136</v>
      </c>
      <c r="B1271">
        <v>0.102756098697507</v>
      </c>
      <c r="D1271" t="s">
        <v>131</v>
      </c>
      <c r="E1271" t="s">
        <v>189</v>
      </c>
      <c r="F1271" t="s">
        <v>38</v>
      </c>
      <c r="G1271" t="s">
        <v>190</v>
      </c>
    </row>
    <row r="1272" spans="1:7" x14ac:dyDescent="0.35">
      <c r="A1272" t="s">
        <v>116</v>
      </c>
      <c r="B1272">
        <v>27.26</v>
      </c>
      <c r="D1272" t="s">
        <v>20</v>
      </c>
      <c r="E1272" t="s">
        <v>122</v>
      </c>
      <c r="F1272" t="s">
        <v>38</v>
      </c>
      <c r="G1272" t="s">
        <v>190</v>
      </c>
    </row>
    <row r="1273" spans="1:7" x14ac:dyDescent="0.35">
      <c r="A1273" t="s">
        <v>183</v>
      </c>
      <c r="B1273" s="7">
        <v>7.7345664807288202E-6</v>
      </c>
      <c r="D1273" t="s">
        <v>9</v>
      </c>
      <c r="E1273" t="s">
        <v>189</v>
      </c>
      <c r="F1273" t="s">
        <v>38</v>
      </c>
      <c r="G1273" t="s">
        <v>190</v>
      </c>
    </row>
    <row r="1274" spans="1:7" x14ac:dyDescent="0.35">
      <c r="A1274" t="s">
        <v>187</v>
      </c>
      <c r="B1274">
        <v>1.10493806867789</v>
      </c>
      <c r="D1274" t="s">
        <v>125</v>
      </c>
      <c r="E1274" t="s">
        <v>124</v>
      </c>
      <c r="F1274" t="s">
        <v>38</v>
      </c>
      <c r="G1274" t="s">
        <v>190</v>
      </c>
    </row>
    <row r="1275" spans="1:7" x14ac:dyDescent="0.35">
      <c r="A1275" t="s">
        <v>163</v>
      </c>
      <c r="B1275" s="7">
        <v>1.3871392514178299E-6</v>
      </c>
      <c r="D1275" t="s">
        <v>9</v>
      </c>
      <c r="E1275" t="s">
        <v>180</v>
      </c>
      <c r="F1275" t="s">
        <v>38</v>
      </c>
      <c r="G1275" t="s">
        <v>190</v>
      </c>
    </row>
    <row r="1276" spans="1:7" x14ac:dyDescent="0.35">
      <c r="A1276" t="s">
        <v>188</v>
      </c>
      <c r="B1276">
        <v>0.64451037545981105</v>
      </c>
      <c r="D1276" t="s">
        <v>123</v>
      </c>
      <c r="E1276" t="s">
        <v>124</v>
      </c>
      <c r="F1276" t="s">
        <v>38</v>
      </c>
      <c r="G1276" t="s">
        <v>190</v>
      </c>
    </row>
    <row r="1277" spans="1:7" x14ac:dyDescent="0.35">
      <c r="A1277" t="s">
        <v>159</v>
      </c>
      <c r="B1277" s="7">
        <v>4.0175548177144303E-5</v>
      </c>
      <c r="D1277" t="s">
        <v>9</v>
      </c>
      <c r="E1277" t="s">
        <v>180</v>
      </c>
      <c r="F1277" t="s">
        <v>38</v>
      </c>
      <c r="G1277" t="s">
        <v>190</v>
      </c>
    </row>
    <row r="1278" spans="1:7" x14ac:dyDescent="0.35">
      <c r="A1278" t="s">
        <v>42</v>
      </c>
      <c r="B1278">
        <v>2.2982711828500001E-4</v>
      </c>
      <c r="D1278" t="s">
        <v>9</v>
      </c>
      <c r="E1278" t="s">
        <v>179</v>
      </c>
      <c r="F1278" t="s">
        <v>38</v>
      </c>
      <c r="G1278" t="s">
        <v>190</v>
      </c>
    </row>
    <row r="1280" spans="1:7" ht="15.5" x14ac:dyDescent="0.35">
      <c r="A1280" s="1" t="s">
        <v>1</v>
      </c>
      <c r="B1280" s="1" t="s">
        <v>453</v>
      </c>
    </row>
    <row r="1281" spans="1:8" x14ac:dyDescent="0.35">
      <c r="A1281" t="s">
        <v>2</v>
      </c>
      <c r="B1281" t="s">
        <v>3</v>
      </c>
    </row>
    <row r="1282" spans="1:8" x14ac:dyDescent="0.35">
      <c r="A1282" t="s">
        <v>4</v>
      </c>
      <c r="B1282">
        <v>1</v>
      </c>
    </row>
    <row r="1283" spans="1:8" ht="15.5" x14ac:dyDescent="0.35">
      <c r="A1283" t="s">
        <v>5</v>
      </c>
      <c r="B1283" s="2" t="s">
        <v>454</v>
      </c>
    </row>
    <row r="1284" spans="1:8" x14ac:dyDescent="0.35">
      <c r="A1284" t="s">
        <v>6</v>
      </c>
      <c r="B1284" t="s">
        <v>7</v>
      </c>
    </row>
    <row r="1285" spans="1:8" x14ac:dyDescent="0.35">
      <c r="A1285" t="s">
        <v>8</v>
      </c>
      <c r="B1285" t="s">
        <v>9</v>
      </c>
    </row>
    <row r="1286" spans="1:8" x14ac:dyDescent="0.35">
      <c r="A1286" t="s">
        <v>10</v>
      </c>
      <c r="B1286" t="s">
        <v>11</v>
      </c>
    </row>
    <row r="1287" spans="1:8" x14ac:dyDescent="0.35">
      <c r="A1287" t="s">
        <v>28</v>
      </c>
      <c r="B1287" t="s">
        <v>241</v>
      </c>
    </row>
    <row r="1288" spans="1:8" ht="15.5" x14ac:dyDescent="0.35">
      <c r="A1288" s="1" t="s">
        <v>13</v>
      </c>
    </row>
    <row r="1289" spans="1:8" x14ac:dyDescent="0.35">
      <c r="A1289" t="s">
        <v>14</v>
      </c>
      <c r="B1289" t="s">
        <v>15</v>
      </c>
      <c r="C1289" t="s">
        <v>2</v>
      </c>
      <c r="D1289" t="s">
        <v>8</v>
      </c>
      <c r="E1289" t="s">
        <v>16</v>
      </c>
      <c r="F1289" t="s">
        <v>6</v>
      </c>
      <c r="G1289" t="s">
        <v>12</v>
      </c>
      <c r="H1289" t="s">
        <v>5</v>
      </c>
    </row>
    <row r="1290" spans="1:8" ht="15.5" x14ac:dyDescent="0.35">
      <c r="A1290" s="2" t="s">
        <v>453</v>
      </c>
      <c r="B1290">
        <v>1</v>
      </c>
      <c r="C1290" t="s">
        <v>3</v>
      </c>
      <c r="D1290" t="s">
        <v>9</v>
      </c>
      <c r="F1290" t="s">
        <v>18</v>
      </c>
      <c r="G1290" t="s">
        <v>19</v>
      </c>
      <c r="H1290" s="2" t="s">
        <v>454</v>
      </c>
    </row>
    <row r="1291" spans="1:8" ht="15.5" x14ac:dyDescent="0.35">
      <c r="A1291" s="2" t="s">
        <v>455</v>
      </c>
      <c r="B1291" s="6">
        <f>(1/((Allocation!$D$55*Allocation!$B$4*Allocation!$B$10)/1000))*Allocation!D60</f>
        <v>2.5031731272827198</v>
      </c>
      <c r="C1291" t="s">
        <v>3</v>
      </c>
      <c r="D1291" t="s">
        <v>9</v>
      </c>
      <c r="F1291" t="s">
        <v>21</v>
      </c>
      <c r="G1291" t="s">
        <v>19</v>
      </c>
      <c r="H1291" s="2" t="s">
        <v>456</v>
      </c>
    </row>
    <row r="1292" spans="1:8" ht="15.5" x14ac:dyDescent="0.35">
      <c r="A1292" s="2" t="s">
        <v>451</v>
      </c>
      <c r="B1292" s="4">
        <f>((26556*Allocation!$B$3)/(Allocation!$B$4*Allocation!$B$10))*Allocation!D60</f>
        <v>7.7589106908535284</v>
      </c>
      <c r="C1292" t="s">
        <v>33</v>
      </c>
      <c r="D1292" t="s">
        <v>20</v>
      </c>
      <c r="F1292" t="s">
        <v>21</v>
      </c>
      <c r="G1292" t="s">
        <v>518</v>
      </c>
      <c r="H1292" s="2" t="s">
        <v>452</v>
      </c>
    </row>
    <row r="1293" spans="1:8" ht="15.5" x14ac:dyDescent="0.35">
      <c r="A1293" s="2" t="s">
        <v>30</v>
      </c>
      <c r="B1293" s="4">
        <f>((2501*Allocation!$B$3/3.6)/(Allocation!$B$4*Allocation!$B$10))*Allocation!D60</f>
        <v>0.20297814720490737</v>
      </c>
      <c r="C1293" t="s">
        <v>3</v>
      </c>
      <c r="D1293" t="s">
        <v>31</v>
      </c>
      <c r="F1293" t="s">
        <v>21</v>
      </c>
      <c r="H1293" s="2" t="s">
        <v>32</v>
      </c>
    </row>
    <row r="1294" spans="1:8" ht="15.5" x14ac:dyDescent="0.35">
      <c r="A1294" s="2" t="s">
        <v>397</v>
      </c>
      <c r="B1294" s="4">
        <f>((2.79/1000)/(Allocation!$B$4*Allocation!$B$10))*Allocation!D60</f>
        <v>7.7262156501298391E-4</v>
      </c>
      <c r="C1294" t="s">
        <v>27</v>
      </c>
      <c r="D1294" t="s">
        <v>9</v>
      </c>
      <c r="F1294" t="s">
        <v>21</v>
      </c>
      <c r="G1294" t="s">
        <v>399</v>
      </c>
      <c r="H1294" s="2" t="s">
        <v>398</v>
      </c>
    </row>
    <row r="1295" spans="1:8" ht="15.5" x14ac:dyDescent="0.35">
      <c r="A1295" s="2" t="s">
        <v>263</v>
      </c>
      <c r="B1295" s="5">
        <f>((4.72/1000)/(Allocation!$B$4*Allocation!$B$10))*Allocation!D60</f>
        <v>1.3070873788033274E-3</v>
      </c>
      <c r="C1295" t="s">
        <v>33</v>
      </c>
      <c r="D1295" t="s">
        <v>9</v>
      </c>
      <c r="F1295" t="s">
        <v>21</v>
      </c>
      <c r="H1295" s="2" t="s">
        <v>264</v>
      </c>
    </row>
    <row r="1296" spans="1:8" ht="15.5" x14ac:dyDescent="0.35">
      <c r="A1296" s="2" t="s">
        <v>265</v>
      </c>
      <c r="B1296" s="5">
        <f>((18.1/1000)/(Allocation!$B$4*Allocation!$B$10))*Allocation!D60</f>
        <v>5.012347787360219E-3</v>
      </c>
      <c r="C1296" t="s">
        <v>266</v>
      </c>
      <c r="D1296" t="s">
        <v>9</v>
      </c>
      <c r="F1296" t="s">
        <v>21</v>
      </c>
      <c r="H1296" s="2" t="s">
        <v>267</v>
      </c>
    </row>
    <row r="1297" spans="1:8" ht="15.5" x14ac:dyDescent="0.35">
      <c r="A1297" s="2" t="s">
        <v>383</v>
      </c>
      <c r="B1297" s="4">
        <f>((10.83/1000)/(Allocation!$B$4*Allocation!$B$10))*Allocation!D60</f>
        <v>2.9991009136525505E-3</v>
      </c>
      <c r="C1297" t="s">
        <v>33</v>
      </c>
      <c r="D1297" t="s">
        <v>9</v>
      </c>
      <c r="F1297" t="s">
        <v>21</v>
      </c>
      <c r="G1297" t="s">
        <v>400</v>
      </c>
      <c r="H1297" s="2" t="s">
        <v>384</v>
      </c>
    </row>
    <row r="1298" spans="1:8" ht="15.5" x14ac:dyDescent="0.35">
      <c r="A1298" s="2" t="s">
        <v>401</v>
      </c>
      <c r="B1298" s="4">
        <f>((22.71/1000)/(Allocation!$B$4*Allocation!$B$10))*Allocation!D60</f>
        <v>6.2889733840304175E-3</v>
      </c>
      <c r="C1298" t="s">
        <v>27</v>
      </c>
      <c r="D1298" t="s">
        <v>9</v>
      </c>
      <c r="F1298" t="s">
        <v>21</v>
      </c>
      <c r="G1298" t="s">
        <v>403</v>
      </c>
      <c r="H1298" s="2" t="s">
        <v>402</v>
      </c>
    </row>
    <row r="1299" spans="1:8" x14ac:dyDescent="0.35">
      <c r="A1299" t="s">
        <v>201</v>
      </c>
      <c r="B1299" s="6">
        <f>(B1270*B1291)-Allocation!$B$13</f>
        <v>1.6930724764143996</v>
      </c>
      <c r="D1299" t="s">
        <v>9</v>
      </c>
      <c r="E1299" t="s">
        <v>39</v>
      </c>
      <c r="F1299" t="s">
        <v>38</v>
      </c>
      <c r="G1299" t="s">
        <v>441</v>
      </c>
    </row>
    <row r="1300" spans="1:8" x14ac:dyDescent="0.35">
      <c r="A1300" t="s">
        <v>319</v>
      </c>
      <c r="B1300" s="7">
        <f>1/(90000000*20)</f>
        <v>5.5555555555555553E-10</v>
      </c>
      <c r="C1300" t="s">
        <v>27</v>
      </c>
      <c r="D1300" t="s">
        <v>8</v>
      </c>
      <c r="F1300" t="s">
        <v>21</v>
      </c>
      <c r="G1300" t="s">
        <v>321</v>
      </c>
      <c r="H1300" t="s">
        <v>320</v>
      </c>
    </row>
    <row r="1301" spans="1:8" ht="15.5" x14ac:dyDescent="0.35">
      <c r="A1301" s="2"/>
      <c r="H1301" s="2"/>
    </row>
    <row r="1302" spans="1:8" ht="15.5" x14ac:dyDescent="0.35">
      <c r="A1302" s="1" t="s">
        <v>1</v>
      </c>
      <c r="B1302" s="1" t="s">
        <v>457</v>
      </c>
    </row>
    <row r="1303" spans="1:8" x14ac:dyDescent="0.35">
      <c r="A1303" t="s">
        <v>2</v>
      </c>
      <c r="B1303" t="s">
        <v>3</v>
      </c>
    </row>
    <row r="1304" spans="1:8" x14ac:dyDescent="0.35">
      <c r="A1304" t="s">
        <v>4</v>
      </c>
      <c r="B1304">
        <v>1</v>
      </c>
    </row>
    <row r="1305" spans="1:8" ht="15.5" x14ac:dyDescent="0.35">
      <c r="A1305" t="s">
        <v>5</v>
      </c>
      <c r="B1305" s="2" t="s">
        <v>454</v>
      </c>
    </row>
    <row r="1306" spans="1:8" x14ac:dyDescent="0.35">
      <c r="A1306" t="s">
        <v>6</v>
      </c>
      <c r="B1306" t="s">
        <v>7</v>
      </c>
    </row>
    <row r="1307" spans="1:8" x14ac:dyDescent="0.35">
      <c r="A1307" t="s">
        <v>8</v>
      </c>
      <c r="B1307" t="s">
        <v>9</v>
      </c>
    </row>
    <row r="1308" spans="1:8" x14ac:dyDescent="0.35">
      <c r="A1308" t="s">
        <v>10</v>
      </c>
      <c r="B1308" t="s">
        <v>11</v>
      </c>
    </row>
    <row r="1309" spans="1:8" x14ac:dyDescent="0.35">
      <c r="A1309" t="s">
        <v>28</v>
      </c>
      <c r="B1309" t="s">
        <v>386</v>
      </c>
    </row>
    <row r="1310" spans="1:8" ht="15.5" x14ac:dyDescent="0.35">
      <c r="A1310" s="1" t="s">
        <v>13</v>
      </c>
    </row>
    <row r="1311" spans="1:8" x14ac:dyDescent="0.35">
      <c r="A1311" t="s">
        <v>14</v>
      </c>
      <c r="B1311" t="s">
        <v>15</v>
      </c>
      <c r="C1311" t="s">
        <v>2</v>
      </c>
      <c r="D1311" t="s">
        <v>8</v>
      </c>
      <c r="E1311" t="s">
        <v>16</v>
      </c>
      <c r="F1311" t="s">
        <v>6</v>
      </c>
      <c r="G1311" t="s">
        <v>12</v>
      </c>
      <c r="H1311" t="s">
        <v>5</v>
      </c>
    </row>
    <row r="1312" spans="1:8" ht="15.5" x14ac:dyDescent="0.35">
      <c r="A1312" s="2" t="s">
        <v>457</v>
      </c>
      <c r="B1312">
        <v>1</v>
      </c>
      <c r="C1312" t="s">
        <v>3</v>
      </c>
      <c r="D1312" t="s">
        <v>9</v>
      </c>
      <c r="F1312" t="s">
        <v>18</v>
      </c>
      <c r="G1312" t="s">
        <v>19</v>
      </c>
      <c r="H1312" s="2" t="s">
        <v>454</v>
      </c>
    </row>
    <row r="1313" spans="1:8" ht="15.5" x14ac:dyDescent="0.35">
      <c r="A1313" s="2" t="s">
        <v>455</v>
      </c>
      <c r="B1313" s="6">
        <f>(1/((Allocation!$D$55*Allocation!$B$4*Allocation!$B$10)/1000))*Allocation!D61</f>
        <v>1.8433282158587381</v>
      </c>
      <c r="C1313" t="s">
        <v>3</v>
      </c>
      <c r="D1313" t="s">
        <v>9</v>
      </c>
      <c r="F1313" t="s">
        <v>21</v>
      </c>
      <c r="G1313" t="s">
        <v>19</v>
      </c>
      <c r="H1313" s="2" t="s">
        <v>456</v>
      </c>
    </row>
    <row r="1314" spans="1:8" ht="15.5" x14ac:dyDescent="0.35">
      <c r="A1314" s="2" t="s">
        <v>451</v>
      </c>
      <c r="B1314" s="4">
        <f>(26556*Allocation!$B$3)/(Allocation!$B$4*Allocation!$B$10)*Allocation!D61</f>
        <v>5.7136355631557425</v>
      </c>
      <c r="C1314" t="s">
        <v>33</v>
      </c>
      <c r="D1314" t="s">
        <v>20</v>
      </c>
      <c r="F1314" t="s">
        <v>21</v>
      </c>
      <c r="G1314" t="s">
        <v>450</v>
      </c>
      <c r="H1314" s="2" t="s">
        <v>452</v>
      </c>
    </row>
    <row r="1315" spans="1:8" ht="15.5" x14ac:dyDescent="0.35">
      <c r="A1315" s="2" t="s">
        <v>30</v>
      </c>
      <c r="B1315" s="4">
        <f>(2501*Allocation!$B$3/3.6)/(Allocation!$B$4*Allocation!$B$10)*Allocation!D61</f>
        <v>0.14947242037217484</v>
      </c>
      <c r="C1315" t="s">
        <v>3</v>
      </c>
      <c r="D1315" t="s">
        <v>31</v>
      </c>
      <c r="F1315" t="s">
        <v>21</v>
      </c>
      <c r="H1315" s="2" t="s">
        <v>32</v>
      </c>
    </row>
    <row r="1316" spans="1:8" ht="15.5" x14ac:dyDescent="0.35">
      <c r="A1316" s="2" t="s">
        <v>397</v>
      </c>
      <c r="B1316" s="4">
        <f>((2.79/1000)/(Allocation!$B$4*Allocation!$B$10))*Allocation!D61</f>
        <v>5.6895590458634485E-4</v>
      </c>
      <c r="C1316" t="s">
        <v>27</v>
      </c>
      <c r="D1316" t="s">
        <v>9</v>
      </c>
      <c r="F1316" t="s">
        <v>21</v>
      </c>
      <c r="G1316" t="s">
        <v>399</v>
      </c>
      <c r="H1316" s="2" t="s">
        <v>398</v>
      </c>
    </row>
    <row r="1317" spans="1:8" ht="15.5" x14ac:dyDescent="0.35">
      <c r="A1317" s="2" t="s">
        <v>263</v>
      </c>
      <c r="B1317" s="5">
        <f>((4.72/1000)/(Allocation!$B$4*Allocation!$B$10))*Allocation!D61</f>
        <v>9.625347203037804E-4</v>
      </c>
      <c r="C1317" t="s">
        <v>33</v>
      </c>
      <c r="D1317" t="s">
        <v>9</v>
      </c>
      <c r="F1317" t="s">
        <v>21</v>
      </c>
      <c r="H1317" s="2" t="s">
        <v>264</v>
      </c>
    </row>
    <row r="1318" spans="1:8" ht="15.5" x14ac:dyDescent="0.35">
      <c r="A1318" s="2" t="s">
        <v>265</v>
      </c>
      <c r="B1318" s="5">
        <f>((18.1/1000)/(Allocation!$B$4*Allocation!$B$10))*Allocation!D61</f>
        <v>3.6910759401479728E-3</v>
      </c>
      <c r="C1318" t="s">
        <v>266</v>
      </c>
      <c r="D1318" t="s">
        <v>9</v>
      </c>
      <c r="F1318" t="s">
        <v>21</v>
      </c>
      <c r="H1318" s="2" t="s">
        <v>267</v>
      </c>
    </row>
    <row r="1319" spans="1:8" ht="15.5" x14ac:dyDescent="0.35">
      <c r="A1319" s="2" t="s">
        <v>383</v>
      </c>
      <c r="B1319" s="4">
        <f>((10.83/1000)/(Allocation!$B$4*Allocation!$B$10))*Allocation!D61</f>
        <v>2.2085277586631237E-3</v>
      </c>
      <c r="C1319" t="s">
        <v>33</v>
      </c>
      <c r="D1319" t="s">
        <v>9</v>
      </c>
      <c r="F1319" t="s">
        <v>21</v>
      </c>
      <c r="G1319" t="s">
        <v>400</v>
      </c>
      <c r="H1319" s="2" t="s">
        <v>384</v>
      </c>
    </row>
    <row r="1320" spans="1:8" ht="15.5" x14ac:dyDescent="0.35">
      <c r="A1320" s="2" t="s">
        <v>401</v>
      </c>
      <c r="B1320" s="4">
        <f>((22.71/1000)/(Allocation!$B$4*Allocation!$B$10))*Allocation!D61</f>
        <v>4.6311787072243343E-3</v>
      </c>
      <c r="C1320" t="s">
        <v>27</v>
      </c>
      <c r="D1320" t="s">
        <v>9</v>
      </c>
      <c r="F1320" t="s">
        <v>21</v>
      </c>
      <c r="G1320" t="s">
        <v>403</v>
      </c>
      <c r="H1320" s="2" t="s">
        <v>402</v>
      </c>
    </row>
    <row r="1321" spans="1:8" x14ac:dyDescent="0.35">
      <c r="A1321" t="s">
        <v>201</v>
      </c>
      <c r="B1321" s="6">
        <f>(B1270*B1313)-Allocation!$B$13</f>
        <v>0.74223595905244166</v>
      </c>
      <c r="D1321" t="s">
        <v>9</v>
      </c>
      <c r="E1321" t="s">
        <v>39</v>
      </c>
      <c r="F1321" t="s">
        <v>38</v>
      </c>
      <c r="G1321" t="s">
        <v>441</v>
      </c>
    </row>
    <row r="1322" spans="1:8" x14ac:dyDescent="0.35">
      <c r="A1322" t="s">
        <v>319</v>
      </c>
      <c r="B1322" s="7">
        <f>1/(90000000*20)</f>
        <v>5.5555555555555553E-10</v>
      </c>
      <c r="C1322" t="s">
        <v>27</v>
      </c>
      <c r="D1322" t="s">
        <v>8</v>
      </c>
      <c r="F1322" t="s">
        <v>21</v>
      </c>
      <c r="G1322" t="s">
        <v>321</v>
      </c>
      <c r="H1322" t="s">
        <v>320</v>
      </c>
    </row>
    <row r="1323" spans="1:8" ht="15.5" x14ac:dyDescent="0.35">
      <c r="A1323" s="2"/>
      <c r="B1323" s="4"/>
      <c r="H1323" s="2"/>
    </row>
    <row r="1324" spans="1:8" ht="15.5" x14ac:dyDescent="0.35">
      <c r="A1324" s="1" t="s">
        <v>1</v>
      </c>
      <c r="B1324" s="1" t="s">
        <v>538</v>
      </c>
    </row>
    <row r="1325" spans="1:8" x14ac:dyDescent="0.35">
      <c r="A1325" t="s">
        <v>2</v>
      </c>
      <c r="B1325" t="s">
        <v>3</v>
      </c>
    </row>
    <row r="1326" spans="1:8" x14ac:dyDescent="0.35">
      <c r="A1326" t="s">
        <v>4</v>
      </c>
      <c r="B1326">
        <v>1</v>
      </c>
    </row>
    <row r="1327" spans="1:8" ht="15.5" x14ac:dyDescent="0.35">
      <c r="A1327" t="s">
        <v>5</v>
      </c>
      <c r="B1327" s="2" t="s">
        <v>454</v>
      </c>
    </row>
    <row r="1328" spans="1:8" x14ac:dyDescent="0.35">
      <c r="A1328" t="s">
        <v>6</v>
      </c>
      <c r="B1328" t="s">
        <v>7</v>
      </c>
    </row>
    <row r="1329" spans="1:8" x14ac:dyDescent="0.35">
      <c r="A1329" t="s">
        <v>8</v>
      </c>
      <c r="B1329" t="s">
        <v>9</v>
      </c>
    </row>
    <row r="1330" spans="1:8" x14ac:dyDescent="0.35">
      <c r="A1330" t="s">
        <v>10</v>
      </c>
      <c r="B1330" t="s">
        <v>11</v>
      </c>
    </row>
    <row r="1331" spans="1:8" x14ac:dyDescent="0.35">
      <c r="A1331" t="s">
        <v>28</v>
      </c>
      <c r="B1331" t="s">
        <v>522</v>
      </c>
    </row>
    <row r="1332" spans="1:8" ht="15.5" x14ac:dyDescent="0.35">
      <c r="A1332" s="1" t="s">
        <v>13</v>
      </c>
    </row>
    <row r="1333" spans="1:8" x14ac:dyDescent="0.35">
      <c r="A1333" t="s">
        <v>14</v>
      </c>
      <c r="B1333" t="s">
        <v>15</v>
      </c>
      <c r="C1333" t="s">
        <v>2</v>
      </c>
      <c r="D1333" t="s">
        <v>8</v>
      </c>
      <c r="E1333" t="s">
        <v>16</v>
      </c>
      <c r="F1333" t="s">
        <v>6</v>
      </c>
      <c r="G1333" t="s">
        <v>12</v>
      </c>
      <c r="H1333" t="s">
        <v>5</v>
      </c>
    </row>
    <row r="1334" spans="1:8" ht="15.5" x14ac:dyDescent="0.35">
      <c r="A1334" s="2" t="s">
        <v>538</v>
      </c>
      <c r="B1334">
        <v>1</v>
      </c>
      <c r="C1334" t="s">
        <v>3</v>
      </c>
      <c r="D1334" t="s">
        <v>9</v>
      </c>
      <c r="F1334" t="s">
        <v>18</v>
      </c>
      <c r="G1334" t="s">
        <v>19</v>
      </c>
      <c r="H1334" s="2" t="s">
        <v>454</v>
      </c>
    </row>
    <row r="1335" spans="1:8" ht="15.5" x14ac:dyDescent="0.35">
      <c r="A1335" s="2" t="s">
        <v>455</v>
      </c>
      <c r="B1335" s="6">
        <f>(1/((Allocation!$D$55*Allocation!$B$4*Allocation!$B$10)/1000))</f>
        <v>3.0268115202934944</v>
      </c>
      <c r="C1335" t="s">
        <v>3</v>
      </c>
      <c r="D1335" t="s">
        <v>9</v>
      </c>
      <c r="F1335" t="s">
        <v>21</v>
      </c>
      <c r="G1335" t="s">
        <v>19</v>
      </c>
      <c r="H1335" s="2" t="s">
        <v>456</v>
      </c>
    </row>
    <row r="1336" spans="1:8" ht="15.5" x14ac:dyDescent="0.35">
      <c r="A1336" s="2" t="s">
        <v>451</v>
      </c>
      <c r="B1336" s="4">
        <f>(26556*Allocation!$B$3)/(Allocation!$B$4*Allocation!$B$10)</f>
        <v>9.3819959986136983</v>
      </c>
      <c r="C1336" t="s">
        <v>33</v>
      </c>
      <c r="D1336" t="s">
        <v>20</v>
      </c>
      <c r="F1336" t="s">
        <v>21</v>
      </c>
      <c r="G1336" t="s">
        <v>450</v>
      </c>
      <c r="H1336" s="2" t="s">
        <v>452</v>
      </c>
    </row>
    <row r="1337" spans="1:8" ht="15.5" x14ac:dyDescent="0.35">
      <c r="A1337" s="2" t="s">
        <v>30</v>
      </c>
      <c r="B1337" s="4">
        <f>(2501*Allocation!$B$3/3.6)/(Allocation!$B$4*Allocation!$B$10)</f>
        <v>0.24543911391161713</v>
      </c>
      <c r="C1337" t="s">
        <v>3</v>
      </c>
      <c r="D1337" t="s">
        <v>31</v>
      </c>
      <c r="F1337" t="s">
        <v>21</v>
      </c>
      <c r="H1337" s="2" t="s">
        <v>32</v>
      </c>
    </row>
    <row r="1338" spans="1:8" ht="15.5" x14ac:dyDescent="0.35">
      <c r="A1338" s="2" t="s">
        <v>397</v>
      </c>
      <c r="B1338" s="4">
        <f>((2.79/1000)/(Allocation!$B$4*Allocation!$B$10))</f>
        <v>9.3424614874605075E-4</v>
      </c>
      <c r="C1338" t="s">
        <v>27</v>
      </c>
      <c r="D1338" t="s">
        <v>9</v>
      </c>
      <c r="F1338" t="s">
        <v>21</v>
      </c>
      <c r="G1338" t="s">
        <v>399</v>
      </c>
      <c r="H1338" s="2" t="s">
        <v>398</v>
      </c>
    </row>
    <row r="1339" spans="1:8" ht="15.5" x14ac:dyDescent="0.35">
      <c r="A1339" s="2" t="s">
        <v>263</v>
      </c>
      <c r="B1339" s="5">
        <f>((4.72/1000)/(Allocation!$B$4*Allocation!$B$10))</f>
        <v>1.5805167821080139E-3</v>
      </c>
      <c r="C1339" t="s">
        <v>33</v>
      </c>
      <c r="D1339" t="s">
        <v>9</v>
      </c>
      <c r="F1339" t="s">
        <v>21</v>
      </c>
      <c r="H1339" s="2" t="s">
        <v>264</v>
      </c>
    </row>
    <row r="1340" spans="1:8" ht="15.5" x14ac:dyDescent="0.35">
      <c r="A1340" s="2" t="s">
        <v>265</v>
      </c>
      <c r="B1340" s="5">
        <f>((18.1/1000)/(Allocation!$B$4*Allocation!$B$10))</f>
        <v>6.0608800330836992E-3</v>
      </c>
      <c r="C1340" t="s">
        <v>266</v>
      </c>
      <c r="D1340" t="s">
        <v>9</v>
      </c>
      <c r="F1340" t="s">
        <v>21</v>
      </c>
      <c r="H1340" s="2" t="s">
        <v>267</v>
      </c>
    </row>
    <row r="1341" spans="1:8" ht="15.5" x14ac:dyDescent="0.35">
      <c r="A1341" s="2" t="s">
        <v>383</v>
      </c>
      <c r="B1341" s="4">
        <f>((10.83/1000)/(Allocation!$B$4*Allocation!$B$10))</f>
        <v>3.6264823623368206E-3</v>
      </c>
      <c r="C1341" t="s">
        <v>33</v>
      </c>
      <c r="D1341" t="s">
        <v>9</v>
      </c>
      <c r="F1341" t="s">
        <v>21</v>
      </c>
      <c r="G1341" t="s">
        <v>400</v>
      </c>
      <c r="H1341" s="2" t="s">
        <v>384</v>
      </c>
    </row>
    <row r="1342" spans="1:8" ht="15.5" x14ac:dyDescent="0.35">
      <c r="A1342" s="2" t="s">
        <v>401</v>
      </c>
      <c r="B1342" s="4">
        <f>((22.71/1000)/(Allocation!$B$4*Allocation!$B$10))</f>
        <v>7.6045627376425855E-3</v>
      </c>
      <c r="C1342" t="s">
        <v>27</v>
      </c>
      <c r="D1342" t="s">
        <v>9</v>
      </c>
      <c r="F1342" t="s">
        <v>21</v>
      </c>
      <c r="G1342" t="s">
        <v>403</v>
      </c>
      <c r="H1342" s="2" t="s">
        <v>402</v>
      </c>
    </row>
    <row r="1343" spans="1:8" x14ac:dyDescent="0.35">
      <c r="A1343" t="s">
        <v>201</v>
      </c>
      <c r="B1343" s="6">
        <f>(B1270*B1335)-Allocation!$B$13</f>
        <v>2.447635400742926</v>
      </c>
      <c r="D1343" t="s">
        <v>9</v>
      </c>
      <c r="E1343" t="s">
        <v>39</v>
      </c>
      <c r="F1343" t="s">
        <v>38</v>
      </c>
      <c r="G1343" t="s">
        <v>441</v>
      </c>
    </row>
    <row r="1344" spans="1:8" x14ac:dyDescent="0.35">
      <c r="A1344" t="s">
        <v>319</v>
      </c>
      <c r="B1344" s="7">
        <f>1/(90000000*20)</f>
        <v>5.5555555555555553E-10</v>
      </c>
      <c r="C1344" t="s">
        <v>27</v>
      </c>
      <c r="D1344" t="s">
        <v>8</v>
      </c>
      <c r="F1344" t="s">
        <v>21</v>
      </c>
      <c r="G1344" t="s">
        <v>321</v>
      </c>
      <c r="H1344" t="s">
        <v>320</v>
      </c>
    </row>
    <row r="1345" spans="1:10" x14ac:dyDescent="0.35">
      <c r="A1345" s="38" t="s">
        <v>30</v>
      </c>
      <c r="B1345" s="68">
        <f>Allocation!D54/Allocation!B4*Allocation!B10*-1</f>
        <v>0</v>
      </c>
      <c r="C1345" t="s">
        <v>3</v>
      </c>
      <c r="D1345" s="38" t="s">
        <v>31</v>
      </c>
      <c r="E1345" s="38"/>
      <c r="F1345" s="38" t="s">
        <v>21</v>
      </c>
      <c r="G1345" s="38" t="s">
        <v>523</v>
      </c>
      <c r="H1345" s="38" t="s">
        <v>32</v>
      </c>
      <c r="I1345" s="38"/>
    </row>
    <row r="1346" spans="1:10" x14ac:dyDescent="0.35">
      <c r="A1346" s="38" t="s">
        <v>543</v>
      </c>
      <c r="B1346" s="68">
        <f>Allocation!D56/Allocation!B4*Allocation!B10*-1*0.27</f>
        <v>-0.31687157199471599</v>
      </c>
      <c r="C1346" t="s">
        <v>27</v>
      </c>
      <c r="D1346" t="s">
        <v>9</v>
      </c>
      <c r="E1346" s="38"/>
      <c r="F1346" s="38" t="s">
        <v>21</v>
      </c>
      <c r="G1346" s="38" t="s">
        <v>593</v>
      </c>
      <c r="H1346" s="38" t="s">
        <v>544</v>
      </c>
      <c r="I1346" s="38"/>
    </row>
    <row r="1347" spans="1:10" ht="15.5" x14ac:dyDescent="0.35">
      <c r="A1347" s="2"/>
      <c r="B1347" s="4"/>
      <c r="H1347" s="2"/>
    </row>
    <row r="1348" spans="1:10" ht="15.5" x14ac:dyDescent="0.35">
      <c r="A1348" s="1" t="s">
        <v>1</v>
      </c>
      <c r="B1348" s="1" t="s">
        <v>458</v>
      </c>
    </row>
    <row r="1349" spans="1:10" x14ac:dyDescent="0.35">
      <c r="A1349" t="s">
        <v>2</v>
      </c>
      <c r="B1349" t="s">
        <v>3</v>
      </c>
    </row>
    <row r="1350" spans="1:10" x14ac:dyDescent="0.35">
      <c r="A1350" t="s">
        <v>4</v>
      </c>
      <c r="B1350">
        <v>1</v>
      </c>
    </row>
    <row r="1351" spans="1:10" ht="15.5" x14ac:dyDescent="0.35">
      <c r="A1351" t="s">
        <v>5</v>
      </c>
      <c r="B1351" s="2" t="s">
        <v>350</v>
      </c>
    </row>
    <row r="1352" spans="1:10" x14ac:dyDescent="0.35">
      <c r="A1352" t="s">
        <v>6</v>
      </c>
      <c r="B1352" t="s">
        <v>7</v>
      </c>
    </row>
    <row r="1353" spans="1:10" x14ac:dyDescent="0.35">
      <c r="A1353" t="s">
        <v>8</v>
      </c>
      <c r="B1353" t="s">
        <v>9</v>
      </c>
    </row>
    <row r="1354" spans="1:10" x14ac:dyDescent="0.35">
      <c r="A1354" t="s">
        <v>10</v>
      </c>
      <c r="B1354" t="s">
        <v>406</v>
      </c>
    </row>
    <row r="1355" spans="1:10" x14ac:dyDescent="0.35">
      <c r="A1355" t="s">
        <v>12</v>
      </c>
      <c r="B1355" t="s">
        <v>375</v>
      </c>
    </row>
    <row r="1356" spans="1:10" ht="15.5" x14ac:dyDescent="0.35">
      <c r="A1356" s="1" t="s">
        <v>13</v>
      </c>
    </row>
    <row r="1357" spans="1:10" x14ac:dyDescent="0.35">
      <c r="A1357" t="s">
        <v>14</v>
      </c>
      <c r="B1357" t="s">
        <v>15</v>
      </c>
      <c r="C1357" t="s">
        <v>2</v>
      </c>
      <c r="D1357" t="s">
        <v>8</v>
      </c>
      <c r="E1357" t="s">
        <v>16</v>
      </c>
      <c r="F1357" t="s">
        <v>6</v>
      </c>
      <c r="G1357" t="s">
        <v>351</v>
      </c>
      <c r="H1357" t="s">
        <v>352</v>
      </c>
      <c r="I1357" t="s">
        <v>12</v>
      </c>
      <c r="J1357" t="s">
        <v>5</v>
      </c>
    </row>
    <row r="1358" spans="1:10" x14ac:dyDescent="0.35">
      <c r="A1358" s="38" t="s">
        <v>458</v>
      </c>
      <c r="B1358" s="38">
        <v>1</v>
      </c>
      <c r="C1358" t="s">
        <v>3</v>
      </c>
      <c r="D1358" s="38" t="s">
        <v>9</v>
      </c>
      <c r="E1358" s="38"/>
      <c r="F1358" s="38" t="s">
        <v>18</v>
      </c>
      <c r="G1358" s="38"/>
      <c r="H1358" s="38"/>
      <c r="I1358" s="38" t="s">
        <v>19</v>
      </c>
      <c r="J1358" s="38" t="s">
        <v>350</v>
      </c>
    </row>
    <row r="1359" spans="1:10" ht="15.5" x14ac:dyDescent="0.35">
      <c r="A1359" s="2" t="s">
        <v>453</v>
      </c>
      <c r="B1359">
        <v>1.00057</v>
      </c>
      <c r="C1359" t="s">
        <v>3</v>
      </c>
      <c r="D1359" t="s">
        <v>9</v>
      </c>
      <c r="F1359" s="38" t="s">
        <v>21</v>
      </c>
      <c r="G1359" t="s">
        <v>19</v>
      </c>
      <c r="I1359" s="38"/>
      <c r="J1359" s="2" t="s">
        <v>454</v>
      </c>
    </row>
    <row r="1360" spans="1:10" x14ac:dyDescent="0.35">
      <c r="A1360" s="38" t="s">
        <v>30</v>
      </c>
      <c r="B1360" s="38">
        <v>6.7000000000000002E-3</v>
      </c>
      <c r="C1360" t="s">
        <v>3</v>
      </c>
      <c r="D1360" s="38" t="s">
        <v>31</v>
      </c>
      <c r="E1360" s="38"/>
      <c r="F1360" s="38" t="s">
        <v>21</v>
      </c>
      <c r="G1360" s="38"/>
      <c r="H1360" s="38"/>
      <c r="I1360" s="38"/>
      <c r="J1360" s="38" t="s">
        <v>32</v>
      </c>
    </row>
    <row r="1361" spans="1:10" x14ac:dyDescent="0.35">
      <c r="A1361" s="38" t="s">
        <v>353</v>
      </c>
      <c r="B1361" s="38">
        <v>-1.6799999999999999E-4</v>
      </c>
      <c r="C1361" s="38" t="s">
        <v>33</v>
      </c>
      <c r="D1361" s="38" t="s">
        <v>9</v>
      </c>
      <c r="E1361" s="38"/>
      <c r="F1361" s="38" t="s">
        <v>21</v>
      </c>
      <c r="G1361" s="38"/>
      <c r="H1361" s="38"/>
      <c r="I1361" s="38"/>
      <c r="J1361" s="38" t="s">
        <v>354</v>
      </c>
    </row>
    <row r="1362" spans="1:10" x14ac:dyDescent="0.35">
      <c r="A1362" s="38" t="s">
        <v>355</v>
      </c>
      <c r="B1362" s="39">
        <v>5.8399999999999999E-4</v>
      </c>
      <c r="C1362" s="38" t="s">
        <v>33</v>
      </c>
      <c r="D1362" s="38" t="s">
        <v>20</v>
      </c>
      <c r="E1362" s="38"/>
      <c r="F1362" s="38" t="s">
        <v>21</v>
      </c>
      <c r="G1362" s="38"/>
      <c r="H1362" s="38"/>
      <c r="I1362" s="38"/>
      <c r="J1362" s="38" t="s">
        <v>356</v>
      </c>
    </row>
    <row r="1363" spans="1:10" x14ac:dyDescent="0.35">
      <c r="A1363" s="38" t="s">
        <v>357</v>
      </c>
      <c r="B1363" s="39">
        <v>2.5999999999999998E-10</v>
      </c>
      <c r="C1363" s="38" t="s">
        <v>33</v>
      </c>
      <c r="D1363" s="38" t="s">
        <v>8</v>
      </c>
      <c r="E1363" s="38"/>
      <c r="F1363" s="38" t="s">
        <v>21</v>
      </c>
      <c r="G1363" s="38"/>
      <c r="H1363" s="38"/>
      <c r="I1363" s="38"/>
      <c r="J1363" s="38" t="s">
        <v>358</v>
      </c>
    </row>
    <row r="1364" spans="1:10" x14ac:dyDescent="0.35">
      <c r="A1364" s="38" t="s">
        <v>359</v>
      </c>
      <c r="B1364" s="39">
        <v>-6.2700000000000001E-6</v>
      </c>
      <c r="C1364" s="38" t="s">
        <v>33</v>
      </c>
      <c r="D1364" s="38" t="s">
        <v>9</v>
      </c>
      <c r="E1364" s="38"/>
      <c r="F1364" s="38" t="s">
        <v>21</v>
      </c>
      <c r="G1364" s="38"/>
      <c r="H1364" s="38"/>
      <c r="I1364" s="38"/>
      <c r="J1364" s="38" t="s">
        <v>360</v>
      </c>
    </row>
    <row r="1365" spans="1:10" x14ac:dyDescent="0.35">
      <c r="A1365" s="38" t="s">
        <v>361</v>
      </c>
      <c r="B1365" s="39">
        <v>-7.4999999999999993E-5</v>
      </c>
      <c r="C1365" s="38" t="s">
        <v>33</v>
      </c>
      <c r="D1365" s="38" t="s">
        <v>131</v>
      </c>
      <c r="E1365" s="38"/>
      <c r="F1365" s="38" t="s">
        <v>21</v>
      </c>
      <c r="G1365" s="38"/>
      <c r="H1365" s="38"/>
      <c r="I1365" s="38"/>
      <c r="J1365" s="38" t="s">
        <v>362</v>
      </c>
    </row>
    <row r="1366" spans="1:10" x14ac:dyDescent="0.35">
      <c r="A1366" s="38" t="s">
        <v>363</v>
      </c>
      <c r="B1366" s="39">
        <v>6.8900000000000005E-4</v>
      </c>
      <c r="C1366" s="38" t="s">
        <v>33</v>
      </c>
      <c r="D1366" s="38" t="s">
        <v>9</v>
      </c>
      <c r="E1366" s="38"/>
      <c r="F1366" s="38" t="s">
        <v>21</v>
      </c>
      <c r="G1366" s="38"/>
      <c r="H1366" s="38"/>
      <c r="I1366" s="38"/>
      <c r="J1366" s="38" t="s">
        <v>364</v>
      </c>
    </row>
    <row r="1367" spans="1:10" x14ac:dyDescent="0.35">
      <c r="A1367" s="38" t="s">
        <v>108</v>
      </c>
      <c r="B1367" s="38">
        <v>3.3599999999999998E-2</v>
      </c>
      <c r="C1367" s="38" t="s">
        <v>33</v>
      </c>
      <c r="D1367" s="38" t="s">
        <v>45</v>
      </c>
      <c r="E1367" s="38"/>
      <c r="F1367" s="38" t="s">
        <v>21</v>
      </c>
      <c r="G1367" s="38"/>
      <c r="H1367" s="38"/>
      <c r="I1367" s="38"/>
      <c r="J1367" s="38" t="s">
        <v>111</v>
      </c>
    </row>
    <row r="1368" spans="1:10" x14ac:dyDescent="0.35">
      <c r="A1368" s="38" t="s">
        <v>365</v>
      </c>
      <c r="B1368" s="38">
        <v>3.2599999999999997E-2</v>
      </c>
      <c r="C1368" s="38" t="s">
        <v>33</v>
      </c>
      <c r="D1368" s="38" t="s">
        <v>45</v>
      </c>
      <c r="E1368" s="38"/>
      <c r="F1368" s="38" t="s">
        <v>21</v>
      </c>
      <c r="G1368" s="38"/>
      <c r="H1368" s="38"/>
      <c r="I1368" s="38"/>
      <c r="J1368" s="38" t="s">
        <v>366</v>
      </c>
    </row>
    <row r="1369" spans="1:10" x14ac:dyDescent="0.35">
      <c r="A1369" s="38" t="s">
        <v>367</v>
      </c>
      <c r="B1369" s="39">
        <v>-6.8899999999999999E-7</v>
      </c>
      <c r="C1369" s="38" t="s">
        <v>33</v>
      </c>
      <c r="D1369" s="38" t="s">
        <v>131</v>
      </c>
      <c r="E1369" s="38"/>
      <c r="F1369" s="38" t="s">
        <v>21</v>
      </c>
      <c r="G1369" s="38"/>
      <c r="H1369" s="38"/>
      <c r="I1369" s="38"/>
      <c r="J1369" s="38" t="s">
        <v>368</v>
      </c>
    </row>
    <row r="1371" spans="1:10" ht="15.5" x14ac:dyDescent="0.35">
      <c r="A1371" s="1" t="s">
        <v>1</v>
      </c>
      <c r="B1371" s="1" t="s">
        <v>459</v>
      </c>
    </row>
    <row r="1372" spans="1:10" x14ac:dyDescent="0.35">
      <c r="A1372" t="s">
        <v>2</v>
      </c>
      <c r="B1372" t="s">
        <v>3</v>
      </c>
    </row>
    <row r="1373" spans="1:10" x14ac:dyDescent="0.35">
      <c r="A1373" t="s">
        <v>4</v>
      </c>
      <c r="B1373">
        <v>1</v>
      </c>
    </row>
    <row r="1374" spans="1:10" ht="15.5" x14ac:dyDescent="0.35">
      <c r="A1374" t="s">
        <v>5</v>
      </c>
      <c r="B1374" s="2" t="s">
        <v>350</v>
      </c>
    </row>
    <row r="1375" spans="1:10" x14ac:dyDescent="0.35">
      <c r="A1375" t="s">
        <v>6</v>
      </c>
      <c r="B1375" t="s">
        <v>7</v>
      </c>
    </row>
    <row r="1376" spans="1:10" x14ac:dyDescent="0.35">
      <c r="A1376" t="s">
        <v>8</v>
      </c>
      <c r="B1376" t="s">
        <v>9</v>
      </c>
    </row>
    <row r="1377" spans="1:10" x14ac:dyDescent="0.35">
      <c r="A1377" t="s">
        <v>10</v>
      </c>
      <c r="B1377" t="s">
        <v>406</v>
      </c>
    </row>
    <row r="1378" spans="1:10" x14ac:dyDescent="0.35">
      <c r="A1378" t="s">
        <v>12</v>
      </c>
      <c r="B1378" t="s">
        <v>374</v>
      </c>
    </row>
    <row r="1379" spans="1:10" ht="15.5" x14ac:dyDescent="0.35">
      <c r="A1379" s="1" t="s">
        <v>13</v>
      </c>
    </row>
    <row r="1380" spans="1:10" x14ac:dyDescent="0.35">
      <c r="A1380" t="s">
        <v>14</v>
      </c>
      <c r="B1380" t="s">
        <v>15</v>
      </c>
      <c r="C1380" t="s">
        <v>2</v>
      </c>
      <c r="D1380" t="s">
        <v>8</v>
      </c>
      <c r="E1380" t="s">
        <v>16</v>
      </c>
      <c r="F1380" t="s">
        <v>6</v>
      </c>
      <c r="G1380" t="s">
        <v>351</v>
      </c>
      <c r="H1380" t="s">
        <v>352</v>
      </c>
      <c r="I1380" t="s">
        <v>12</v>
      </c>
      <c r="J1380" t="s">
        <v>5</v>
      </c>
    </row>
    <row r="1381" spans="1:10" x14ac:dyDescent="0.35">
      <c r="A1381" s="38" t="s">
        <v>459</v>
      </c>
      <c r="B1381" s="38">
        <v>1</v>
      </c>
      <c r="C1381" t="s">
        <v>3</v>
      </c>
      <c r="D1381" s="38" t="s">
        <v>9</v>
      </c>
      <c r="E1381" s="38"/>
      <c r="F1381" s="38" t="s">
        <v>18</v>
      </c>
      <c r="G1381" s="38"/>
      <c r="H1381" s="38"/>
      <c r="I1381" s="38" t="s">
        <v>19</v>
      </c>
      <c r="J1381" s="38" t="s">
        <v>350</v>
      </c>
    </row>
    <row r="1382" spans="1:10" ht="15.5" x14ac:dyDescent="0.35">
      <c r="A1382" s="2" t="s">
        <v>457</v>
      </c>
      <c r="B1382">
        <v>1.00057</v>
      </c>
      <c r="C1382" t="s">
        <v>3</v>
      </c>
      <c r="D1382" t="s">
        <v>9</v>
      </c>
      <c r="F1382" s="38" t="s">
        <v>21</v>
      </c>
      <c r="G1382" t="s">
        <v>19</v>
      </c>
      <c r="I1382" s="38"/>
      <c r="J1382" s="2" t="s">
        <v>454</v>
      </c>
    </row>
    <row r="1383" spans="1:10" x14ac:dyDescent="0.35">
      <c r="A1383" s="38" t="s">
        <v>30</v>
      </c>
      <c r="B1383" s="38">
        <v>6.7000000000000002E-3</v>
      </c>
      <c r="C1383" t="s">
        <v>3</v>
      </c>
      <c r="D1383" s="38" t="s">
        <v>31</v>
      </c>
      <c r="E1383" s="38"/>
      <c r="F1383" s="38" t="s">
        <v>21</v>
      </c>
      <c r="G1383" s="38"/>
      <c r="H1383" s="38"/>
      <c r="I1383" s="38"/>
      <c r="J1383" s="38" t="s">
        <v>32</v>
      </c>
    </row>
    <row r="1384" spans="1:10" x14ac:dyDescent="0.35">
      <c r="A1384" s="38" t="s">
        <v>353</v>
      </c>
      <c r="B1384" s="38">
        <v>-1.6799999999999999E-4</v>
      </c>
      <c r="C1384" s="38" t="s">
        <v>33</v>
      </c>
      <c r="D1384" s="38" t="s">
        <v>9</v>
      </c>
      <c r="E1384" s="38"/>
      <c r="F1384" s="38" t="s">
        <v>21</v>
      </c>
      <c r="G1384" s="38"/>
      <c r="H1384" s="38"/>
      <c r="I1384" s="38"/>
      <c r="J1384" s="38" t="s">
        <v>354</v>
      </c>
    </row>
    <row r="1385" spans="1:10" x14ac:dyDescent="0.35">
      <c r="A1385" s="38" t="s">
        <v>355</v>
      </c>
      <c r="B1385" s="39">
        <v>5.8399999999999999E-4</v>
      </c>
      <c r="C1385" s="38" t="s">
        <v>33</v>
      </c>
      <c r="D1385" s="38" t="s">
        <v>20</v>
      </c>
      <c r="E1385" s="38"/>
      <c r="F1385" s="38" t="s">
        <v>21</v>
      </c>
      <c r="G1385" s="38"/>
      <c r="H1385" s="38"/>
      <c r="I1385" s="38"/>
      <c r="J1385" s="38" t="s">
        <v>356</v>
      </c>
    </row>
    <row r="1386" spans="1:10" x14ac:dyDescent="0.35">
      <c r="A1386" s="38" t="s">
        <v>357</v>
      </c>
      <c r="B1386" s="39">
        <v>2.5999999999999998E-10</v>
      </c>
      <c r="C1386" s="38" t="s">
        <v>33</v>
      </c>
      <c r="D1386" s="38" t="s">
        <v>8</v>
      </c>
      <c r="E1386" s="38"/>
      <c r="F1386" s="38" t="s">
        <v>21</v>
      </c>
      <c r="G1386" s="38"/>
      <c r="H1386" s="38"/>
      <c r="I1386" s="38"/>
      <c r="J1386" s="38" t="s">
        <v>358</v>
      </c>
    </row>
    <row r="1387" spans="1:10" x14ac:dyDescent="0.35">
      <c r="A1387" s="38" t="s">
        <v>359</v>
      </c>
      <c r="B1387" s="39">
        <v>-6.2700000000000001E-6</v>
      </c>
      <c r="C1387" s="38" t="s">
        <v>33</v>
      </c>
      <c r="D1387" s="38" t="s">
        <v>9</v>
      </c>
      <c r="E1387" s="38"/>
      <c r="F1387" s="38" t="s">
        <v>21</v>
      </c>
      <c r="G1387" s="38"/>
      <c r="H1387" s="38"/>
      <c r="I1387" s="38"/>
      <c r="J1387" s="38" t="s">
        <v>360</v>
      </c>
    </row>
    <row r="1388" spans="1:10" x14ac:dyDescent="0.35">
      <c r="A1388" s="38" t="s">
        <v>361</v>
      </c>
      <c r="B1388" s="39">
        <v>-7.4999999999999993E-5</v>
      </c>
      <c r="C1388" s="38" t="s">
        <v>33</v>
      </c>
      <c r="D1388" s="38" t="s">
        <v>131</v>
      </c>
      <c r="E1388" s="38"/>
      <c r="F1388" s="38" t="s">
        <v>21</v>
      </c>
      <c r="G1388" s="38"/>
      <c r="H1388" s="38"/>
      <c r="I1388" s="38"/>
      <c r="J1388" s="38" t="s">
        <v>362</v>
      </c>
    </row>
    <row r="1389" spans="1:10" x14ac:dyDescent="0.35">
      <c r="A1389" s="38" t="s">
        <v>363</v>
      </c>
      <c r="B1389" s="39">
        <v>6.8900000000000005E-4</v>
      </c>
      <c r="C1389" s="38" t="s">
        <v>33</v>
      </c>
      <c r="D1389" s="38" t="s">
        <v>9</v>
      </c>
      <c r="E1389" s="38"/>
      <c r="F1389" s="38" t="s">
        <v>21</v>
      </c>
      <c r="G1389" s="38"/>
      <c r="H1389" s="38"/>
      <c r="I1389" s="38"/>
      <c r="J1389" s="38" t="s">
        <v>364</v>
      </c>
    </row>
    <row r="1390" spans="1:10" x14ac:dyDescent="0.35">
      <c r="A1390" s="38" t="s">
        <v>108</v>
      </c>
      <c r="B1390" s="38">
        <v>3.3599999999999998E-2</v>
      </c>
      <c r="C1390" s="38" t="s">
        <v>33</v>
      </c>
      <c r="D1390" s="38" t="s">
        <v>45</v>
      </c>
      <c r="E1390" s="38"/>
      <c r="F1390" s="38" t="s">
        <v>21</v>
      </c>
      <c r="G1390" s="38"/>
      <c r="H1390" s="38"/>
      <c r="I1390" s="38"/>
      <c r="J1390" s="38" t="s">
        <v>111</v>
      </c>
    </row>
    <row r="1391" spans="1:10" x14ac:dyDescent="0.35">
      <c r="A1391" s="38" t="s">
        <v>365</v>
      </c>
      <c r="B1391" s="38">
        <v>3.2599999999999997E-2</v>
      </c>
      <c r="C1391" s="38" t="s">
        <v>33</v>
      </c>
      <c r="D1391" s="38" t="s">
        <v>45</v>
      </c>
      <c r="E1391" s="38"/>
      <c r="F1391" s="38" t="s">
        <v>21</v>
      </c>
      <c r="G1391" s="38"/>
      <c r="H1391" s="38"/>
      <c r="I1391" s="38"/>
      <c r="J1391" s="38" t="s">
        <v>366</v>
      </c>
    </row>
    <row r="1392" spans="1:10" x14ac:dyDescent="0.35">
      <c r="A1392" s="38" t="s">
        <v>367</v>
      </c>
      <c r="B1392" s="39">
        <v>-6.8899999999999999E-7</v>
      </c>
      <c r="C1392" s="38" t="s">
        <v>33</v>
      </c>
      <c r="D1392" s="38" t="s">
        <v>131</v>
      </c>
      <c r="E1392" s="38"/>
      <c r="F1392" s="38" t="s">
        <v>21</v>
      </c>
      <c r="G1392" s="38"/>
      <c r="H1392" s="38"/>
      <c r="I1392" s="38"/>
      <c r="J1392" s="38" t="s">
        <v>368</v>
      </c>
    </row>
    <row r="1394" spans="1:10" ht="15.5" x14ac:dyDescent="0.35">
      <c r="A1394" s="1" t="s">
        <v>1</v>
      </c>
      <c r="B1394" s="1" t="s">
        <v>539</v>
      </c>
    </row>
    <row r="1395" spans="1:10" x14ac:dyDescent="0.35">
      <c r="A1395" t="s">
        <v>2</v>
      </c>
      <c r="B1395" t="s">
        <v>3</v>
      </c>
    </row>
    <row r="1396" spans="1:10" x14ac:dyDescent="0.35">
      <c r="A1396" t="s">
        <v>4</v>
      </c>
      <c r="B1396">
        <v>1</v>
      </c>
    </row>
    <row r="1397" spans="1:10" ht="15.5" x14ac:dyDescent="0.35">
      <c r="A1397" t="s">
        <v>5</v>
      </c>
      <c r="B1397" s="2" t="s">
        <v>350</v>
      </c>
    </row>
    <row r="1398" spans="1:10" x14ac:dyDescent="0.35">
      <c r="A1398" t="s">
        <v>6</v>
      </c>
      <c r="B1398" t="s">
        <v>7</v>
      </c>
    </row>
    <row r="1399" spans="1:10" x14ac:dyDescent="0.35">
      <c r="A1399" t="s">
        <v>8</v>
      </c>
      <c r="B1399" t="s">
        <v>9</v>
      </c>
    </row>
    <row r="1400" spans="1:10" x14ac:dyDescent="0.35">
      <c r="A1400" t="s">
        <v>10</v>
      </c>
      <c r="B1400" t="s">
        <v>406</v>
      </c>
    </row>
    <row r="1401" spans="1:10" x14ac:dyDescent="0.35">
      <c r="A1401" t="s">
        <v>12</v>
      </c>
      <c r="B1401" t="s">
        <v>525</v>
      </c>
    </row>
    <row r="1402" spans="1:10" ht="15.5" x14ac:dyDescent="0.35">
      <c r="A1402" s="1" t="s">
        <v>13</v>
      </c>
    </row>
    <row r="1403" spans="1:10" x14ac:dyDescent="0.35">
      <c r="A1403" t="s">
        <v>14</v>
      </c>
      <c r="B1403" t="s">
        <v>15</v>
      </c>
      <c r="C1403" t="s">
        <v>2</v>
      </c>
      <c r="D1403" t="s">
        <v>8</v>
      </c>
      <c r="E1403" t="s">
        <v>16</v>
      </c>
      <c r="F1403" t="s">
        <v>6</v>
      </c>
      <c r="G1403" t="s">
        <v>351</v>
      </c>
      <c r="H1403" t="s">
        <v>352</v>
      </c>
      <c r="I1403" t="s">
        <v>12</v>
      </c>
      <c r="J1403" t="s">
        <v>5</v>
      </c>
    </row>
    <row r="1404" spans="1:10" x14ac:dyDescent="0.35">
      <c r="A1404" s="38" t="s">
        <v>539</v>
      </c>
      <c r="B1404" s="38">
        <v>1</v>
      </c>
      <c r="C1404" t="s">
        <v>3</v>
      </c>
      <c r="D1404" s="38" t="s">
        <v>9</v>
      </c>
      <c r="E1404" s="38"/>
      <c r="F1404" s="38" t="s">
        <v>18</v>
      </c>
      <c r="G1404" s="38"/>
      <c r="H1404" s="38"/>
      <c r="I1404" s="38" t="s">
        <v>19</v>
      </c>
      <c r="J1404" s="38" t="s">
        <v>350</v>
      </c>
    </row>
    <row r="1405" spans="1:10" ht="15.5" x14ac:dyDescent="0.35">
      <c r="A1405" s="2" t="s">
        <v>538</v>
      </c>
      <c r="B1405">
        <v>1.00057</v>
      </c>
      <c r="C1405" t="s">
        <v>3</v>
      </c>
      <c r="D1405" t="s">
        <v>9</v>
      </c>
      <c r="F1405" s="38" t="s">
        <v>21</v>
      </c>
      <c r="G1405" t="s">
        <v>19</v>
      </c>
      <c r="I1405" s="38"/>
      <c r="J1405" s="2" t="s">
        <v>454</v>
      </c>
    </row>
    <row r="1406" spans="1:10" x14ac:dyDescent="0.35">
      <c r="A1406" s="38" t="s">
        <v>30</v>
      </c>
      <c r="B1406" s="38">
        <v>6.7000000000000002E-3</v>
      </c>
      <c r="C1406" t="s">
        <v>3</v>
      </c>
      <c r="D1406" s="38" t="s">
        <v>31</v>
      </c>
      <c r="E1406" s="38"/>
      <c r="F1406" s="38" t="s">
        <v>21</v>
      </c>
      <c r="G1406" s="38"/>
      <c r="H1406" s="38"/>
      <c r="I1406" s="38"/>
      <c r="J1406" s="38" t="s">
        <v>32</v>
      </c>
    </row>
    <row r="1407" spans="1:10" x14ac:dyDescent="0.35">
      <c r="A1407" s="38" t="s">
        <v>353</v>
      </c>
      <c r="B1407" s="38">
        <v>-1.6799999999999999E-4</v>
      </c>
      <c r="C1407" s="38" t="s">
        <v>33</v>
      </c>
      <c r="D1407" s="38" t="s">
        <v>9</v>
      </c>
      <c r="E1407" s="38"/>
      <c r="F1407" s="38" t="s">
        <v>21</v>
      </c>
      <c r="G1407" s="38"/>
      <c r="H1407" s="38"/>
      <c r="I1407" s="38"/>
      <c r="J1407" s="38" t="s">
        <v>354</v>
      </c>
    </row>
    <row r="1408" spans="1:10" x14ac:dyDescent="0.35">
      <c r="A1408" s="38" t="s">
        <v>355</v>
      </c>
      <c r="B1408" s="39">
        <v>5.8399999999999999E-4</v>
      </c>
      <c r="C1408" s="38" t="s">
        <v>33</v>
      </c>
      <c r="D1408" s="38" t="s">
        <v>20</v>
      </c>
      <c r="E1408" s="38"/>
      <c r="F1408" s="38" t="s">
        <v>21</v>
      </c>
      <c r="G1408" s="38"/>
      <c r="H1408" s="38"/>
      <c r="I1408" s="38"/>
      <c r="J1408" s="38" t="s">
        <v>356</v>
      </c>
    </row>
    <row r="1409" spans="1:10" x14ac:dyDescent="0.35">
      <c r="A1409" s="38" t="s">
        <v>357</v>
      </c>
      <c r="B1409" s="39">
        <v>2.5999999999999998E-10</v>
      </c>
      <c r="C1409" s="38" t="s">
        <v>33</v>
      </c>
      <c r="D1409" s="38" t="s">
        <v>8</v>
      </c>
      <c r="E1409" s="38"/>
      <c r="F1409" s="38" t="s">
        <v>21</v>
      </c>
      <c r="G1409" s="38"/>
      <c r="H1409" s="38"/>
      <c r="I1409" s="38"/>
      <c r="J1409" s="38" t="s">
        <v>358</v>
      </c>
    </row>
    <row r="1410" spans="1:10" x14ac:dyDescent="0.35">
      <c r="A1410" s="38" t="s">
        <v>359</v>
      </c>
      <c r="B1410" s="39">
        <v>-6.2700000000000001E-6</v>
      </c>
      <c r="C1410" s="38" t="s">
        <v>33</v>
      </c>
      <c r="D1410" s="38" t="s">
        <v>9</v>
      </c>
      <c r="E1410" s="38"/>
      <c r="F1410" s="38" t="s">
        <v>21</v>
      </c>
      <c r="G1410" s="38"/>
      <c r="H1410" s="38"/>
      <c r="I1410" s="38"/>
      <c r="J1410" s="38" t="s">
        <v>360</v>
      </c>
    </row>
    <row r="1411" spans="1:10" x14ac:dyDescent="0.35">
      <c r="A1411" s="38" t="s">
        <v>361</v>
      </c>
      <c r="B1411" s="39">
        <v>-7.4999999999999993E-5</v>
      </c>
      <c r="C1411" s="38" t="s">
        <v>33</v>
      </c>
      <c r="D1411" s="38" t="s">
        <v>131</v>
      </c>
      <c r="E1411" s="38"/>
      <c r="F1411" s="38" t="s">
        <v>21</v>
      </c>
      <c r="G1411" s="38"/>
      <c r="H1411" s="38"/>
      <c r="I1411" s="38"/>
      <c r="J1411" s="38" t="s">
        <v>362</v>
      </c>
    </row>
    <row r="1412" spans="1:10" x14ac:dyDescent="0.35">
      <c r="A1412" s="38" t="s">
        <v>363</v>
      </c>
      <c r="B1412" s="39">
        <v>6.8900000000000005E-4</v>
      </c>
      <c r="C1412" s="38" t="s">
        <v>33</v>
      </c>
      <c r="D1412" s="38" t="s">
        <v>9</v>
      </c>
      <c r="E1412" s="38"/>
      <c r="F1412" s="38" t="s">
        <v>21</v>
      </c>
      <c r="G1412" s="38"/>
      <c r="H1412" s="38"/>
      <c r="I1412" s="38"/>
      <c r="J1412" s="38" t="s">
        <v>364</v>
      </c>
    </row>
    <row r="1413" spans="1:10" x14ac:dyDescent="0.35">
      <c r="A1413" s="38" t="s">
        <v>108</v>
      </c>
      <c r="B1413" s="38">
        <v>3.3599999999999998E-2</v>
      </c>
      <c r="C1413" s="38" t="s">
        <v>33</v>
      </c>
      <c r="D1413" s="38" t="s">
        <v>45</v>
      </c>
      <c r="E1413" s="38"/>
      <c r="F1413" s="38" t="s">
        <v>21</v>
      </c>
      <c r="G1413" s="38"/>
      <c r="H1413" s="38"/>
      <c r="I1413" s="38"/>
      <c r="J1413" s="38" t="s">
        <v>111</v>
      </c>
    </row>
    <row r="1414" spans="1:10" x14ac:dyDescent="0.35">
      <c r="A1414" s="38" t="s">
        <v>365</v>
      </c>
      <c r="B1414" s="38">
        <v>3.2599999999999997E-2</v>
      </c>
      <c r="C1414" s="38" t="s">
        <v>33</v>
      </c>
      <c r="D1414" s="38" t="s">
        <v>45</v>
      </c>
      <c r="E1414" s="38"/>
      <c r="F1414" s="38" t="s">
        <v>21</v>
      </c>
      <c r="G1414" s="38"/>
      <c r="H1414" s="38"/>
      <c r="I1414" s="38"/>
      <c r="J1414" s="38" t="s">
        <v>366</v>
      </c>
    </row>
    <row r="1415" spans="1:10" x14ac:dyDescent="0.35">
      <c r="A1415" s="38" t="s">
        <v>367</v>
      </c>
      <c r="B1415" s="39">
        <v>-6.8899999999999999E-7</v>
      </c>
      <c r="C1415" s="38" t="s">
        <v>33</v>
      </c>
      <c r="D1415" s="38" t="s">
        <v>131</v>
      </c>
      <c r="E1415" s="38"/>
      <c r="F1415" s="38" t="s">
        <v>21</v>
      </c>
      <c r="G1415" s="38"/>
      <c r="H1415" s="38"/>
      <c r="I1415" s="38"/>
      <c r="J1415" s="38" t="s">
        <v>368</v>
      </c>
    </row>
    <row r="1417" spans="1:10" ht="15.5" x14ac:dyDescent="0.35">
      <c r="A1417" s="1" t="s">
        <v>1</v>
      </c>
      <c r="B1417" s="1" t="s">
        <v>92</v>
      </c>
    </row>
    <row r="1418" spans="1:10" x14ac:dyDescent="0.35">
      <c r="A1418" t="s">
        <v>2</v>
      </c>
      <c r="B1418" t="s">
        <v>3</v>
      </c>
    </row>
    <row r="1419" spans="1:10" x14ac:dyDescent="0.35">
      <c r="A1419" t="s">
        <v>4</v>
      </c>
      <c r="B1419">
        <v>1</v>
      </c>
    </row>
    <row r="1420" spans="1:10" ht="15.5" x14ac:dyDescent="0.35">
      <c r="A1420" t="s">
        <v>5</v>
      </c>
      <c r="B1420" s="2" t="s">
        <v>93</v>
      </c>
    </row>
    <row r="1421" spans="1:10" x14ac:dyDescent="0.35">
      <c r="A1421" t="s">
        <v>6</v>
      </c>
      <c r="B1421" t="s">
        <v>7</v>
      </c>
    </row>
    <row r="1422" spans="1:10" x14ac:dyDescent="0.35">
      <c r="A1422" t="s">
        <v>8</v>
      </c>
      <c r="B1422" t="s">
        <v>9</v>
      </c>
    </row>
    <row r="1423" spans="1:10" x14ac:dyDescent="0.35">
      <c r="A1423" t="s">
        <v>10</v>
      </c>
      <c r="B1423" t="s">
        <v>11</v>
      </c>
    </row>
    <row r="1424" spans="1:10" x14ac:dyDescent="0.35">
      <c r="A1424" t="s">
        <v>28</v>
      </c>
      <c r="B1424" t="s">
        <v>235</v>
      </c>
    </row>
    <row r="1425" spans="1:8" ht="15.5" x14ac:dyDescent="0.35">
      <c r="A1425" s="1" t="s">
        <v>13</v>
      </c>
    </row>
    <row r="1426" spans="1:8" x14ac:dyDescent="0.35">
      <c r="A1426" t="s">
        <v>14</v>
      </c>
      <c r="B1426" t="s">
        <v>15</v>
      </c>
      <c r="C1426" t="s">
        <v>2</v>
      </c>
      <c r="D1426" t="s">
        <v>8</v>
      </c>
      <c r="E1426" t="s">
        <v>16</v>
      </c>
      <c r="F1426" t="s">
        <v>6</v>
      </c>
      <c r="G1426" t="s">
        <v>12</v>
      </c>
      <c r="H1426" t="s">
        <v>5</v>
      </c>
    </row>
    <row r="1427" spans="1:8" ht="15.5" x14ac:dyDescent="0.35">
      <c r="A1427" s="2" t="s">
        <v>92</v>
      </c>
      <c r="B1427">
        <v>1</v>
      </c>
      <c r="C1427" t="s">
        <v>3</v>
      </c>
      <c r="D1427" t="s">
        <v>9</v>
      </c>
      <c r="F1427" t="s">
        <v>18</v>
      </c>
      <c r="G1427" t="s">
        <v>19</v>
      </c>
      <c r="H1427" s="2" t="s">
        <v>93</v>
      </c>
    </row>
    <row r="1428" spans="1:8" x14ac:dyDescent="0.35">
      <c r="A1428" t="s">
        <v>23</v>
      </c>
      <c r="B1428" s="5">
        <f>38099*Allocation!$B$3/1000</f>
        <v>4.0196574734099995E-2</v>
      </c>
      <c r="C1428" t="s">
        <v>27</v>
      </c>
      <c r="D1428" t="s">
        <v>20</v>
      </c>
      <c r="F1428" t="s">
        <v>21</v>
      </c>
      <c r="G1428" t="s">
        <v>96</v>
      </c>
      <c r="H1428" t="s">
        <v>24</v>
      </c>
    </row>
    <row r="1429" spans="1:8" x14ac:dyDescent="0.35">
      <c r="A1429" t="s">
        <v>82</v>
      </c>
      <c r="B1429" s="5">
        <f>12235*Allocation!$B$3/1000</f>
        <v>1.2908608936499999E-2</v>
      </c>
      <c r="C1429" t="s">
        <v>27</v>
      </c>
      <c r="D1429" t="s">
        <v>20</v>
      </c>
      <c r="F1429" t="s">
        <v>21</v>
      </c>
      <c r="G1429" t="s">
        <v>95</v>
      </c>
      <c r="H1429" t="s">
        <v>82</v>
      </c>
    </row>
    <row r="1430" spans="1:8" x14ac:dyDescent="0.35">
      <c r="A1430" t="s">
        <v>85</v>
      </c>
      <c r="B1430" s="5">
        <f>(21387+18701)*Allocation!$B$3/1000</f>
        <v>4.22950809192E-2</v>
      </c>
      <c r="C1430" t="s">
        <v>27</v>
      </c>
      <c r="D1430" t="s">
        <v>20</v>
      </c>
      <c r="F1430" t="s">
        <v>21</v>
      </c>
      <c r="G1430" t="s">
        <v>94</v>
      </c>
      <c r="H1430" t="s">
        <v>86</v>
      </c>
    </row>
    <row r="1431" spans="1:8" x14ac:dyDescent="0.35">
      <c r="A1431" t="s">
        <v>30</v>
      </c>
      <c r="B1431" s="5">
        <f>8953*Allocation!$B$3/1000/3.6</f>
        <v>2.6238654090833331E-3</v>
      </c>
      <c r="C1431" t="s">
        <v>3</v>
      </c>
      <c r="D1431" t="s">
        <v>31</v>
      </c>
      <c r="F1431" t="s">
        <v>21</v>
      </c>
      <c r="H1431" t="s">
        <v>32</v>
      </c>
    </row>
    <row r="1432" spans="1:8" x14ac:dyDescent="0.35">
      <c r="A1432" t="s">
        <v>43</v>
      </c>
      <c r="B1432">
        <f>20*Allocation!$B$7/1000</f>
        <v>3.2199999999999999E-2</v>
      </c>
      <c r="C1432" t="s">
        <v>33</v>
      </c>
      <c r="D1432" t="s">
        <v>45</v>
      </c>
      <c r="F1432" t="s">
        <v>21</v>
      </c>
      <c r="G1432" t="s">
        <v>91</v>
      </c>
      <c r="H1432" t="s">
        <v>44</v>
      </c>
    </row>
    <row r="1433" spans="1:8" x14ac:dyDescent="0.35">
      <c r="A1433" t="s">
        <v>46</v>
      </c>
      <c r="B1433">
        <f>1.146/1000</f>
        <v>1.1459999999999999E-3</v>
      </c>
      <c r="C1433" t="s">
        <v>3</v>
      </c>
      <c r="D1433" t="s">
        <v>9</v>
      </c>
      <c r="F1433" t="s">
        <v>21</v>
      </c>
      <c r="H1433" t="s">
        <v>47</v>
      </c>
    </row>
    <row r="1434" spans="1:8" x14ac:dyDescent="0.35">
      <c r="A1434" t="s">
        <v>48</v>
      </c>
      <c r="B1434">
        <f>0.513/1000</f>
        <v>5.13E-4</v>
      </c>
      <c r="C1434" t="s">
        <v>3</v>
      </c>
      <c r="D1434" t="s">
        <v>9</v>
      </c>
      <c r="F1434" t="s">
        <v>21</v>
      </c>
      <c r="H1434" t="s">
        <v>49</v>
      </c>
    </row>
    <row r="1435" spans="1:8" x14ac:dyDescent="0.35">
      <c r="A1435" t="s">
        <v>54</v>
      </c>
      <c r="B1435">
        <f>71.91/1000/1000</f>
        <v>7.1910000000000008E-5</v>
      </c>
      <c r="C1435" t="s">
        <v>27</v>
      </c>
      <c r="D1435" t="s">
        <v>9</v>
      </c>
      <c r="F1435" t="s">
        <v>21</v>
      </c>
      <c r="G1435" t="s">
        <v>55</v>
      </c>
      <c r="H1435" t="s">
        <v>57</v>
      </c>
    </row>
    <row r="1436" spans="1:8" x14ac:dyDescent="0.35">
      <c r="A1436" t="s">
        <v>191</v>
      </c>
      <c r="B1436" s="7">
        <v>3.6830900643231697E-5</v>
      </c>
      <c r="C1436" t="s">
        <v>27</v>
      </c>
      <c r="D1436" t="s">
        <v>129</v>
      </c>
      <c r="F1436" t="s">
        <v>21</v>
      </c>
      <c r="G1436" t="s">
        <v>190</v>
      </c>
      <c r="H1436" t="s">
        <v>192</v>
      </c>
    </row>
    <row r="1437" spans="1:8" x14ac:dyDescent="0.35">
      <c r="A1437" t="s">
        <v>193</v>
      </c>
      <c r="B1437">
        <v>1.1049380686770699E-4</v>
      </c>
      <c r="C1437" t="s">
        <v>27</v>
      </c>
      <c r="D1437" t="s">
        <v>129</v>
      </c>
      <c r="F1437" t="s">
        <v>21</v>
      </c>
      <c r="G1437" t="s">
        <v>190</v>
      </c>
      <c r="H1437" t="s">
        <v>194</v>
      </c>
    </row>
    <row r="1438" spans="1:8" x14ac:dyDescent="0.35">
      <c r="A1438" t="s">
        <v>195</v>
      </c>
      <c r="B1438" s="7">
        <v>3.6830900643231697E-5</v>
      </c>
      <c r="C1438" t="s">
        <v>27</v>
      </c>
      <c r="D1438" t="s">
        <v>129</v>
      </c>
      <c r="F1438" t="s">
        <v>21</v>
      </c>
      <c r="G1438" t="s">
        <v>190</v>
      </c>
      <c r="H1438" t="s">
        <v>196</v>
      </c>
    </row>
    <row r="1439" spans="1:8" x14ac:dyDescent="0.35">
      <c r="A1439" t="s">
        <v>130</v>
      </c>
      <c r="B1439" s="4">
        <v>0.252</v>
      </c>
      <c r="C1439" t="s">
        <v>3</v>
      </c>
      <c r="D1439" t="s">
        <v>131</v>
      </c>
      <c r="F1439" t="s">
        <v>21</v>
      </c>
      <c r="G1439" t="s">
        <v>135</v>
      </c>
      <c r="H1439" t="s">
        <v>132</v>
      </c>
    </row>
    <row r="1440" spans="1:8" x14ac:dyDescent="0.35">
      <c r="A1440" t="s">
        <v>197</v>
      </c>
      <c r="B1440">
        <v>1.1048999999999999E-4</v>
      </c>
      <c r="C1440" t="s">
        <v>27</v>
      </c>
      <c r="D1440" t="s">
        <v>129</v>
      </c>
      <c r="F1440" t="s">
        <v>21</v>
      </c>
      <c r="G1440" t="s">
        <v>190</v>
      </c>
      <c r="H1440" t="s">
        <v>198</v>
      </c>
    </row>
    <row r="1441" spans="1:7" x14ac:dyDescent="0.35">
      <c r="A1441" t="s">
        <v>160</v>
      </c>
      <c r="B1441" s="7">
        <v>9.6866907013685906E-6</v>
      </c>
      <c r="D1441" t="s">
        <v>9</v>
      </c>
      <c r="E1441" t="s">
        <v>180</v>
      </c>
      <c r="F1441" t="s">
        <v>38</v>
      </c>
      <c r="G1441" t="s">
        <v>190</v>
      </c>
    </row>
    <row r="1442" spans="1:7" x14ac:dyDescent="0.35">
      <c r="A1442" t="s">
        <v>142</v>
      </c>
      <c r="B1442" s="7">
        <v>-9.8401857757250106E-7</v>
      </c>
      <c r="D1442" t="s">
        <v>9</v>
      </c>
      <c r="E1442" t="s">
        <v>180</v>
      </c>
      <c r="F1442" t="s">
        <v>38</v>
      </c>
      <c r="G1442" t="s">
        <v>190</v>
      </c>
    </row>
    <row r="1443" spans="1:7" x14ac:dyDescent="0.35">
      <c r="A1443" t="s">
        <v>168</v>
      </c>
      <c r="B1443" s="7">
        <v>8.8484627663318299E-7</v>
      </c>
      <c r="D1443" t="s">
        <v>9</v>
      </c>
      <c r="E1443" t="s">
        <v>180</v>
      </c>
      <c r="F1443" t="s">
        <v>38</v>
      </c>
      <c r="G1443" t="s">
        <v>190</v>
      </c>
    </row>
    <row r="1444" spans="1:7" x14ac:dyDescent="0.35">
      <c r="A1444" t="s">
        <v>174</v>
      </c>
      <c r="B1444" s="7">
        <v>1.5966811678364199E-8</v>
      </c>
      <c r="D1444" t="s">
        <v>9</v>
      </c>
      <c r="E1444" t="s">
        <v>180</v>
      </c>
      <c r="F1444" t="s">
        <v>38</v>
      </c>
      <c r="G1444" t="s">
        <v>190</v>
      </c>
    </row>
    <row r="1445" spans="1:7" x14ac:dyDescent="0.35">
      <c r="A1445" t="s">
        <v>183</v>
      </c>
      <c r="B1445" s="7">
        <v>1.07630556194952E-5</v>
      </c>
      <c r="D1445" t="s">
        <v>9</v>
      </c>
      <c r="E1445" t="s">
        <v>181</v>
      </c>
      <c r="F1445" t="s">
        <v>38</v>
      </c>
      <c r="G1445" t="s">
        <v>190</v>
      </c>
    </row>
    <row r="1446" spans="1:7" x14ac:dyDescent="0.35">
      <c r="A1446" t="s">
        <v>161</v>
      </c>
      <c r="B1446" s="7">
        <v>9.03472245050759E-7</v>
      </c>
      <c r="D1446" t="s">
        <v>9</v>
      </c>
      <c r="E1446" t="s">
        <v>180</v>
      </c>
      <c r="F1446" t="s">
        <v>38</v>
      </c>
      <c r="G1446" t="s">
        <v>190</v>
      </c>
    </row>
    <row r="1447" spans="1:7" x14ac:dyDescent="0.35">
      <c r="A1447" t="s">
        <v>182</v>
      </c>
      <c r="B1447">
        <v>1.46657242732071E-3</v>
      </c>
      <c r="D1447" t="s">
        <v>9</v>
      </c>
      <c r="E1447" t="s">
        <v>189</v>
      </c>
      <c r="F1447" t="s">
        <v>38</v>
      </c>
      <c r="G1447" t="s">
        <v>190</v>
      </c>
    </row>
    <row r="1448" spans="1:7" x14ac:dyDescent="0.35">
      <c r="A1448" t="s">
        <v>158</v>
      </c>
      <c r="B1448" s="7">
        <v>-2.17184252532495E-8</v>
      </c>
      <c r="D1448" t="s">
        <v>9</v>
      </c>
      <c r="E1448" t="s">
        <v>180</v>
      </c>
      <c r="F1448" t="s">
        <v>38</v>
      </c>
      <c r="G1448" t="s">
        <v>190</v>
      </c>
    </row>
    <row r="1449" spans="1:7" x14ac:dyDescent="0.35">
      <c r="A1449" t="s">
        <v>136</v>
      </c>
      <c r="B1449">
        <v>2.7599778575834E-3</v>
      </c>
      <c r="D1449" t="s">
        <v>131</v>
      </c>
      <c r="E1449" t="s">
        <v>181</v>
      </c>
      <c r="F1449" t="s">
        <v>38</v>
      </c>
      <c r="G1449" t="s">
        <v>190</v>
      </c>
    </row>
    <row r="1450" spans="1:7" x14ac:dyDescent="0.35">
      <c r="A1450" t="s">
        <v>186</v>
      </c>
      <c r="B1450" s="7">
        <v>1.9959108159754498E-9</v>
      </c>
      <c r="D1450" t="s">
        <v>9</v>
      </c>
      <c r="E1450" t="s">
        <v>180</v>
      </c>
      <c r="F1450" t="s">
        <v>38</v>
      </c>
      <c r="G1450" t="s">
        <v>190</v>
      </c>
    </row>
    <row r="1451" spans="1:7" x14ac:dyDescent="0.35">
      <c r="A1451" t="s">
        <v>40</v>
      </c>
      <c r="B1451" s="7">
        <v>5.1853556439508204E-6</v>
      </c>
      <c r="D1451" t="s">
        <v>9</v>
      </c>
      <c r="E1451" t="s">
        <v>179</v>
      </c>
      <c r="F1451" t="s">
        <v>38</v>
      </c>
      <c r="G1451" t="s">
        <v>190</v>
      </c>
    </row>
    <row r="1452" spans="1:7" x14ac:dyDescent="0.35">
      <c r="A1452" t="s">
        <v>150</v>
      </c>
      <c r="B1452" s="7">
        <v>3.27859780619406E-6</v>
      </c>
      <c r="D1452" t="s">
        <v>9</v>
      </c>
      <c r="E1452" t="s">
        <v>180</v>
      </c>
      <c r="F1452" t="s">
        <v>38</v>
      </c>
      <c r="G1452" t="s">
        <v>190</v>
      </c>
    </row>
    <row r="1453" spans="1:7" x14ac:dyDescent="0.35">
      <c r="A1453" t="s">
        <v>137</v>
      </c>
      <c r="B1453" s="7">
        <v>8.0724401050640405E-5</v>
      </c>
      <c r="D1453" t="s">
        <v>9</v>
      </c>
      <c r="E1453" t="s">
        <v>179</v>
      </c>
      <c r="F1453" t="s">
        <v>38</v>
      </c>
      <c r="G1453" t="s">
        <v>190</v>
      </c>
    </row>
    <row r="1454" spans="1:7" x14ac:dyDescent="0.35">
      <c r="A1454" t="s">
        <v>165</v>
      </c>
      <c r="B1454" s="7">
        <v>2.9099959455172802E-6</v>
      </c>
      <c r="D1454" t="s">
        <v>9</v>
      </c>
      <c r="E1454" t="s">
        <v>180</v>
      </c>
      <c r="F1454" t="s">
        <v>38</v>
      </c>
      <c r="G1454" t="s">
        <v>190</v>
      </c>
    </row>
    <row r="1455" spans="1:7" x14ac:dyDescent="0.35">
      <c r="A1455" t="s">
        <v>169</v>
      </c>
      <c r="B1455" s="7">
        <v>9.5802057193840904E-8</v>
      </c>
      <c r="D1455" t="s">
        <v>9</v>
      </c>
      <c r="E1455" t="s">
        <v>180</v>
      </c>
      <c r="F1455" t="s">
        <v>38</v>
      </c>
      <c r="G1455" t="s">
        <v>190</v>
      </c>
    </row>
    <row r="1456" spans="1:7" x14ac:dyDescent="0.35">
      <c r="A1456" t="s">
        <v>152</v>
      </c>
      <c r="B1456" s="7">
        <v>-1.1393893071195499E-6</v>
      </c>
      <c r="D1456" t="s">
        <v>9</v>
      </c>
      <c r="E1456" t="s">
        <v>180</v>
      </c>
      <c r="F1456" t="s">
        <v>38</v>
      </c>
      <c r="G1456" t="s">
        <v>190</v>
      </c>
    </row>
    <row r="1457" spans="1:7" x14ac:dyDescent="0.35">
      <c r="A1457" t="s">
        <v>178</v>
      </c>
      <c r="B1457" s="7">
        <v>-4.7446953841008502E-7</v>
      </c>
      <c r="D1457" t="s">
        <v>9</v>
      </c>
      <c r="E1457" t="s">
        <v>180</v>
      </c>
      <c r="F1457" t="s">
        <v>38</v>
      </c>
      <c r="G1457" t="s">
        <v>190</v>
      </c>
    </row>
    <row r="1458" spans="1:7" x14ac:dyDescent="0.35">
      <c r="A1458" t="s">
        <v>154</v>
      </c>
      <c r="B1458" s="7">
        <v>2.5015067337276698E-7</v>
      </c>
      <c r="D1458" t="s">
        <v>9</v>
      </c>
      <c r="E1458" t="s">
        <v>180</v>
      </c>
      <c r="F1458" t="s">
        <v>38</v>
      </c>
      <c r="G1458" t="s">
        <v>190</v>
      </c>
    </row>
    <row r="1459" spans="1:7" x14ac:dyDescent="0.35">
      <c r="A1459" t="s">
        <v>118</v>
      </c>
      <c r="B1459">
        <v>0.11871235448605399</v>
      </c>
      <c r="D1459" t="s">
        <v>125</v>
      </c>
      <c r="E1459" t="s">
        <v>124</v>
      </c>
      <c r="F1459" t="s">
        <v>38</v>
      </c>
      <c r="G1459" t="s">
        <v>190</v>
      </c>
    </row>
    <row r="1460" spans="1:7" x14ac:dyDescent="0.35">
      <c r="A1460" t="s">
        <v>136</v>
      </c>
      <c r="B1460">
        <v>1.3306552055476401E-2</v>
      </c>
      <c r="D1460" t="s">
        <v>131</v>
      </c>
      <c r="E1460" t="s">
        <v>39</v>
      </c>
      <c r="F1460" t="s">
        <v>38</v>
      </c>
      <c r="G1460" t="s">
        <v>190</v>
      </c>
    </row>
    <row r="1461" spans="1:7" x14ac:dyDescent="0.35">
      <c r="A1461" t="s">
        <v>120</v>
      </c>
      <c r="B1461">
        <f>0.42*(1-0.72)*(44/12)</f>
        <v>0.43120000000000003</v>
      </c>
      <c r="D1461" t="s">
        <v>9</v>
      </c>
      <c r="E1461" t="s">
        <v>121</v>
      </c>
      <c r="F1461" t="s">
        <v>38</v>
      </c>
      <c r="G1461" t="s">
        <v>190</v>
      </c>
    </row>
    <row r="1462" spans="1:7" x14ac:dyDescent="0.35">
      <c r="A1462" t="s">
        <v>136</v>
      </c>
      <c r="B1462">
        <v>1.10399114303107E-2</v>
      </c>
      <c r="D1462" t="s">
        <v>131</v>
      </c>
      <c r="E1462" t="s">
        <v>189</v>
      </c>
      <c r="F1462" t="s">
        <v>38</v>
      </c>
      <c r="G1462" t="s">
        <v>190</v>
      </c>
    </row>
    <row r="1463" spans="1:7" x14ac:dyDescent="0.35">
      <c r="A1463" t="s">
        <v>116</v>
      </c>
      <c r="B1463">
        <v>3.2528372252739599</v>
      </c>
      <c r="D1463" t="s">
        <v>20</v>
      </c>
      <c r="E1463" t="s">
        <v>122</v>
      </c>
      <c r="F1463" t="s">
        <v>38</v>
      </c>
      <c r="G1463" t="s">
        <v>190</v>
      </c>
    </row>
    <row r="1464" spans="1:7" x14ac:dyDescent="0.35">
      <c r="A1464" t="s">
        <v>183</v>
      </c>
      <c r="B1464" s="7">
        <v>8.3098648140061805E-7</v>
      </c>
      <c r="D1464" t="s">
        <v>9</v>
      </c>
      <c r="E1464" t="s">
        <v>189</v>
      </c>
      <c r="F1464" t="s">
        <v>38</v>
      </c>
      <c r="G1464" t="s">
        <v>190</v>
      </c>
    </row>
    <row r="1465" spans="1:7" x14ac:dyDescent="0.35">
      <c r="A1465" t="s">
        <v>187</v>
      </c>
      <c r="B1465">
        <v>0.11871235448605399</v>
      </c>
      <c r="D1465" t="s">
        <v>125</v>
      </c>
      <c r="E1465" t="s">
        <v>124</v>
      </c>
      <c r="F1465" t="s">
        <v>38</v>
      </c>
      <c r="G1465" t="s">
        <v>190</v>
      </c>
    </row>
    <row r="1466" spans="1:7" x14ac:dyDescent="0.35">
      <c r="A1466" t="s">
        <v>163</v>
      </c>
      <c r="B1466" s="7">
        <v>1.4903148982175E-7</v>
      </c>
      <c r="D1466" t="s">
        <v>9</v>
      </c>
      <c r="E1466" t="s">
        <v>180</v>
      </c>
      <c r="F1466" t="s">
        <v>38</v>
      </c>
      <c r="G1466" t="s">
        <v>190</v>
      </c>
    </row>
    <row r="1467" spans="1:7" x14ac:dyDescent="0.35">
      <c r="A1467" t="s">
        <v>188</v>
      </c>
      <c r="B1467">
        <v>6.9244916371715204E-2</v>
      </c>
      <c r="D1467" t="s">
        <v>123</v>
      </c>
      <c r="E1467" t="s">
        <v>124</v>
      </c>
      <c r="F1467" t="s">
        <v>38</v>
      </c>
      <c r="G1467" t="s">
        <v>190</v>
      </c>
    </row>
    <row r="1468" spans="1:7" x14ac:dyDescent="0.35">
      <c r="A1468" t="s">
        <v>159</v>
      </c>
      <c r="B1468" s="7">
        <v>4.3163812091146796E-6</v>
      </c>
      <c r="D1468" t="s">
        <v>9</v>
      </c>
      <c r="E1468" t="s">
        <v>180</v>
      </c>
      <c r="F1468" t="s">
        <v>38</v>
      </c>
      <c r="G1468" t="s">
        <v>190</v>
      </c>
    </row>
    <row r="1469" spans="1:7" x14ac:dyDescent="0.35">
      <c r="A1469" t="s">
        <v>42</v>
      </c>
      <c r="B1469" s="7">
        <v>2.46921697330991E-5</v>
      </c>
      <c r="D1469" t="s">
        <v>9</v>
      </c>
      <c r="E1469" t="s">
        <v>179</v>
      </c>
      <c r="F1469" t="s">
        <v>38</v>
      </c>
      <c r="G1469" t="s">
        <v>190</v>
      </c>
    </row>
    <row r="1471" spans="1:7" ht="15.5" x14ac:dyDescent="0.35">
      <c r="A1471" s="1" t="s">
        <v>1</v>
      </c>
      <c r="B1471" s="1" t="s">
        <v>460</v>
      </c>
    </row>
    <row r="1472" spans="1:7" x14ac:dyDescent="0.35">
      <c r="A1472" t="s">
        <v>2</v>
      </c>
      <c r="B1472" t="s">
        <v>3</v>
      </c>
    </row>
    <row r="1473" spans="1:8" x14ac:dyDescent="0.35">
      <c r="A1473" t="s">
        <v>4</v>
      </c>
      <c r="B1473">
        <v>1</v>
      </c>
    </row>
    <row r="1474" spans="1:8" ht="15.5" x14ac:dyDescent="0.35">
      <c r="A1474" t="s">
        <v>5</v>
      </c>
      <c r="B1474" s="2" t="s">
        <v>461</v>
      </c>
    </row>
    <row r="1475" spans="1:8" x14ac:dyDescent="0.35">
      <c r="A1475" t="s">
        <v>6</v>
      </c>
      <c r="B1475" t="s">
        <v>7</v>
      </c>
    </row>
    <row r="1476" spans="1:8" x14ac:dyDescent="0.35">
      <c r="A1476" t="s">
        <v>8</v>
      </c>
      <c r="B1476" t="s">
        <v>9</v>
      </c>
    </row>
    <row r="1477" spans="1:8" x14ac:dyDescent="0.35">
      <c r="A1477" t="s">
        <v>10</v>
      </c>
      <c r="B1477" t="s">
        <v>11</v>
      </c>
    </row>
    <row r="1478" spans="1:8" x14ac:dyDescent="0.35">
      <c r="A1478" t="s">
        <v>28</v>
      </c>
      <c r="B1478" t="s">
        <v>241</v>
      </c>
    </row>
    <row r="1479" spans="1:8" ht="15.5" x14ac:dyDescent="0.35">
      <c r="A1479" s="1" t="s">
        <v>13</v>
      </c>
    </row>
    <row r="1480" spans="1:8" x14ac:dyDescent="0.35">
      <c r="A1480" t="s">
        <v>14</v>
      </c>
      <c r="B1480" t="s">
        <v>15</v>
      </c>
      <c r="C1480" t="s">
        <v>2</v>
      </c>
      <c r="D1480" t="s">
        <v>8</v>
      </c>
      <c r="E1480" t="s">
        <v>16</v>
      </c>
      <c r="F1480" t="s">
        <v>6</v>
      </c>
      <c r="G1480" t="s">
        <v>12</v>
      </c>
      <c r="H1480" t="s">
        <v>5</v>
      </c>
    </row>
    <row r="1481" spans="1:8" ht="15.5" x14ac:dyDescent="0.35">
      <c r="A1481" s="2" t="s">
        <v>460</v>
      </c>
      <c r="B1481">
        <v>1</v>
      </c>
      <c r="C1481" t="s">
        <v>3</v>
      </c>
      <c r="D1481" t="s">
        <v>9</v>
      </c>
      <c r="F1481" t="s">
        <v>18</v>
      </c>
      <c r="G1481" t="s">
        <v>19</v>
      </c>
      <c r="H1481" s="2" t="s">
        <v>461</v>
      </c>
    </row>
    <row r="1482" spans="1:8" ht="15.5" x14ac:dyDescent="0.35">
      <c r="A1482" s="2" t="s">
        <v>462</v>
      </c>
      <c r="B1482" s="6">
        <f>(1/((Allocation!$E$55*Allocation!$B$4*Allocation!$B$10)/1000))*Allocation!E60</f>
        <v>25.122891308324792</v>
      </c>
      <c r="C1482" t="s">
        <v>3</v>
      </c>
      <c r="D1482" t="s">
        <v>9</v>
      </c>
      <c r="F1482" t="s">
        <v>21</v>
      </c>
      <c r="G1482" t="s">
        <v>19</v>
      </c>
      <c r="H1482" s="2" t="s">
        <v>463</v>
      </c>
    </row>
    <row r="1483" spans="1:8" ht="15.5" x14ac:dyDescent="0.35">
      <c r="A1483" s="2" t="s">
        <v>397</v>
      </c>
      <c r="B1483" s="4">
        <f>((47.39/1000)/(Allocation!$B$4*Allocation!$B$10))*Allocation!E60</f>
        <v>1.1393791448801469E-2</v>
      </c>
      <c r="C1483" t="s">
        <v>27</v>
      </c>
      <c r="D1483" t="s">
        <v>9</v>
      </c>
      <c r="F1483" t="s">
        <v>21</v>
      </c>
      <c r="G1483" t="s">
        <v>399</v>
      </c>
      <c r="H1483" s="2" t="s">
        <v>398</v>
      </c>
    </row>
    <row r="1484" spans="1:8" x14ac:dyDescent="0.35">
      <c r="A1484" t="s">
        <v>201</v>
      </c>
      <c r="B1484" s="6">
        <f>(B1461*B1482)-Allocation!$B$13</f>
        <v>8.918990732149652</v>
      </c>
      <c r="D1484" t="s">
        <v>9</v>
      </c>
      <c r="E1484" t="s">
        <v>39</v>
      </c>
      <c r="F1484" t="s">
        <v>38</v>
      </c>
      <c r="G1484" t="s">
        <v>441</v>
      </c>
    </row>
    <row r="1485" spans="1:8" x14ac:dyDescent="0.35">
      <c r="A1485" t="s">
        <v>319</v>
      </c>
      <c r="B1485" s="7">
        <f>1/(90000000*20)</f>
        <v>5.5555555555555553E-10</v>
      </c>
      <c r="C1485" t="s">
        <v>27</v>
      </c>
      <c r="D1485" t="s">
        <v>8</v>
      </c>
      <c r="F1485" t="s">
        <v>21</v>
      </c>
      <c r="G1485" t="s">
        <v>321</v>
      </c>
      <c r="H1485" t="s">
        <v>320</v>
      </c>
    </row>
    <row r="1486" spans="1:8" ht="15.5" x14ac:dyDescent="0.35">
      <c r="A1486" s="2"/>
      <c r="H1486" s="2"/>
    </row>
    <row r="1487" spans="1:8" ht="15.5" x14ac:dyDescent="0.35">
      <c r="A1487" s="1" t="s">
        <v>1</v>
      </c>
      <c r="B1487" s="1" t="s">
        <v>464</v>
      </c>
    </row>
    <row r="1488" spans="1:8" x14ac:dyDescent="0.35">
      <c r="A1488" t="s">
        <v>2</v>
      </c>
      <c r="B1488" t="s">
        <v>3</v>
      </c>
    </row>
    <row r="1489" spans="1:8" x14ac:dyDescent="0.35">
      <c r="A1489" t="s">
        <v>4</v>
      </c>
      <c r="B1489">
        <v>1</v>
      </c>
    </row>
    <row r="1490" spans="1:8" ht="15.5" x14ac:dyDescent="0.35">
      <c r="A1490" t="s">
        <v>5</v>
      </c>
      <c r="B1490" s="2" t="s">
        <v>461</v>
      </c>
    </row>
    <row r="1491" spans="1:8" x14ac:dyDescent="0.35">
      <c r="A1491" t="s">
        <v>6</v>
      </c>
      <c r="B1491" t="s">
        <v>7</v>
      </c>
    </row>
    <row r="1492" spans="1:8" x14ac:dyDescent="0.35">
      <c r="A1492" t="s">
        <v>8</v>
      </c>
      <c r="B1492" t="s">
        <v>9</v>
      </c>
    </row>
    <row r="1493" spans="1:8" x14ac:dyDescent="0.35">
      <c r="A1493" t="s">
        <v>10</v>
      </c>
      <c r="B1493" t="s">
        <v>11</v>
      </c>
    </row>
    <row r="1494" spans="1:8" x14ac:dyDescent="0.35">
      <c r="A1494" t="s">
        <v>28</v>
      </c>
      <c r="B1494" t="s">
        <v>386</v>
      </c>
    </row>
    <row r="1495" spans="1:8" ht="15.5" x14ac:dyDescent="0.35">
      <c r="A1495" s="1" t="s">
        <v>13</v>
      </c>
    </row>
    <row r="1496" spans="1:8" x14ac:dyDescent="0.35">
      <c r="A1496" t="s">
        <v>14</v>
      </c>
      <c r="B1496" t="s">
        <v>15</v>
      </c>
      <c r="C1496" t="s">
        <v>2</v>
      </c>
      <c r="D1496" t="s">
        <v>8</v>
      </c>
      <c r="E1496" t="s">
        <v>16</v>
      </c>
      <c r="F1496" t="s">
        <v>6</v>
      </c>
      <c r="G1496" t="s">
        <v>12</v>
      </c>
      <c r="H1496" t="s">
        <v>5</v>
      </c>
    </row>
    <row r="1497" spans="1:8" ht="15.5" x14ac:dyDescent="0.35">
      <c r="A1497" s="2" t="s">
        <v>464</v>
      </c>
      <c r="B1497">
        <v>1</v>
      </c>
      <c r="C1497" t="s">
        <v>3</v>
      </c>
      <c r="D1497" t="s">
        <v>9</v>
      </c>
      <c r="F1497" t="s">
        <v>18</v>
      </c>
      <c r="G1497" t="s">
        <v>19</v>
      </c>
      <c r="H1497" s="2" t="s">
        <v>461</v>
      </c>
    </row>
    <row r="1498" spans="1:8" ht="15.5" x14ac:dyDescent="0.35">
      <c r="A1498" s="2" t="s">
        <v>462</v>
      </c>
      <c r="B1498" s="6">
        <f>(1/((Allocation!$E$55*Allocation!$B$4*Allocation!$B$10)/1000))*Allocation!E61</f>
        <v>21.623881376803233</v>
      </c>
      <c r="C1498" t="s">
        <v>3</v>
      </c>
      <c r="D1498" t="s">
        <v>9</v>
      </c>
      <c r="F1498" t="s">
        <v>21</v>
      </c>
      <c r="G1498" t="s">
        <v>19</v>
      </c>
      <c r="H1498" s="2" t="s">
        <v>463</v>
      </c>
    </row>
    <row r="1499" spans="1:8" ht="15.5" x14ac:dyDescent="0.35">
      <c r="A1499" s="2" t="s">
        <v>397</v>
      </c>
      <c r="B1499" s="4">
        <f>((47.39/1000)/(Allocation!$B$4*Allocation!$B$10))*Allocation!E61</f>
        <v>9.8069124169349684E-3</v>
      </c>
      <c r="C1499" t="s">
        <v>27</v>
      </c>
      <c r="D1499" t="s">
        <v>9</v>
      </c>
      <c r="F1499" t="s">
        <v>21</v>
      </c>
      <c r="G1499" t="s">
        <v>399</v>
      </c>
      <c r="H1499" s="2" t="s">
        <v>398</v>
      </c>
    </row>
    <row r="1500" spans="1:8" x14ac:dyDescent="0.35">
      <c r="A1500" t="s">
        <v>201</v>
      </c>
      <c r="B1500" s="6">
        <f>(B1461*B1498)-Allocation!$B$13</f>
        <v>7.4102176496775556</v>
      </c>
      <c r="D1500" t="s">
        <v>9</v>
      </c>
      <c r="E1500" t="s">
        <v>39</v>
      </c>
      <c r="F1500" t="s">
        <v>38</v>
      </c>
      <c r="G1500" t="s">
        <v>441</v>
      </c>
    </row>
    <row r="1501" spans="1:8" x14ac:dyDescent="0.35">
      <c r="A1501" t="s">
        <v>319</v>
      </c>
      <c r="B1501" s="7">
        <f>1/(90000000*20)</f>
        <v>5.5555555555555553E-10</v>
      </c>
      <c r="C1501" t="s">
        <v>27</v>
      </c>
      <c r="D1501" t="s">
        <v>8</v>
      </c>
      <c r="F1501" t="s">
        <v>21</v>
      </c>
      <c r="G1501" t="s">
        <v>321</v>
      </c>
      <c r="H1501" t="s">
        <v>320</v>
      </c>
    </row>
    <row r="1502" spans="1:8" ht="15.5" x14ac:dyDescent="0.35">
      <c r="A1502" s="2"/>
      <c r="B1502" s="4"/>
      <c r="H1502" s="2"/>
    </row>
    <row r="1503" spans="1:8" ht="15.5" x14ac:dyDescent="0.35">
      <c r="A1503" s="1" t="s">
        <v>1</v>
      </c>
      <c r="B1503" s="1" t="s">
        <v>540</v>
      </c>
    </row>
    <row r="1504" spans="1:8" x14ac:dyDescent="0.35">
      <c r="A1504" t="s">
        <v>2</v>
      </c>
      <c r="B1504" t="s">
        <v>3</v>
      </c>
    </row>
    <row r="1505" spans="1:9" x14ac:dyDescent="0.35">
      <c r="A1505" t="s">
        <v>4</v>
      </c>
      <c r="B1505">
        <v>1</v>
      </c>
    </row>
    <row r="1506" spans="1:9" ht="15.5" x14ac:dyDescent="0.35">
      <c r="A1506" t="s">
        <v>5</v>
      </c>
      <c r="B1506" s="2" t="s">
        <v>461</v>
      </c>
    </row>
    <row r="1507" spans="1:9" x14ac:dyDescent="0.35">
      <c r="A1507" t="s">
        <v>6</v>
      </c>
      <c r="B1507" t="s">
        <v>7</v>
      </c>
    </row>
    <row r="1508" spans="1:9" x14ac:dyDescent="0.35">
      <c r="A1508" t="s">
        <v>8</v>
      </c>
      <c r="B1508" t="s">
        <v>9</v>
      </c>
    </row>
    <row r="1509" spans="1:9" x14ac:dyDescent="0.35">
      <c r="A1509" t="s">
        <v>10</v>
      </c>
      <c r="B1509" t="s">
        <v>11</v>
      </c>
    </row>
    <row r="1510" spans="1:9" x14ac:dyDescent="0.35">
      <c r="A1510" t="s">
        <v>28</v>
      </c>
      <c r="B1510" t="s">
        <v>522</v>
      </c>
    </row>
    <row r="1511" spans="1:9" ht="15.5" x14ac:dyDescent="0.35">
      <c r="A1511" s="1" t="s">
        <v>13</v>
      </c>
    </row>
    <row r="1512" spans="1:9" x14ac:dyDescent="0.35">
      <c r="A1512" t="s">
        <v>14</v>
      </c>
      <c r="B1512" t="s">
        <v>15</v>
      </c>
      <c r="C1512" t="s">
        <v>2</v>
      </c>
      <c r="D1512" t="s">
        <v>8</v>
      </c>
      <c r="E1512" t="s">
        <v>16</v>
      </c>
      <c r="F1512" t="s">
        <v>6</v>
      </c>
      <c r="G1512" t="s">
        <v>12</v>
      </c>
      <c r="H1512" t="s">
        <v>5</v>
      </c>
    </row>
    <row r="1513" spans="1:9" ht="15.5" x14ac:dyDescent="0.35">
      <c r="A1513" s="2" t="s">
        <v>540</v>
      </c>
      <c r="B1513">
        <v>1</v>
      </c>
      <c r="C1513" t="s">
        <v>3</v>
      </c>
      <c r="D1513" t="s">
        <v>9</v>
      </c>
      <c r="F1513" t="s">
        <v>18</v>
      </c>
      <c r="G1513" t="s">
        <v>19</v>
      </c>
      <c r="H1513" s="2" t="s">
        <v>461</v>
      </c>
    </row>
    <row r="1514" spans="1:9" ht="15.5" x14ac:dyDescent="0.35">
      <c r="A1514" s="2" t="s">
        <v>462</v>
      </c>
      <c r="B1514" s="6">
        <f>(1/((Allocation!$E$55*Allocation!$B$4*Allocation!$B$10)/1000))</f>
        <v>34.990099315215588</v>
      </c>
      <c r="C1514" t="s">
        <v>3</v>
      </c>
      <c r="D1514" t="s">
        <v>9</v>
      </c>
      <c r="F1514" t="s">
        <v>21</v>
      </c>
      <c r="G1514" t="s">
        <v>19</v>
      </c>
      <c r="H1514" s="2" t="s">
        <v>463</v>
      </c>
    </row>
    <row r="1515" spans="1:9" ht="15.5" x14ac:dyDescent="0.35">
      <c r="A1515" s="2" t="s">
        <v>397</v>
      </c>
      <c r="B1515" s="4">
        <f>((47.39/1000)/(Allocation!$B$4*Allocation!$B$10))</f>
        <v>1.5868790318664998E-2</v>
      </c>
      <c r="C1515" t="s">
        <v>27</v>
      </c>
      <c r="D1515" t="s">
        <v>9</v>
      </c>
      <c r="F1515" t="s">
        <v>21</v>
      </c>
      <c r="G1515" t="s">
        <v>399</v>
      </c>
      <c r="H1515" s="2" t="s">
        <v>398</v>
      </c>
    </row>
    <row r="1516" spans="1:9" x14ac:dyDescent="0.35">
      <c r="A1516" t="s">
        <v>201</v>
      </c>
      <c r="B1516" s="6">
        <f>(B1461*B1514)-Allocation!$B$13</f>
        <v>13.173730824720963</v>
      </c>
      <c r="D1516" t="s">
        <v>9</v>
      </c>
      <c r="E1516" t="s">
        <v>39</v>
      </c>
      <c r="F1516" t="s">
        <v>38</v>
      </c>
      <c r="G1516" t="s">
        <v>441</v>
      </c>
    </row>
    <row r="1517" spans="1:9" x14ac:dyDescent="0.35">
      <c r="A1517" t="s">
        <v>319</v>
      </c>
      <c r="B1517" s="7">
        <f>1/(90000000*20)</f>
        <v>5.5555555555555553E-10</v>
      </c>
      <c r="C1517" t="s">
        <v>27</v>
      </c>
      <c r="D1517" t="s">
        <v>8</v>
      </c>
      <c r="F1517" t="s">
        <v>21</v>
      </c>
      <c r="G1517" t="s">
        <v>321</v>
      </c>
      <c r="H1517" t="s">
        <v>320</v>
      </c>
    </row>
    <row r="1518" spans="1:9" x14ac:dyDescent="0.35">
      <c r="A1518" s="38" t="s">
        <v>30</v>
      </c>
      <c r="B1518" s="68">
        <f>Allocation!E54/Allocation!B4*Allocation!B10*-1</f>
        <v>-2.8829247027741083</v>
      </c>
      <c r="C1518" t="s">
        <v>3</v>
      </c>
      <c r="D1518" s="38" t="s">
        <v>31</v>
      </c>
      <c r="E1518" s="38"/>
      <c r="F1518" s="38" t="s">
        <v>21</v>
      </c>
      <c r="G1518" s="38" t="s">
        <v>523</v>
      </c>
      <c r="H1518" s="38" t="s">
        <v>32</v>
      </c>
      <c r="I1518" s="38"/>
    </row>
    <row r="1519" spans="1:9" x14ac:dyDescent="0.35">
      <c r="A1519" t="s">
        <v>46</v>
      </c>
      <c r="B1519" s="5">
        <f>Allocation!C64/1000*Allocation!$E$57/Allocation!$B$4*Allocation!$B$10*-1</f>
        <v>-1.0295355614266841E-2</v>
      </c>
      <c r="C1519" t="s">
        <v>3</v>
      </c>
      <c r="D1519" t="s">
        <v>9</v>
      </c>
      <c r="F1519" t="s">
        <v>21</v>
      </c>
      <c r="G1519" s="38" t="s">
        <v>549</v>
      </c>
      <c r="H1519" t="s">
        <v>47</v>
      </c>
    </row>
    <row r="1520" spans="1:9" x14ac:dyDescent="0.35">
      <c r="A1520" t="s">
        <v>48</v>
      </c>
      <c r="B1520" s="5">
        <f>Allocation!D64/1000*Allocation!$E$57/Allocation!$B$4*Allocation!$B$10*-1</f>
        <v>-2.5585487714663145E-2</v>
      </c>
      <c r="C1520" t="s">
        <v>3</v>
      </c>
      <c r="D1520" t="s">
        <v>9</v>
      </c>
      <c r="F1520" t="s">
        <v>21</v>
      </c>
      <c r="G1520" s="38" t="s">
        <v>549</v>
      </c>
      <c r="H1520" t="s">
        <v>49</v>
      </c>
    </row>
    <row r="1521" spans="1:10" x14ac:dyDescent="0.35">
      <c r="A1521" t="s">
        <v>50</v>
      </c>
      <c r="B1521" s="5">
        <f>Allocation!E64/1000*Allocation!$E$57/Allocation!$B$4*Allocation!$B$10*-1</f>
        <v>0</v>
      </c>
      <c r="C1521" t="s">
        <v>3</v>
      </c>
      <c r="D1521" t="s">
        <v>9</v>
      </c>
      <c r="F1521" t="s">
        <v>21</v>
      </c>
      <c r="G1521" s="38" t="s">
        <v>549</v>
      </c>
      <c r="H1521" t="s">
        <v>51</v>
      </c>
    </row>
    <row r="1522" spans="1:10" ht="15.5" x14ac:dyDescent="0.35">
      <c r="A1522" s="2"/>
      <c r="B1522" s="4"/>
      <c r="H1522" s="2"/>
    </row>
    <row r="1523" spans="1:10" ht="15.5" x14ac:dyDescent="0.35">
      <c r="A1523" s="1" t="s">
        <v>1</v>
      </c>
      <c r="B1523" s="1" t="s">
        <v>465</v>
      </c>
    </row>
    <row r="1524" spans="1:10" x14ac:dyDescent="0.35">
      <c r="A1524" t="s">
        <v>2</v>
      </c>
      <c r="B1524" t="s">
        <v>3</v>
      </c>
    </row>
    <row r="1525" spans="1:10" x14ac:dyDescent="0.35">
      <c r="A1525" t="s">
        <v>4</v>
      </c>
      <c r="B1525">
        <v>1</v>
      </c>
    </row>
    <row r="1526" spans="1:10" ht="15.5" x14ac:dyDescent="0.35">
      <c r="A1526" t="s">
        <v>5</v>
      </c>
      <c r="B1526" s="2" t="s">
        <v>350</v>
      </c>
    </row>
    <row r="1527" spans="1:10" x14ac:dyDescent="0.35">
      <c r="A1527" t="s">
        <v>6</v>
      </c>
      <c r="B1527" t="s">
        <v>7</v>
      </c>
    </row>
    <row r="1528" spans="1:10" x14ac:dyDescent="0.35">
      <c r="A1528" t="s">
        <v>8</v>
      </c>
      <c r="B1528" t="s">
        <v>9</v>
      </c>
    </row>
    <row r="1529" spans="1:10" x14ac:dyDescent="0.35">
      <c r="A1529" t="s">
        <v>10</v>
      </c>
      <c r="B1529" t="s">
        <v>406</v>
      </c>
    </row>
    <row r="1530" spans="1:10" x14ac:dyDescent="0.35">
      <c r="A1530" t="s">
        <v>12</v>
      </c>
      <c r="B1530" t="s">
        <v>375</v>
      </c>
    </row>
    <row r="1531" spans="1:10" ht="15.5" x14ac:dyDescent="0.35">
      <c r="A1531" s="1" t="s">
        <v>13</v>
      </c>
    </row>
    <row r="1532" spans="1:10" x14ac:dyDescent="0.35">
      <c r="A1532" t="s">
        <v>14</v>
      </c>
      <c r="B1532" t="s">
        <v>15</v>
      </c>
      <c r="C1532" t="s">
        <v>2</v>
      </c>
      <c r="D1532" t="s">
        <v>8</v>
      </c>
      <c r="E1532" t="s">
        <v>16</v>
      </c>
      <c r="F1532" t="s">
        <v>6</v>
      </c>
      <c r="G1532" t="s">
        <v>351</v>
      </c>
      <c r="H1532" t="s">
        <v>352</v>
      </c>
      <c r="I1532" t="s">
        <v>12</v>
      </c>
      <c r="J1532" t="s">
        <v>5</v>
      </c>
    </row>
    <row r="1533" spans="1:10" x14ac:dyDescent="0.35">
      <c r="A1533" s="38" t="s">
        <v>465</v>
      </c>
      <c r="B1533" s="38">
        <v>1</v>
      </c>
      <c r="C1533" t="s">
        <v>3</v>
      </c>
      <c r="D1533" s="38" t="s">
        <v>9</v>
      </c>
      <c r="E1533" s="38"/>
      <c r="F1533" s="38" t="s">
        <v>18</v>
      </c>
      <c r="G1533" s="38"/>
      <c r="H1533" s="38"/>
      <c r="I1533" s="38" t="s">
        <v>19</v>
      </c>
      <c r="J1533" s="38" t="s">
        <v>350</v>
      </c>
    </row>
    <row r="1534" spans="1:10" ht="15.5" x14ac:dyDescent="0.35">
      <c r="A1534" s="2" t="s">
        <v>460</v>
      </c>
      <c r="B1534">
        <v>1.00057</v>
      </c>
      <c r="C1534" t="s">
        <v>3</v>
      </c>
      <c r="D1534" t="s">
        <v>9</v>
      </c>
      <c r="F1534" s="38" t="s">
        <v>21</v>
      </c>
      <c r="G1534" t="s">
        <v>19</v>
      </c>
      <c r="I1534" s="38"/>
      <c r="J1534" s="2" t="s">
        <v>461</v>
      </c>
    </row>
    <row r="1535" spans="1:10" x14ac:dyDescent="0.35">
      <c r="A1535" s="38" t="s">
        <v>30</v>
      </c>
      <c r="B1535" s="38">
        <v>6.7000000000000002E-3</v>
      </c>
      <c r="C1535" t="s">
        <v>3</v>
      </c>
      <c r="D1535" s="38" t="s">
        <v>31</v>
      </c>
      <c r="E1535" s="38"/>
      <c r="F1535" s="38" t="s">
        <v>21</v>
      </c>
      <c r="G1535" s="38"/>
      <c r="H1535" s="38"/>
      <c r="I1535" s="38"/>
      <c r="J1535" s="38" t="s">
        <v>32</v>
      </c>
    </row>
    <row r="1536" spans="1:10" x14ac:dyDescent="0.35">
      <c r="A1536" s="38" t="s">
        <v>353</v>
      </c>
      <c r="B1536" s="38">
        <v>-1.6799999999999999E-4</v>
      </c>
      <c r="C1536" s="38" t="s">
        <v>33</v>
      </c>
      <c r="D1536" s="38" t="s">
        <v>9</v>
      </c>
      <c r="E1536" s="38"/>
      <c r="F1536" s="38" t="s">
        <v>21</v>
      </c>
      <c r="G1536" s="38"/>
      <c r="H1536" s="38"/>
      <c r="I1536" s="38"/>
      <c r="J1536" s="38" t="s">
        <v>354</v>
      </c>
    </row>
    <row r="1537" spans="1:10" x14ac:dyDescent="0.35">
      <c r="A1537" s="38" t="s">
        <v>355</v>
      </c>
      <c r="B1537" s="39">
        <v>5.8399999999999999E-4</v>
      </c>
      <c r="C1537" s="38" t="s">
        <v>33</v>
      </c>
      <c r="D1537" s="38" t="s">
        <v>20</v>
      </c>
      <c r="E1537" s="38"/>
      <c r="F1537" s="38" t="s">
        <v>21</v>
      </c>
      <c r="G1537" s="38"/>
      <c r="H1537" s="38"/>
      <c r="I1537" s="38"/>
      <c r="J1537" s="38" t="s">
        <v>356</v>
      </c>
    </row>
    <row r="1538" spans="1:10" x14ac:dyDescent="0.35">
      <c r="A1538" s="38" t="s">
        <v>357</v>
      </c>
      <c r="B1538" s="39">
        <v>2.5999999999999998E-10</v>
      </c>
      <c r="C1538" s="38" t="s">
        <v>33</v>
      </c>
      <c r="D1538" s="38" t="s">
        <v>8</v>
      </c>
      <c r="E1538" s="38"/>
      <c r="F1538" s="38" t="s">
        <v>21</v>
      </c>
      <c r="G1538" s="38"/>
      <c r="H1538" s="38"/>
      <c r="I1538" s="38"/>
      <c r="J1538" s="38" t="s">
        <v>358</v>
      </c>
    </row>
    <row r="1539" spans="1:10" x14ac:dyDescent="0.35">
      <c r="A1539" s="38" t="s">
        <v>359</v>
      </c>
      <c r="B1539" s="39">
        <v>-6.2700000000000001E-6</v>
      </c>
      <c r="C1539" s="38" t="s">
        <v>33</v>
      </c>
      <c r="D1539" s="38" t="s">
        <v>9</v>
      </c>
      <c r="E1539" s="38"/>
      <c r="F1539" s="38" t="s">
        <v>21</v>
      </c>
      <c r="G1539" s="38"/>
      <c r="H1539" s="38"/>
      <c r="I1539" s="38"/>
      <c r="J1539" s="38" t="s">
        <v>360</v>
      </c>
    </row>
    <row r="1540" spans="1:10" x14ac:dyDescent="0.35">
      <c r="A1540" s="38" t="s">
        <v>361</v>
      </c>
      <c r="B1540" s="39">
        <v>-7.4999999999999993E-5</v>
      </c>
      <c r="C1540" s="38" t="s">
        <v>33</v>
      </c>
      <c r="D1540" s="38" t="s">
        <v>131</v>
      </c>
      <c r="E1540" s="38"/>
      <c r="F1540" s="38" t="s">
        <v>21</v>
      </c>
      <c r="G1540" s="38"/>
      <c r="H1540" s="38"/>
      <c r="I1540" s="38"/>
      <c r="J1540" s="38" t="s">
        <v>362</v>
      </c>
    </row>
    <row r="1541" spans="1:10" x14ac:dyDescent="0.35">
      <c r="A1541" s="38" t="s">
        <v>363</v>
      </c>
      <c r="B1541" s="39">
        <v>6.8900000000000005E-4</v>
      </c>
      <c r="C1541" s="38" t="s">
        <v>33</v>
      </c>
      <c r="D1541" s="38" t="s">
        <v>9</v>
      </c>
      <c r="E1541" s="38"/>
      <c r="F1541" s="38" t="s">
        <v>21</v>
      </c>
      <c r="G1541" s="38"/>
      <c r="H1541" s="38"/>
      <c r="I1541" s="38"/>
      <c r="J1541" s="38" t="s">
        <v>364</v>
      </c>
    </row>
    <row r="1542" spans="1:10" x14ac:dyDescent="0.35">
      <c r="A1542" s="38" t="s">
        <v>108</v>
      </c>
      <c r="B1542" s="38">
        <v>3.3599999999999998E-2</v>
      </c>
      <c r="C1542" s="38" t="s">
        <v>33</v>
      </c>
      <c r="D1542" s="38" t="s">
        <v>45</v>
      </c>
      <c r="E1542" s="38"/>
      <c r="F1542" s="38" t="s">
        <v>21</v>
      </c>
      <c r="G1542" s="38"/>
      <c r="H1542" s="38"/>
      <c r="I1542" s="38"/>
      <c r="J1542" s="38" t="s">
        <v>111</v>
      </c>
    </row>
    <row r="1543" spans="1:10" x14ac:dyDescent="0.35">
      <c r="A1543" s="38" t="s">
        <v>365</v>
      </c>
      <c r="B1543" s="38">
        <v>3.2599999999999997E-2</v>
      </c>
      <c r="C1543" s="38" t="s">
        <v>33</v>
      </c>
      <c r="D1543" s="38" t="s">
        <v>45</v>
      </c>
      <c r="E1543" s="38"/>
      <c r="F1543" s="38" t="s">
        <v>21</v>
      </c>
      <c r="G1543" s="38"/>
      <c r="H1543" s="38"/>
      <c r="I1543" s="38"/>
      <c r="J1543" s="38" t="s">
        <v>366</v>
      </c>
    </row>
    <row r="1544" spans="1:10" x14ac:dyDescent="0.35">
      <c r="A1544" s="38" t="s">
        <v>367</v>
      </c>
      <c r="B1544" s="39">
        <v>-6.8899999999999999E-7</v>
      </c>
      <c r="C1544" s="38" t="s">
        <v>33</v>
      </c>
      <c r="D1544" s="38" t="s">
        <v>131</v>
      </c>
      <c r="E1544" s="38"/>
      <c r="F1544" s="38" t="s">
        <v>21</v>
      </c>
      <c r="G1544" s="38"/>
      <c r="H1544" s="38"/>
      <c r="I1544" s="38"/>
      <c r="J1544" s="38" t="s">
        <v>368</v>
      </c>
    </row>
    <row r="1546" spans="1:10" ht="15.5" x14ac:dyDescent="0.35">
      <c r="A1546" s="1" t="s">
        <v>1</v>
      </c>
      <c r="B1546" s="1" t="s">
        <v>466</v>
      </c>
    </row>
    <row r="1547" spans="1:10" x14ac:dyDescent="0.35">
      <c r="A1547" t="s">
        <v>2</v>
      </c>
      <c r="B1547" t="s">
        <v>3</v>
      </c>
    </row>
    <row r="1548" spans="1:10" x14ac:dyDescent="0.35">
      <c r="A1548" t="s">
        <v>4</v>
      </c>
      <c r="B1548">
        <v>1</v>
      </c>
    </row>
    <row r="1549" spans="1:10" ht="15.5" x14ac:dyDescent="0.35">
      <c r="A1549" t="s">
        <v>5</v>
      </c>
      <c r="B1549" s="2" t="s">
        <v>350</v>
      </c>
    </row>
    <row r="1550" spans="1:10" x14ac:dyDescent="0.35">
      <c r="A1550" t="s">
        <v>6</v>
      </c>
      <c r="B1550" t="s">
        <v>7</v>
      </c>
    </row>
    <row r="1551" spans="1:10" x14ac:dyDescent="0.35">
      <c r="A1551" t="s">
        <v>8</v>
      </c>
      <c r="B1551" t="s">
        <v>9</v>
      </c>
    </row>
    <row r="1552" spans="1:10" x14ac:dyDescent="0.35">
      <c r="A1552" t="s">
        <v>10</v>
      </c>
      <c r="B1552" t="s">
        <v>406</v>
      </c>
    </row>
    <row r="1553" spans="1:10" x14ac:dyDescent="0.35">
      <c r="A1553" t="s">
        <v>12</v>
      </c>
      <c r="B1553" t="s">
        <v>374</v>
      </c>
    </row>
    <row r="1554" spans="1:10" ht="15.5" x14ac:dyDescent="0.35">
      <c r="A1554" s="1" t="s">
        <v>13</v>
      </c>
    </row>
    <row r="1555" spans="1:10" x14ac:dyDescent="0.35">
      <c r="A1555" t="s">
        <v>14</v>
      </c>
      <c r="B1555" t="s">
        <v>15</v>
      </c>
      <c r="C1555" t="s">
        <v>2</v>
      </c>
      <c r="D1555" t="s">
        <v>8</v>
      </c>
      <c r="E1555" t="s">
        <v>16</v>
      </c>
      <c r="F1555" t="s">
        <v>6</v>
      </c>
      <c r="G1555" t="s">
        <v>351</v>
      </c>
      <c r="H1555" t="s">
        <v>352</v>
      </c>
      <c r="I1555" t="s">
        <v>12</v>
      </c>
      <c r="J1555" t="s">
        <v>5</v>
      </c>
    </row>
    <row r="1556" spans="1:10" x14ac:dyDescent="0.35">
      <c r="A1556" s="38" t="s">
        <v>466</v>
      </c>
      <c r="B1556" s="38">
        <v>1</v>
      </c>
      <c r="C1556" t="s">
        <v>3</v>
      </c>
      <c r="D1556" s="38" t="s">
        <v>9</v>
      </c>
      <c r="E1556" s="38"/>
      <c r="F1556" s="38" t="s">
        <v>18</v>
      </c>
      <c r="G1556" s="38"/>
      <c r="H1556" s="38"/>
      <c r="I1556" s="38" t="s">
        <v>19</v>
      </c>
      <c r="J1556" s="38" t="s">
        <v>350</v>
      </c>
    </row>
    <row r="1557" spans="1:10" ht="15.5" x14ac:dyDescent="0.35">
      <c r="A1557" s="2" t="s">
        <v>464</v>
      </c>
      <c r="B1557">
        <v>1.00057</v>
      </c>
      <c r="C1557" t="s">
        <v>3</v>
      </c>
      <c r="D1557" t="s">
        <v>9</v>
      </c>
      <c r="F1557" s="38" t="s">
        <v>21</v>
      </c>
      <c r="G1557" t="s">
        <v>19</v>
      </c>
      <c r="I1557" s="38"/>
      <c r="J1557" s="2" t="s">
        <v>461</v>
      </c>
    </row>
    <row r="1558" spans="1:10" x14ac:dyDescent="0.35">
      <c r="A1558" s="38" t="s">
        <v>30</v>
      </c>
      <c r="B1558" s="38">
        <v>6.7000000000000002E-3</v>
      </c>
      <c r="C1558" t="s">
        <v>3</v>
      </c>
      <c r="D1558" s="38" t="s">
        <v>31</v>
      </c>
      <c r="E1558" s="38"/>
      <c r="F1558" s="38" t="s">
        <v>21</v>
      </c>
      <c r="G1558" s="38"/>
      <c r="H1558" s="38"/>
      <c r="I1558" s="38"/>
      <c r="J1558" s="38" t="s">
        <v>32</v>
      </c>
    </row>
    <row r="1559" spans="1:10" x14ac:dyDescent="0.35">
      <c r="A1559" s="38" t="s">
        <v>353</v>
      </c>
      <c r="B1559" s="38">
        <v>-1.6799999999999999E-4</v>
      </c>
      <c r="C1559" s="38" t="s">
        <v>33</v>
      </c>
      <c r="D1559" s="38" t="s">
        <v>9</v>
      </c>
      <c r="E1559" s="38"/>
      <c r="F1559" s="38" t="s">
        <v>21</v>
      </c>
      <c r="G1559" s="38"/>
      <c r="H1559" s="38"/>
      <c r="I1559" s="38"/>
      <c r="J1559" s="38" t="s">
        <v>354</v>
      </c>
    </row>
    <row r="1560" spans="1:10" x14ac:dyDescent="0.35">
      <c r="A1560" s="38" t="s">
        <v>355</v>
      </c>
      <c r="B1560" s="39">
        <v>5.8399999999999999E-4</v>
      </c>
      <c r="C1560" s="38" t="s">
        <v>33</v>
      </c>
      <c r="D1560" s="38" t="s">
        <v>20</v>
      </c>
      <c r="E1560" s="38"/>
      <c r="F1560" s="38" t="s">
        <v>21</v>
      </c>
      <c r="G1560" s="38"/>
      <c r="H1560" s="38"/>
      <c r="I1560" s="38"/>
      <c r="J1560" s="38" t="s">
        <v>356</v>
      </c>
    </row>
    <row r="1561" spans="1:10" x14ac:dyDescent="0.35">
      <c r="A1561" s="38" t="s">
        <v>357</v>
      </c>
      <c r="B1561" s="39">
        <v>2.5999999999999998E-10</v>
      </c>
      <c r="C1561" s="38" t="s">
        <v>33</v>
      </c>
      <c r="D1561" s="38" t="s">
        <v>8</v>
      </c>
      <c r="E1561" s="38"/>
      <c r="F1561" s="38" t="s">
        <v>21</v>
      </c>
      <c r="G1561" s="38"/>
      <c r="H1561" s="38"/>
      <c r="I1561" s="38"/>
      <c r="J1561" s="38" t="s">
        <v>358</v>
      </c>
    </row>
    <row r="1562" spans="1:10" x14ac:dyDescent="0.35">
      <c r="A1562" s="38" t="s">
        <v>359</v>
      </c>
      <c r="B1562" s="39">
        <v>-6.2700000000000001E-6</v>
      </c>
      <c r="C1562" s="38" t="s">
        <v>33</v>
      </c>
      <c r="D1562" s="38" t="s">
        <v>9</v>
      </c>
      <c r="E1562" s="38"/>
      <c r="F1562" s="38" t="s">
        <v>21</v>
      </c>
      <c r="G1562" s="38"/>
      <c r="H1562" s="38"/>
      <c r="I1562" s="38"/>
      <c r="J1562" s="38" t="s">
        <v>360</v>
      </c>
    </row>
    <row r="1563" spans="1:10" x14ac:dyDescent="0.35">
      <c r="A1563" s="38" t="s">
        <v>361</v>
      </c>
      <c r="B1563" s="39">
        <v>-7.4999999999999993E-5</v>
      </c>
      <c r="C1563" s="38" t="s">
        <v>33</v>
      </c>
      <c r="D1563" s="38" t="s">
        <v>131</v>
      </c>
      <c r="E1563" s="38"/>
      <c r="F1563" s="38" t="s">
        <v>21</v>
      </c>
      <c r="G1563" s="38"/>
      <c r="H1563" s="38"/>
      <c r="I1563" s="38"/>
      <c r="J1563" s="38" t="s">
        <v>362</v>
      </c>
    </row>
    <row r="1564" spans="1:10" x14ac:dyDescent="0.35">
      <c r="A1564" s="38" t="s">
        <v>363</v>
      </c>
      <c r="B1564" s="39">
        <v>6.8900000000000005E-4</v>
      </c>
      <c r="C1564" s="38" t="s">
        <v>33</v>
      </c>
      <c r="D1564" s="38" t="s">
        <v>9</v>
      </c>
      <c r="E1564" s="38"/>
      <c r="F1564" s="38" t="s">
        <v>21</v>
      </c>
      <c r="G1564" s="38"/>
      <c r="H1564" s="38"/>
      <c r="I1564" s="38"/>
      <c r="J1564" s="38" t="s">
        <v>364</v>
      </c>
    </row>
    <row r="1565" spans="1:10" x14ac:dyDescent="0.35">
      <c r="A1565" s="38" t="s">
        <v>108</v>
      </c>
      <c r="B1565" s="38">
        <v>3.3599999999999998E-2</v>
      </c>
      <c r="C1565" s="38" t="s">
        <v>33</v>
      </c>
      <c r="D1565" s="38" t="s">
        <v>45</v>
      </c>
      <c r="E1565" s="38"/>
      <c r="F1565" s="38" t="s">
        <v>21</v>
      </c>
      <c r="G1565" s="38"/>
      <c r="H1565" s="38"/>
      <c r="I1565" s="38"/>
      <c r="J1565" s="38" t="s">
        <v>111</v>
      </c>
    </row>
    <row r="1566" spans="1:10" x14ac:dyDescent="0.35">
      <c r="A1566" s="38" t="s">
        <v>365</v>
      </c>
      <c r="B1566" s="38">
        <v>3.2599999999999997E-2</v>
      </c>
      <c r="C1566" s="38" t="s">
        <v>33</v>
      </c>
      <c r="D1566" s="38" t="s">
        <v>45</v>
      </c>
      <c r="E1566" s="38"/>
      <c r="F1566" s="38" t="s">
        <v>21</v>
      </c>
      <c r="G1566" s="38"/>
      <c r="H1566" s="38"/>
      <c r="I1566" s="38"/>
      <c r="J1566" s="38" t="s">
        <v>366</v>
      </c>
    </row>
    <row r="1567" spans="1:10" x14ac:dyDescent="0.35">
      <c r="A1567" s="38" t="s">
        <v>367</v>
      </c>
      <c r="B1567" s="39">
        <v>-6.8899999999999999E-7</v>
      </c>
      <c r="C1567" s="38" t="s">
        <v>33</v>
      </c>
      <c r="D1567" s="38" t="s">
        <v>131</v>
      </c>
      <c r="E1567" s="38"/>
      <c r="F1567" s="38" t="s">
        <v>21</v>
      </c>
      <c r="G1567" s="38"/>
      <c r="H1567" s="38"/>
      <c r="I1567" s="38"/>
      <c r="J1567" s="38" t="s">
        <v>368</v>
      </c>
    </row>
    <row r="1568" spans="1:10" x14ac:dyDescent="0.35">
      <c r="A1568" s="38"/>
      <c r="B1568" s="39"/>
      <c r="C1568" s="38"/>
      <c r="D1568" s="38"/>
      <c r="E1568" s="38"/>
      <c r="F1568" s="38"/>
      <c r="G1568" s="38"/>
      <c r="H1568" s="38"/>
      <c r="I1568" s="38"/>
      <c r="J1568" s="38"/>
    </row>
    <row r="1569" spans="1:8" ht="15.5" x14ac:dyDescent="0.35">
      <c r="A1569" s="1" t="s">
        <v>1</v>
      </c>
      <c r="B1569" s="1" t="s">
        <v>97</v>
      </c>
    </row>
    <row r="1570" spans="1:8" x14ac:dyDescent="0.35">
      <c r="A1570" t="s">
        <v>2</v>
      </c>
      <c r="B1570" t="s">
        <v>3</v>
      </c>
    </row>
    <row r="1571" spans="1:8" x14ac:dyDescent="0.35">
      <c r="A1571" t="s">
        <v>4</v>
      </c>
      <c r="B1571">
        <v>1</v>
      </c>
    </row>
    <row r="1572" spans="1:8" ht="15.5" x14ac:dyDescent="0.35">
      <c r="A1572" t="s">
        <v>5</v>
      </c>
      <c r="B1572" s="2" t="s">
        <v>98</v>
      </c>
    </row>
    <row r="1573" spans="1:8" x14ac:dyDescent="0.35">
      <c r="A1573" t="s">
        <v>6</v>
      </c>
      <c r="B1573" t="s">
        <v>7</v>
      </c>
    </row>
    <row r="1574" spans="1:8" x14ac:dyDescent="0.35">
      <c r="A1574" t="s">
        <v>8</v>
      </c>
      <c r="B1574" t="s">
        <v>9</v>
      </c>
    </row>
    <row r="1575" spans="1:8" x14ac:dyDescent="0.35">
      <c r="A1575" t="s">
        <v>10</v>
      </c>
      <c r="B1575" t="s">
        <v>11</v>
      </c>
    </row>
    <row r="1576" spans="1:8" x14ac:dyDescent="0.35">
      <c r="A1576" t="s">
        <v>28</v>
      </c>
      <c r="B1576" t="s">
        <v>234</v>
      </c>
    </row>
    <row r="1577" spans="1:8" ht="15.5" x14ac:dyDescent="0.35">
      <c r="A1577" s="1" t="s">
        <v>13</v>
      </c>
    </row>
    <row r="1578" spans="1:8" x14ac:dyDescent="0.35">
      <c r="A1578" t="s">
        <v>14</v>
      </c>
      <c r="B1578" t="s">
        <v>15</v>
      </c>
      <c r="C1578" t="s">
        <v>2</v>
      </c>
      <c r="D1578" t="s">
        <v>8</v>
      </c>
      <c r="E1578" t="s">
        <v>16</v>
      </c>
      <c r="F1578" t="s">
        <v>6</v>
      </c>
      <c r="G1578" t="s">
        <v>12</v>
      </c>
      <c r="H1578" t="s">
        <v>5</v>
      </c>
    </row>
    <row r="1579" spans="1:8" ht="15.5" x14ac:dyDescent="0.35">
      <c r="A1579" s="2" t="s">
        <v>97</v>
      </c>
      <c r="B1579">
        <v>1</v>
      </c>
      <c r="C1579" t="s">
        <v>3</v>
      </c>
      <c r="D1579" t="s">
        <v>9</v>
      </c>
      <c r="F1579" t="s">
        <v>18</v>
      </c>
      <c r="G1579" t="s">
        <v>19</v>
      </c>
      <c r="H1579" s="2" t="s">
        <v>98</v>
      </c>
    </row>
    <row r="1580" spans="1:8" x14ac:dyDescent="0.35">
      <c r="A1580" t="s">
        <v>23</v>
      </c>
      <c r="B1580" s="4">
        <f>24068*Allocation!$B$3/1000</f>
        <v>2.5393085401199996E-2</v>
      </c>
      <c r="C1580" t="s">
        <v>27</v>
      </c>
      <c r="D1580" t="s">
        <v>20</v>
      </c>
      <c r="F1580" t="s">
        <v>21</v>
      </c>
      <c r="G1580" t="s">
        <v>99</v>
      </c>
      <c r="H1580" t="s">
        <v>24</v>
      </c>
    </row>
    <row r="1581" spans="1:8" x14ac:dyDescent="0.35">
      <c r="A1581" t="s">
        <v>82</v>
      </c>
      <c r="B1581" s="4">
        <f>7729*Allocation!$B$3/1000</f>
        <v>8.1545270510999992E-3</v>
      </c>
      <c r="C1581" t="s">
        <v>27</v>
      </c>
      <c r="D1581" t="s">
        <v>20</v>
      </c>
      <c r="F1581" t="s">
        <v>21</v>
      </c>
      <c r="G1581" t="s">
        <v>100</v>
      </c>
      <c r="H1581" t="s">
        <v>82</v>
      </c>
    </row>
    <row r="1582" spans="1:8" x14ac:dyDescent="0.35">
      <c r="A1582" t="s">
        <v>85</v>
      </c>
      <c r="B1582" s="4">
        <f>(13511+11814)*Allocation!$B$3/1000</f>
        <v>2.6719290667499996E-2</v>
      </c>
      <c r="C1582" t="s">
        <v>27</v>
      </c>
      <c r="D1582" t="s">
        <v>20</v>
      </c>
      <c r="F1582" t="s">
        <v>21</v>
      </c>
      <c r="G1582" t="s">
        <v>101</v>
      </c>
      <c r="H1582" t="s">
        <v>86</v>
      </c>
    </row>
    <row r="1583" spans="1:8" x14ac:dyDescent="0.35">
      <c r="A1583" t="s">
        <v>30</v>
      </c>
      <c r="B1583" s="4">
        <f>5656*Allocation!$B$3/1000/3.6</f>
        <v>1.6576100473333331E-3</v>
      </c>
      <c r="C1583" t="s">
        <v>3</v>
      </c>
      <c r="D1583" t="s">
        <v>31</v>
      </c>
      <c r="F1583" t="s">
        <v>21</v>
      </c>
      <c r="H1583" t="s">
        <v>32</v>
      </c>
    </row>
    <row r="1584" spans="1:8" x14ac:dyDescent="0.35">
      <c r="A1584" t="s">
        <v>43</v>
      </c>
      <c r="B1584" s="4">
        <f>20*Allocation!$B$7/1000</f>
        <v>3.2199999999999999E-2</v>
      </c>
      <c r="C1584" t="s">
        <v>33</v>
      </c>
      <c r="D1584" t="s">
        <v>45</v>
      </c>
      <c r="F1584" t="s">
        <v>21</v>
      </c>
      <c r="G1584" t="s">
        <v>91</v>
      </c>
      <c r="H1584" t="s">
        <v>44</v>
      </c>
    </row>
    <row r="1585" spans="1:8" x14ac:dyDescent="0.35">
      <c r="A1585" t="s">
        <v>46</v>
      </c>
      <c r="B1585" s="4">
        <f>1.521/1000</f>
        <v>1.521E-3</v>
      </c>
      <c r="C1585" t="s">
        <v>3</v>
      </c>
      <c r="D1585" t="s">
        <v>9</v>
      </c>
      <c r="F1585" t="s">
        <v>21</v>
      </c>
      <c r="H1585" t="s">
        <v>47</v>
      </c>
    </row>
    <row r="1586" spans="1:8" x14ac:dyDescent="0.35">
      <c r="A1586" t="s">
        <v>48</v>
      </c>
      <c r="B1586" s="4">
        <f>0.608/1000</f>
        <v>6.0800000000000003E-4</v>
      </c>
      <c r="C1586" t="s">
        <v>3</v>
      </c>
      <c r="D1586" t="s">
        <v>9</v>
      </c>
      <c r="F1586" t="s">
        <v>21</v>
      </c>
      <c r="H1586" t="s">
        <v>49</v>
      </c>
    </row>
    <row r="1587" spans="1:8" x14ac:dyDescent="0.35">
      <c r="A1587" t="s">
        <v>50</v>
      </c>
      <c r="B1587" s="4">
        <f>0.8/1000</f>
        <v>8.0000000000000004E-4</v>
      </c>
      <c r="C1587" t="s">
        <v>3</v>
      </c>
      <c r="D1587" t="s">
        <v>9</v>
      </c>
      <c r="F1587" t="s">
        <v>21</v>
      </c>
      <c r="H1587" t="s">
        <v>51</v>
      </c>
    </row>
    <row r="1588" spans="1:8" x14ac:dyDescent="0.35">
      <c r="A1588" s="8" t="s">
        <v>52</v>
      </c>
      <c r="B1588" s="4">
        <f>13.342/1000</f>
        <v>1.3342E-2</v>
      </c>
      <c r="C1588" t="s">
        <v>27</v>
      </c>
      <c r="D1588" t="s">
        <v>9</v>
      </c>
      <c r="F1588" t="s">
        <v>21</v>
      </c>
      <c r="H1588" s="8" t="s">
        <v>53</v>
      </c>
    </row>
    <row r="1589" spans="1:8" x14ac:dyDescent="0.35">
      <c r="A1589" t="s">
        <v>54</v>
      </c>
      <c r="B1589" s="4">
        <f>23.96/1000/1000</f>
        <v>2.3960000000000001E-5</v>
      </c>
      <c r="C1589" t="s">
        <v>27</v>
      </c>
      <c r="D1589" t="s">
        <v>9</v>
      </c>
      <c r="F1589" t="s">
        <v>21</v>
      </c>
      <c r="G1589" t="s">
        <v>55</v>
      </c>
      <c r="H1589" t="s">
        <v>57</v>
      </c>
    </row>
    <row r="1590" spans="1:8" x14ac:dyDescent="0.35">
      <c r="A1590" t="s">
        <v>191</v>
      </c>
      <c r="B1590" s="7">
        <v>3.6830900643231697E-5</v>
      </c>
      <c r="C1590" t="s">
        <v>27</v>
      </c>
      <c r="D1590" t="s">
        <v>129</v>
      </c>
      <c r="F1590" t="s">
        <v>21</v>
      </c>
      <c r="G1590" t="s">
        <v>190</v>
      </c>
      <c r="H1590" t="s">
        <v>192</v>
      </c>
    </row>
    <row r="1591" spans="1:8" x14ac:dyDescent="0.35">
      <c r="A1591" t="s">
        <v>193</v>
      </c>
      <c r="B1591">
        <v>1.1049380686770699E-4</v>
      </c>
      <c r="C1591" t="s">
        <v>27</v>
      </c>
      <c r="D1591" t="s">
        <v>129</v>
      </c>
      <c r="F1591" t="s">
        <v>21</v>
      </c>
      <c r="G1591" t="s">
        <v>190</v>
      </c>
      <c r="H1591" t="s">
        <v>194</v>
      </c>
    </row>
    <row r="1592" spans="1:8" x14ac:dyDescent="0.35">
      <c r="A1592" t="s">
        <v>195</v>
      </c>
      <c r="B1592" s="7">
        <v>3.6830900643231697E-5</v>
      </c>
      <c r="C1592" t="s">
        <v>27</v>
      </c>
      <c r="D1592" t="s">
        <v>129</v>
      </c>
      <c r="F1592" t="s">
        <v>21</v>
      </c>
      <c r="G1592" t="s">
        <v>190</v>
      </c>
      <c r="H1592" t="s">
        <v>196</v>
      </c>
    </row>
    <row r="1593" spans="1:8" x14ac:dyDescent="0.35">
      <c r="A1593" t="s">
        <v>130</v>
      </c>
      <c r="B1593" s="4">
        <v>0.252</v>
      </c>
      <c r="C1593" t="s">
        <v>3</v>
      </c>
      <c r="D1593" t="s">
        <v>131</v>
      </c>
      <c r="F1593" t="s">
        <v>21</v>
      </c>
      <c r="G1593" t="s">
        <v>135</v>
      </c>
      <c r="H1593" t="s">
        <v>132</v>
      </c>
    </row>
    <row r="1594" spans="1:8" x14ac:dyDescent="0.35">
      <c r="A1594" t="s">
        <v>197</v>
      </c>
      <c r="B1594">
        <v>1.1048999999999999E-4</v>
      </c>
      <c r="C1594" t="s">
        <v>27</v>
      </c>
      <c r="D1594" t="s">
        <v>129</v>
      </c>
      <c r="F1594" t="s">
        <v>21</v>
      </c>
      <c r="G1594" t="s">
        <v>190</v>
      </c>
      <c r="H1594" t="s">
        <v>198</v>
      </c>
    </row>
    <row r="1595" spans="1:8" x14ac:dyDescent="0.35">
      <c r="A1595" t="s">
        <v>160</v>
      </c>
      <c r="B1595" s="7">
        <v>9.6866907013685906E-6</v>
      </c>
      <c r="D1595" t="s">
        <v>9</v>
      </c>
      <c r="E1595" t="s">
        <v>180</v>
      </c>
      <c r="F1595" t="s">
        <v>38</v>
      </c>
      <c r="G1595" t="s">
        <v>190</v>
      </c>
    </row>
    <row r="1596" spans="1:8" x14ac:dyDescent="0.35">
      <c r="A1596" t="s">
        <v>142</v>
      </c>
      <c r="B1596" s="7">
        <v>-9.8401857757250106E-7</v>
      </c>
      <c r="D1596" t="s">
        <v>9</v>
      </c>
      <c r="E1596" t="s">
        <v>180</v>
      </c>
      <c r="F1596" t="s">
        <v>38</v>
      </c>
      <c r="G1596" t="s">
        <v>190</v>
      </c>
    </row>
    <row r="1597" spans="1:8" x14ac:dyDescent="0.35">
      <c r="A1597" t="s">
        <v>168</v>
      </c>
      <c r="B1597" s="7">
        <v>8.8484627663318299E-7</v>
      </c>
      <c r="D1597" t="s">
        <v>9</v>
      </c>
      <c r="E1597" t="s">
        <v>180</v>
      </c>
      <c r="F1597" t="s">
        <v>38</v>
      </c>
      <c r="G1597" t="s">
        <v>190</v>
      </c>
    </row>
    <row r="1598" spans="1:8" x14ac:dyDescent="0.35">
      <c r="A1598" t="s">
        <v>174</v>
      </c>
      <c r="B1598" s="7">
        <v>1.5966811678364199E-8</v>
      </c>
      <c r="D1598" t="s">
        <v>9</v>
      </c>
      <c r="E1598" t="s">
        <v>180</v>
      </c>
      <c r="F1598" t="s">
        <v>38</v>
      </c>
      <c r="G1598" t="s">
        <v>190</v>
      </c>
    </row>
    <row r="1599" spans="1:8" x14ac:dyDescent="0.35">
      <c r="A1599" t="s">
        <v>183</v>
      </c>
      <c r="B1599" s="7">
        <v>1.07630556194952E-5</v>
      </c>
      <c r="D1599" t="s">
        <v>9</v>
      </c>
      <c r="E1599" t="s">
        <v>181</v>
      </c>
      <c r="F1599" t="s">
        <v>38</v>
      </c>
      <c r="G1599" t="s">
        <v>190</v>
      </c>
    </row>
    <row r="1600" spans="1:8" x14ac:dyDescent="0.35">
      <c r="A1600" t="s">
        <v>161</v>
      </c>
      <c r="B1600" s="7">
        <v>9.03472245050759E-7</v>
      </c>
      <c r="D1600" t="s">
        <v>9</v>
      </c>
      <c r="E1600" t="s">
        <v>180</v>
      </c>
      <c r="F1600" t="s">
        <v>38</v>
      </c>
      <c r="G1600" t="s">
        <v>190</v>
      </c>
    </row>
    <row r="1601" spans="1:7" x14ac:dyDescent="0.35">
      <c r="A1601" t="s">
        <v>182</v>
      </c>
      <c r="B1601">
        <v>1.46657242732071E-3</v>
      </c>
      <c r="D1601" t="s">
        <v>9</v>
      </c>
      <c r="E1601" t="s">
        <v>189</v>
      </c>
      <c r="F1601" t="s">
        <v>38</v>
      </c>
      <c r="G1601" t="s">
        <v>190</v>
      </c>
    </row>
    <row r="1602" spans="1:7" x14ac:dyDescent="0.35">
      <c r="A1602" t="s">
        <v>158</v>
      </c>
      <c r="B1602" s="7">
        <v>-2.17184252532495E-8</v>
      </c>
      <c r="D1602" t="s">
        <v>9</v>
      </c>
      <c r="E1602" t="s">
        <v>180</v>
      </c>
      <c r="F1602" t="s">
        <v>38</v>
      </c>
      <c r="G1602" t="s">
        <v>190</v>
      </c>
    </row>
    <row r="1603" spans="1:7" x14ac:dyDescent="0.35">
      <c r="A1603" t="s">
        <v>136</v>
      </c>
      <c r="B1603">
        <v>2.7599778575834E-3</v>
      </c>
      <c r="D1603" t="s">
        <v>131</v>
      </c>
      <c r="E1603" t="s">
        <v>181</v>
      </c>
      <c r="F1603" t="s">
        <v>38</v>
      </c>
      <c r="G1603" t="s">
        <v>190</v>
      </c>
    </row>
    <row r="1604" spans="1:7" x14ac:dyDescent="0.35">
      <c r="A1604" t="s">
        <v>186</v>
      </c>
      <c r="B1604" s="7">
        <v>1.9959108159754498E-9</v>
      </c>
      <c r="D1604" t="s">
        <v>9</v>
      </c>
      <c r="E1604" t="s">
        <v>180</v>
      </c>
      <c r="F1604" t="s">
        <v>38</v>
      </c>
      <c r="G1604" t="s">
        <v>190</v>
      </c>
    </row>
    <row r="1605" spans="1:7" x14ac:dyDescent="0.35">
      <c r="A1605" t="s">
        <v>40</v>
      </c>
      <c r="B1605" s="7">
        <v>5.1853556439508204E-6</v>
      </c>
      <c r="D1605" t="s">
        <v>9</v>
      </c>
      <c r="E1605" t="s">
        <v>179</v>
      </c>
      <c r="F1605" t="s">
        <v>38</v>
      </c>
      <c r="G1605" t="s">
        <v>190</v>
      </c>
    </row>
    <row r="1606" spans="1:7" x14ac:dyDescent="0.35">
      <c r="A1606" t="s">
        <v>150</v>
      </c>
      <c r="B1606" s="7">
        <v>3.27859780619406E-6</v>
      </c>
      <c r="D1606" t="s">
        <v>9</v>
      </c>
      <c r="E1606" t="s">
        <v>180</v>
      </c>
      <c r="F1606" t="s">
        <v>38</v>
      </c>
      <c r="G1606" t="s">
        <v>190</v>
      </c>
    </row>
    <row r="1607" spans="1:7" x14ac:dyDescent="0.35">
      <c r="A1607" t="s">
        <v>137</v>
      </c>
      <c r="B1607" s="7">
        <v>8.0724401050640405E-5</v>
      </c>
      <c r="D1607" t="s">
        <v>9</v>
      </c>
      <c r="E1607" t="s">
        <v>179</v>
      </c>
      <c r="F1607" t="s">
        <v>38</v>
      </c>
      <c r="G1607" t="s">
        <v>190</v>
      </c>
    </row>
    <row r="1608" spans="1:7" x14ac:dyDescent="0.35">
      <c r="A1608" t="s">
        <v>165</v>
      </c>
      <c r="B1608" s="7">
        <v>2.9099959455172802E-6</v>
      </c>
      <c r="D1608" t="s">
        <v>9</v>
      </c>
      <c r="E1608" t="s">
        <v>180</v>
      </c>
      <c r="F1608" t="s">
        <v>38</v>
      </c>
      <c r="G1608" t="s">
        <v>190</v>
      </c>
    </row>
    <row r="1609" spans="1:7" x14ac:dyDescent="0.35">
      <c r="A1609" t="s">
        <v>169</v>
      </c>
      <c r="B1609" s="7">
        <v>9.5802057193840904E-8</v>
      </c>
      <c r="D1609" t="s">
        <v>9</v>
      </c>
      <c r="E1609" t="s">
        <v>180</v>
      </c>
      <c r="F1609" t="s">
        <v>38</v>
      </c>
      <c r="G1609" t="s">
        <v>190</v>
      </c>
    </row>
    <row r="1610" spans="1:7" x14ac:dyDescent="0.35">
      <c r="A1610" t="s">
        <v>152</v>
      </c>
      <c r="B1610" s="7">
        <v>-1.1393893071195499E-6</v>
      </c>
      <c r="D1610" t="s">
        <v>9</v>
      </c>
      <c r="E1610" t="s">
        <v>180</v>
      </c>
      <c r="F1610" t="s">
        <v>38</v>
      </c>
      <c r="G1610" t="s">
        <v>190</v>
      </c>
    </row>
    <row r="1611" spans="1:7" x14ac:dyDescent="0.35">
      <c r="A1611" t="s">
        <v>178</v>
      </c>
      <c r="B1611" s="7">
        <v>-4.7446953841008502E-7</v>
      </c>
      <c r="D1611" t="s">
        <v>9</v>
      </c>
      <c r="E1611" t="s">
        <v>180</v>
      </c>
      <c r="F1611" t="s">
        <v>38</v>
      </c>
      <c r="G1611" t="s">
        <v>190</v>
      </c>
    </row>
    <row r="1612" spans="1:7" x14ac:dyDescent="0.35">
      <c r="A1612" t="s">
        <v>154</v>
      </c>
      <c r="B1612" s="7">
        <v>2.5015067337276698E-7</v>
      </c>
      <c r="D1612" t="s">
        <v>9</v>
      </c>
      <c r="E1612" t="s">
        <v>180</v>
      </c>
      <c r="F1612" t="s">
        <v>38</v>
      </c>
      <c r="G1612" t="s">
        <v>190</v>
      </c>
    </row>
    <row r="1613" spans="1:7" x14ac:dyDescent="0.35">
      <c r="A1613" t="s">
        <v>118</v>
      </c>
      <c r="B1613">
        <v>0.11871235448605399</v>
      </c>
      <c r="D1613" t="s">
        <v>125</v>
      </c>
      <c r="E1613" t="s">
        <v>124</v>
      </c>
      <c r="F1613" t="s">
        <v>38</v>
      </c>
      <c r="G1613" t="s">
        <v>190</v>
      </c>
    </row>
    <row r="1614" spans="1:7" x14ac:dyDescent="0.35">
      <c r="A1614" t="s">
        <v>136</v>
      </c>
      <c r="B1614">
        <v>1.3306552055476401E-2</v>
      </c>
      <c r="D1614" t="s">
        <v>131</v>
      </c>
      <c r="E1614" t="s">
        <v>39</v>
      </c>
      <c r="F1614" t="s">
        <v>38</v>
      </c>
      <c r="G1614" t="s">
        <v>190</v>
      </c>
    </row>
    <row r="1615" spans="1:7" x14ac:dyDescent="0.35">
      <c r="A1615" t="s">
        <v>120</v>
      </c>
      <c r="B1615">
        <f>0.42*(1-0.73)*(44/12)</f>
        <v>0.4158</v>
      </c>
      <c r="D1615" t="s">
        <v>9</v>
      </c>
      <c r="E1615" t="s">
        <v>121</v>
      </c>
      <c r="F1615" t="s">
        <v>38</v>
      </c>
      <c r="G1615" t="s">
        <v>190</v>
      </c>
    </row>
    <row r="1616" spans="1:7" x14ac:dyDescent="0.35">
      <c r="A1616" t="s">
        <v>136</v>
      </c>
      <c r="B1616">
        <v>1.10399114303107E-2</v>
      </c>
      <c r="D1616" t="s">
        <v>131</v>
      </c>
      <c r="E1616" t="s">
        <v>189</v>
      </c>
      <c r="F1616" t="s">
        <v>38</v>
      </c>
      <c r="G1616" t="s">
        <v>190</v>
      </c>
    </row>
    <row r="1617" spans="1:7" x14ac:dyDescent="0.35">
      <c r="A1617" t="s">
        <v>116</v>
      </c>
      <c r="B1617">
        <v>3.2528372252739599</v>
      </c>
      <c r="D1617" t="s">
        <v>20</v>
      </c>
      <c r="E1617" t="s">
        <v>122</v>
      </c>
      <c r="F1617" t="s">
        <v>38</v>
      </c>
      <c r="G1617" t="s">
        <v>190</v>
      </c>
    </row>
    <row r="1618" spans="1:7" x14ac:dyDescent="0.35">
      <c r="A1618" t="s">
        <v>183</v>
      </c>
      <c r="B1618" s="7">
        <v>8.3098648140061805E-7</v>
      </c>
      <c r="D1618" t="s">
        <v>9</v>
      </c>
      <c r="E1618" t="s">
        <v>189</v>
      </c>
      <c r="F1618" t="s">
        <v>38</v>
      </c>
      <c r="G1618" t="s">
        <v>190</v>
      </c>
    </row>
    <row r="1619" spans="1:7" x14ac:dyDescent="0.35">
      <c r="A1619" t="s">
        <v>187</v>
      </c>
      <c r="B1619">
        <v>0.11871235448605399</v>
      </c>
      <c r="D1619" t="s">
        <v>125</v>
      </c>
      <c r="E1619" t="s">
        <v>124</v>
      </c>
      <c r="F1619" t="s">
        <v>38</v>
      </c>
      <c r="G1619" t="s">
        <v>190</v>
      </c>
    </row>
    <row r="1620" spans="1:7" x14ac:dyDescent="0.35">
      <c r="A1620" t="s">
        <v>163</v>
      </c>
      <c r="B1620" s="7">
        <v>1.4903148982175E-7</v>
      </c>
      <c r="D1620" t="s">
        <v>9</v>
      </c>
      <c r="E1620" t="s">
        <v>180</v>
      </c>
      <c r="F1620" t="s">
        <v>38</v>
      </c>
      <c r="G1620" t="s">
        <v>190</v>
      </c>
    </row>
    <row r="1621" spans="1:7" x14ac:dyDescent="0.35">
      <c r="A1621" t="s">
        <v>188</v>
      </c>
      <c r="B1621">
        <v>6.9244916371715204E-2</v>
      </c>
      <c r="D1621" t="s">
        <v>123</v>
      </c>
      <c r="E1621" t="s">
        <v>124</v>
      </c>
      <c r="F1621" t="s">
        <v>38</v>
      </c>
      <c r="G1621" t="s">
        <v>190</v>
      </c>
    </row>
    <row r="1622" spans="1:7" x14ac:dyDescent="0.35">
      <c r="A1622" t="s">
        <v>159</v>
      </c>
      <c r="B1622" s="7">
        <v>4.3163812091146796E-6</v>
      </c>
      <c r="D1622" t="s">
        <v>9</v>
      </c>
      <c r="E1622" t="s">
        <v>180</v>
      </c>
      <c r="F1622" t="s">
        <v>38</v>
      </c>
      <c r="G1622" t="s">
        <v>190</v>
      </c>
    </row>
    <row r="1623" spans="1:7" x14ac:dyDescent="0.35">
      <c r="A1623" t="s">
        <v>42</v>
      </c>
      <c r="B1623" s="7">
        <v>2.46921697330991E-5</v>
      </c>
      <c r="D1623" t="s">
        <v>9</v>
      </c>
      <c r="E1623" t="s">
        <v>179</v>
      </c>
      <c r="F1623" t="s">
        <v>38</v>
      </c>
      <c r="G1623" t="s">
        <v>190</v>
      </c>
    </row>
    <row r="1625" spans="1:7" ht="15.5" x14ac:dyDescent="0.35">
      <c r="A1625" s="1" t="s">
        <v>1</v>
      </c>
      <c r="B1625" s="1" t="s">
        <v>467</v>
      </c>
    </row>
    <row r="1626" spans="1:7" x14ac:dyDescent="0.35">
      <c r="A1626" t="s">
        <v>2</v>
      </c>
      <c r="B1626" t="s">
        <v>3</v>
      </c>
    </row>
    <row r="1627" spans="1:7" x14ac:dyDescent="0.35">
      <c r="A1627" t="s">
        <v>4</v>
      </c>
      <c r="B1627">
        <v>1</v>
      </c>
    </row>
    <row r="1628" spans="1:7" ht="15.5" x14ac:dyDescent="0.35">
      <c r="A1628" t="s">
        <v>5</v>
      </c>
      <c r="B1628" s="2" t="s">
        <v>468</v>
      </c>
    </row>
    <row r="1629" spans="1:7" x14ac:dyDescent="0.35">
      <c r="A1629" t="s">
        <v>6</v>
      </c>
      <c r="B1629" t="s">
        <v>7</v>
      </c>
    </row>
    <row r="1630" spans="1:7" x14ac:dyDescent="0.35">
      <c r="A1630" t="s">
        <v>8</v>
      </c>
      <c r="B1630" t="s">
        <v>9</v>
      </c>
    </row>
    <row r="1631" spans="1:7" x14ac:dyDescent="0.35">
      <c r="A1631" t="s">
        <v>10</v>
      </c>
      <c r="B1631" t="s">
        <v>11</v>
      </c>
    </row>
    <row r="1632" spans="1:7" x14ac:dyDescent="0.35">
      <c r="A1632" t="s">
        <v>28</v>
      </c>
      <c r="B1632" t="s">
        <v>241</v>
      </c>
    </row>
    <row r="1633" spans="1:8" ht="15.5" x14ac:dyDescent="0.35">
      <c r="A1633" s="1" t="s">
        <v>13</v>
      </c>
    </row>
    <row r="1634" spans="1:8" x14ac:dyDescent="0.35">
      <c r="A1634" t="s">
        <v>14</v>
      </c>
      <c r="B1634" t="s">
        <v>15</v>
      </c>
      <c r="C1634" t="s">
        <v>2</v>
      </c>
      <c r="D1634" t="s">
        <v>8</v>
      </c>
      <c r="E1634" t="s">
        <v>16</v>
      </c>
      <c r="F1634" t="s">
        <v>6</v>
      </c>
      <c r="G1634" t="s">
        <v>12</v>
      </c>
      <c r="H1634" t="s">
        <v>5</v>
      </c>
    </row>
    <row r="1635" spans="1:8" ht="15.5" x14ac:dyDescent="0.35">
      <c r="A1635" s="2" t="s">
        <v>467</v>
      </c>
      <c r="B1635">
        <v>1</v>
      </c>
      <c r="C1635" t="s">
        <v>3</v>
      </c>
      <c r="D1635" t="s">
        <v>9</v>
      </c>
      <c r="F1635" t="s">
        <v>18</v>
      </c>
      <c r="G1635" t="s">
        <v>19</v>
      </c>
      <c r="H1635" s="2" t="s">
        <v>468</v>
      </c>
    </row>
    <row r="1636" spans="1:8" ht="15.5" x14ac:dyDescent="0.35">
      <c r="A1636" s="2" t="s">
        <v>469</v>
      </c>
      <c r="B1636" s="6">
        <f>(1/((Allocation!$F$55*Allocation!$B$4*Allocation!$B$10)/1000))*Allocation!F60</f>
        <v>17.52302602000244</v>
      </c>
      <c r="C1636" t="s">
        <v>3</v>
      </c>
      <c r="D1636" t="s">
        <v>9</v>
      </c>
      <c r="F1636" t="s">
        <v>21</v>
      </c>
      <c r="G1636" t="s">
        <v>19</v>
      </c>
      <c r="H1636" s="2" t="s">
        <v>470</v>
      </c>
    </row>
    <row r="1637" spans="1:8" ht="15.5" x14ac:dyDescent="0.35">
      <c r="A1637" s="2" t="s">
        <v>328</v>
      </c>
      <c r="B1637" s="4">
        <f>(106.73*Allocation!$B$3)/(Allocation!$B$4*Allocation!$B$10)*Allocation!F60</f>
        <v>3.514269029570196E-2</v>
      </c>
      <c r="C1637" t="s">
        <v>33</v>
      </c>
      <c r="D1637" t="s">
        <v>9</v>
      </c>
      <c r="F1637" t="s">
        <v>21</v>
      </c>
      <c r="G1637" t="s">
        <v>474</v>
      </c>
      <c r="H1637" s="2" t="s">
        <v>329</v>
      </c>
    </row>
    <row r="1638" spans="1:8" ht="15.5" x14ac:dyDescent="0.35">
      <c r="A1638" s="2" t="s">
        <v>397</v>
      </c>
      <c r="B1638" s="4">
        <f>((26.58/1000)/(Allocation!$B$4*Allocation!$B$10))*Allocation!F60</f>
        <v>8.2952217830037523E-3</v>
      </c>
      <c r="C1638" t="s">
        <v>27</v>
      </c>
      <c r="D1638" t="s">
        <v>9</v>
      </c>
      <c r="F1638" t="s">
        <v>21</v>
      </c>
      <c r="G1638" t="s">
        <v>399</v>
      </c>
      <c r="H1638" s="2" t="s">
        <v>398</v>
      </c>
    </row>
    <row r="1639" spans="1:8" ht="15.5" x14ac:dyDescent="0.35">
      <c r="A1639" s="2" t="s">
        <v>263</v>
      </c>
      <c r="B1639" s="5">
        <f>((346.23/1000)/(Allocation!$B$4*Allocation!$B$10))*Allocation!F60</f>
        <v>0.108053221893506</v>
      </c>
      <c r="C1639" t="s">
        <v>33</v>
      </c>
      <c r="D1639" t="s">
        <v>9</v>
      </c>
      <c r="F1639" t="s">
        <v>21</v>
      </c>
      <c r="H1639" s="2" t="s">
        <v>264</v>
      </c>
    </row>
    <row r="1640" spans="1:8" ht="15.5" x14ac:dyDescent="0.35">
      <c r="A1640" s="2" t="s">
        <v>265</v>
      </c>
      <c r="B1640" s="5">
        <f>((41.55/1000)/(Allocation!$B$4*Allocation!$B$10))*Allocation!F60</f>
        <v>1.2967135631444917E-2</v>
      </c>
      <c r="C1640" t="s">
        <v>266</v>
      </c>
      <c r="D1640" t="s">
        <v>9</v>
      </c>
      <c r="F1640" t="s">
        <v>21</v>
      </c>
      <c r="H1640" s="2" t="s">
        <v>267</v>
      </c>
    </row>
    <row r="1641" spans="1:8" x14ac:dyDescent="0.35">
      <c r="A1641" t="s">
        <v>201</v>
      </c>
      <c r="B1641" s="6">
        <f>(B1615*B1636)-Allocation!$B$13</f>
        <v>5.3720742191170148</v>
      </c>
      <c r="D1641" t="s">
        <v>9</v>
      </c>
      <c r="E1641" t="s">
        <v>39</v>
      </c>
      <c r="F1641" t="s">
        <v>38</v>
      </c>
      <c r="G1641" t="s">
        <v>441</v>
      </c>
    </row>
    <row r="1642" spans="1:8" x14ac:dyDescent="0.35">
      <c r="A1642" t="s">
        <v>319</v>
      </c>
      <c r="B1642" s="7">
        <f>1/(90000000*20)</f>
        <v>5.5555555555555553E-10</v>
      </c>
      <c r="C1642" t="s">
        <v>27</v>
      </c>
      <c r="D1642" t="s">
        <v>8</v>
      </c>
      <c r="F1642" t="s">
        <v>21</v>
      </c>
      <c r="G1642" t="s">
        <v>321</v>
      </c>
      <c r="H1642" t="s">
        <v>320</v>
      </c>
    </row>
    <row r="1643" spans="1:8" ht="15.5" x14ac:dyDescent="0.35">
      <c r="A1643" s="2"/>
      <c r="H1643" s="2"/>
    </row>
    <row r="1644" spans="1:8" ht="15.5" x14ac:dyDescent="0.35">
      <c r="A1644" s="1" t="s">
        <v>1</v>
      </c>
      <c r="B1644" s="1" t="s">
        <v>471</v>
      </c>
    </row>
    <row r="1645" spans="1:8" x14ac:dyDescent="0.35">
      <c r="A1645" t="s">
        <v>2</v>
      </c>
      <c r="B1645" t="s">
        <v>3</v>
      </c>
    </row>
    <row r="1646" spans="1:8" x14ac:dyDescent="0.35">
      <c r="A1646" t="s">
        <v>4</v>
      </c>
      <c r="B1646">
        <v>1</v>
      </c>
    </row>
    <row r="1647" spans="1:8" ht="15.5" x14ac:dyDescent="0.35">
      <c r="A1647" t="s">
        <v>5</v>
      </c>
      <c r="B1647" s="2" t="s">
        <v>468</v>
      </c>
    </row>
    <row r="1648" spans="1:8" x14ac:dyDescent="0.35">
      <c r="A1648" t="s">
        <v>6</v>
      </c>
      <c r="B1648" t="s">
        <v>7</v>
      </c>
    </row>
    <row r="1649" spans="1:8" x14ac:dyDescent="0.35">
      <c r="A1649" t="s">
        <v>8</v>
      </c>
      <c r="B1649" t="s">
        <v>9</v>
      </c>
    </row>
    <row r="1650" spans="1:8" x14ac:dyDescent="0.35">
      <c r="A1650" t="s">
        <v>10</v>
      </c>
      <c r="B1650" t="s">
        <v>11</v>
      </c>
    </row>
    <row r="1651" spans="1:8" x14ac:dyDescent="0.35">
      <c r="A1651" t="s">
        <v>28</v>
      </c>
      <c r="B1651" t="s">
        <v>386</v>
      </c>
    </row>
    <row r="1652" spans="1:8" ht="15.5" x14ac:dyDescent="0.35">
      <c r="A1652" s="1" t="s">
        <v>13</v>
      </c>
    </row>
    <row r="1653" spans="1:8" x14ac:dyDescent="0.35">
      <c r="A1653" t="s">
        <v>14</v>
      </c>
      <c r="B1653" t="s">
        <v>15</v>
      </c>
      <c r="C1653" t="s">
        <v>2</v>
      </c>
      <c r="D1653" t="s">
        <v>8</v>
      </c>
      <c r="E1653" t="s">
        <v>16</v>
      </c>
      <c r="F1653" t="s">
        <v>6</v>
      </c>
      <c r="G1653" t="s">
        <v>12</v>
      </c>
      <c r="H1653" t="s">
        <v>5</v>
      </c>
    </row>
    <row r="1654" spans="1:8" ht="15.5" x14ac:dyDescent="0.35">
      <c r="A1654" s="2" t="s">
        <v>471</v>
      </c>
      <c r="B1654">
        <v>1</v>
      </c>
      <c r="C1654" t="s">
        <v>3</v>
      </c>
      <c r="D1654" t="s">
        <v>9</v>
      </c>
      <c r="F1654" t="s">
        <v>18</v>
      </c>
      <c r="G1654" t="s">
        <v>19</v>
      </c>
      <c r="H1654" s="2" t="s">
        <v>468</v>
      </c>
    </row>
    <row r="1655" spans="1:8" ht="15.5" x14ac:dyDescent="0.35">
      <c r="A1655" s="2" t="s">
        <v>469</v>
      </c>
      <c r="B1655" s="6">
        <f>(1/((Allocation!$F$55*Allocation!$B$4*Allocation!$B$10)/1000))*Allocation!F61</f>
        <v>16.84617093768475</v>
      </c>
      <c r="C1655" t="s">
        <v>3</v>
      </c>
      <c r="D1655" t="s">
        <v>9</v>
      </c>
      <c r="F1655" t="s">
        <v>21</v>
      </c>
      <c r="G1655" t="s">
        <v>19</v>
      </c>
      <c r="H1655" s="2" t="s">
        <v>470</v>
      </c>
    </row>
    <row r="1656" spans="1:8" ht="15.5" x14ac:dyDescent="0.35">
      <c r="A1656" s="2" t="s">
        <v>328</v>
      </c>
      <c r="B1656" s="4">
        <f>(106.73*Allocation!$B$3)/(Allocation!$B$4*Allocation!$B$10)*Allocation!F61</f>
        <v>3.3785247322906602E-2</v>
      </c>
      <c r="C1656" t="s">
        <v>33</v>
      </c>
      <c r="D1656" t="s">
        <v>9</v>
      </c>
      <c r="F1656" t="s">
        <v>21</v>
      </c>
      <c r="G1656" t="s">
        <v>474</v>
      </c>
      <c r="H1656" s="2" t="s">
        <v>329</v>
      </c>
    </row>
    <row r="1657" spans="1:8" ht="15.5" x14ac:dyDescent="0.35">
      <c r="A1657" s="2" t="s">
        <v>397</v>
      </c>
      <c r="B1657" s="4">
        <f>((26.58/1000)/(Allocation!$B$4*Allocation!$B$10))*Allocation!F61</f>
        <v>7.9748054909563968E-3</v>
      </c>
      <c r="C1657" t="s">
        <v>27</v>
      </c>
      <c r="D1657" t="s">
        <v>9</v>
      </c>
      <c r="F1657" t="s">
        <v>21</v>
      </c>
      <c r="G1657" t="s">
        <v>399</v>
      </c>
      <c r="H1657" s="2" t="s">
        <v>398</v>
      </c>
    </row>
    <row r="1658" spans="1:8" ht="15.5" x14ac:dyDescent="0.35">
      <c r="A1658" s="2" t="s">
        <v>263</v>
      </c>
      <c r="B1658" s="5">
        <f>((346.23/1000)/(Allocation!$B$4*Allocation!$B$10))*Allocation!F61</f>
        <v>0.10387949229246927</v>
      </c>
      <c r="C1658" t="s">
        <v>33</v>
      </c>
      <c r="D1658" t="s">
        <v>9</v>
      </c>
      <c r="F1658" t="s">
        <v>21</v>
      </c>
      <c r="H1658" s="2" t="s">
        <v>264</v>
      </c>
    </row>
    <row r="1659" spans="1:8" ht="15.5" x14ac:dyDescent="0.35">
      <c r="A1659" s="2" t="s">
        <v>265</v>
      </c>
      <c r="B1659" s="5">
        <f>((41.55/1000)/(Allocation!$B$4*Allocation!$B$10))*Allocation!F61</f>
        <v>1.2466259147826871E-2</v>
      </c>
      <c r="C1659" t="s">
        <v>266</v>
      </c>
      <c r="D1659" t="s">
        <v>9</v>
      </c>
      <c r="F1659" t="s">
        <v>21</v>
      </c>
      <c r="H1659" s="2" t="s">
        <v>267</v>
      </c>
    </row>
    <row r="1660" spans="1:8" x14ac:dyDescent="0.35">
      <c r="A1660" t="s">
        <v>201</v>
      </c>
      <c r="B1660" s="6">
        <f>(B1615*B1655)-Allocation!$B$13</f>
        <v>5.0906378758893194</v>
      </c>
      <c r="D1660" t="s">
        <v>9</v>
      </c>
      <c r="E1660" t="s">
        <v>39</v>
      </c>
      <c r="F1660" t="s">
        <v>38</v>
      </c>
      <c r="G1660" t="s">
        <v>441</v>
      </c>
    </row>
    <row r="1661" spans="1:8" x14ac:dyDescent="0.35">
      <c r="A1661" t="s">
        <v>319</v>
      </c>
      <c r="B1661" s="7">
        <f>1/(90000000*20)</f>
        <v>5.5555555555555553E-10</v>
      </c>
      <c r="C1661" t="s">
        <v>27</v>
      </c>
      <c r="D1661" t="s">
        <v>8</v>
      </c>
      <c r="F1661" t="s">
        <v>21</v>
      </c>
      <c r="G1661" t="s">
        <v>321</v>
      </c>
      <c r="H1661" t="s">
        <v>320</v>
      </c>
    </row>
    <row r="1662" spans="1:8" ht="15.5" x14ac:dyDescent="0.35">
      <c r="A1662" s="2"/>
      <c r="B1662" s="4"/>
      <c r="H1662" s="2"/>
    </row>
    <row r="1663" spans="1:8" ht="15.5" x14ac:dyDescent="0.35">
      <c r="A1663" s="1" t="s">
        <v>1</v>
      </c>
      <c r="B1663" s="1" t="s">
        <v>550</v>
      </c>
    </row>
    <row r="1664" spans="1:8" x14ac:dyDescent="0.35">
      <c r="A1664" t="s">
        <v>2</v>
      </c>
      <c r="B1664" t="s">
        <v>3</v>
      </c>
    </row>
    <row r="1665" spans="1:8" x14ac:dyDescent="0.35">
      <c r="A1665" t="s">
        <v>4</v>
      </c>
      <c r="B1665">
        <v>1</v>
      </c>
    </row>
    <row r="1666" spans="1:8" ht="15.5" x14ac:dyDescent="0.35">
      <c r="A1666" t="s">
        <v>5</v>
      </c>
      <c r="B1666" s="2" t="s">
        <v>468</v>
      </c>
    </row>
    <row r="1667" spans="1:8" x14ac:dyDescent="0.35">
      <c r="A1667" t="s">
        <v>6</v>
      </c>
      <c r="B1667" t="s">
        <v>7</v>
      </c>
    </row>
    <row r="1668" spans="1:8" x14ac:dyDescent="0.35">
      <c r="A1668" t="s">
        <v>8</v>
      </c>
      <c r="B1668" t="s">
        <v>9</v>
      </c>
    </row>
    <row r="1669" spans="1:8" x14ac:dyDescent="0.35">
      <c r="A1669" t="s">
        <v>10</v>
      </c>
      <c r="B1669" t="s">
        <v>11</v>
      </c>
    </row>
    <row r="1670" spans="1:8" x14ac:dyDescent="0.35">
      <c r="A1670" t="s">
        <v>28</v>
      </c>
      <c r="B1670" t="s">
        <v>522</v>
      </c>
    </row>
    <row r="1671" spans="1:8" ht="15.5" x14ac:dyDescent="0.35">
      <c r="A1671" s="1" t="s">
        <v>13</v>
      </c>
    </row>
    <row r="1672" spans="1:8" x14ac:dyDescent="0.35">
      <c r="A1672" t="s">
        <v>14</v>
      </c>
      <c r="B1672" t="s">
        <v>15</v>
      </c>
      <c r="C1672" t="s">
        <v>2</v>
      </c>
      <c r="D1672" t="s">
        <v>8</v>
      </c>
      <c r="E1672" t="s">
        <v>16</v>
      </c>
      <c r="F1672" t="s">
        <v>6</v>
      </c>
      <c r="G1672" t="s">
        <v>12</v>
      </c>
      <c r="H1672" t="s">
        <v>5</v>
      </c>
    </row>
    <row r="1673" spans="1:8" ht="15.5" x14ac:dyDescent="0.35">
      <c r="A1673" s="2" t="s">
        <v>550</v>
      </c>
      <c r="B1673">
        <v>1</v>
      </c>
      <c r="C1673" t="s">
        <v>3</v>
      </c>
      <c r="D1673" t="s">
        <v>9</v>
      </c>
      <c r="F1673" t="s">
        <v>18</v>
      </c>
      <c r="G1673" t="s">
        <v>19</v>
      </c>
      <c r="H1673" s="2" t="s">
        <v>468</v>
      </c>
    </row>
    <row r="1674" spans="1:8" ht="15.5" x14ac:dyDescent="0.35">
      <c r="A1674" s="2" t="s">
        <v>469</v>
      </c>
      <c r="B1674" s="6">
        <f>(1/((Allocation!$F$55*Allocation!$B$4*Allocation!$B$10)/1000))</f>
        <v>18.801530064380302</v>
      </c>
      <c r="C1674" t="s">
        <v>3</v>
      </c>
      <c r="D1674" t="s">
        <v>9</v>
      </c>
      <c r="F1674" t="s">
        <v>21</v>
      </c>
      <c r="G1674" t="s">
        <v>19</v>
      </c>
      <c r="H1674" s="2" t="s">
        <v>470</v>
      </c>
    </row>
    <row r="1675" spans="1:8" ht="15.5" x14ac:dyDescent="0.35">
      <c r="A1675" s="2" t="s">
        <v>328</v>
      </c>
      <c r="B1675" s="4">
        <f>(106.73*Allocation!$B$3)/(Allocation!$B$4*Allocation!$B$10)</f>
        <v>3.7706749244315406E-2</v>
      </c>
      <c r="C1675" t="s">
        <v>33</v>
      </c>
      <c r="D1675" t="s">
        <v>9</v>
      </c>
      <c r="F1675" t="s">
        <v>21</v>
      </c>
      <c r="G1675" t="s">
        <v>474</v>
      </c>
      <c r="H1675" s="2" t="s">
        <v>329</v>
      </c>
    </row>
    <row r="1676" spans="1:8" ht="15.5" x14ac:dyDescent="0.35">
      <c r="A1676" s="2" t="s">
        <v>397</v>
      </c>
      <c r="B1676" s="4">
        <f>((26.58/1000)/(Allocation!$B$4*Allocation!$B$10))</f>
        <v>8.9004525568709778E-3</v>
      </c>
      <c r="C1676" t="s">
        <v>27</v>
      </c>
      <c r="D1676" t="s">
        <v>9</v>
      </c>
      <c r="F1676" t="s">
        <v>21</v>
      </c>
      <c r="G1676" t="s">
        <v>399</v>
      </c>
      <c r="H1676" s="2" t="s">
        <v>398</v>
      </c>
    </row>
    <row r="1677" spans="1:8" ht="15.5" x14ac:dyDescent="0.35">
      <c r="A1677" s="2" t="s">
        <v>263</v>
      </c>
      <c r="B1677" s="5">
        <f>((346.23/1000)/(Allocation!$B$4*Allocation!$B$10))</f>
        <v>0.11593693336213089</v>
      </c>
      <c r="C1677" t="s">
        <v>33</v>
      </c>
      <c r="D1677" t="s">
        <v>9</v>
      </c>
      <c r="F1677" t="s">
        <v>21</v>
      </c>
      <c r="H1677" s="2" t="s">
        <v>264</v>
      </c>
    </row>
    <row r="1678" spans="1:8" ht="15.5" x14ac:dyDescent="0.35">
      <c r="A1678" s="2" t="s">
        <v>265</v>
      </c>
      <c r="B1678" s="5">
        <f>((41.55/1000)/(Allocation!$B$4*Allocation!$B$10))</f>
        <v>1.3913235656056776E-2</v>
      </c>
      <c r="C1678" t="s">
        <v>266</v>
      </c>
      <c r="D1678" t="s">
        <v>9</v>
      </c>
      <c r="F1678" t="s">
        <v>21</v>
      </c>
      <c r="H1678" s="2" t="s">
        <v>267</v>
      </c>
    </row>
    <row r="1679" spans="1:8" x14ac:dyDescent="0.35">
      <c r="A1679" t="s">
        <v>201</v>
      </c>
      <c r="B1679" s="6">
        <f>(B1615*B1674)-Allocation!$B$13</f>
        <v>5.90367620076933</v>
      </c>
      <c r="D1679" t="s">
        <v>9</v>
      </c>
      <c r="E1679" t="s">
        <v>39</v>
      </c>
      <c r="F1679" t="s">
        <v>38</v>
      </c>
      <c r="G1679" t="s">
        <v>441</v>
      </c>
    </row>
    <row r="1680" spans="1:8" x14ac:dyDescent="0.35">
      <c r="A1680" t="s">
        <v>319</v>
      </c>
      <c r="B1680" s="7">
        <f>1/(90000000*20)</f>
        <v>5.5555555555555553E-10</v>
      </c>
      <c r="C1680" t="s">
        <v>27</v>
      </c>
      <c r="D1680" t="s">
        <v>8</v>
      </c>
      <c r="F1680" t="s">
        <v>21</v>
      </c>
      <c r="G1680" t="s">
        <v>321</v>
      </c>
      <c r="H1680" t="s">
        <v>320</v>
      </c>
    </row>
    <row r="1681" spans="1:10" x14ac:dyDescent="0.35">
      <c r="A1681" s="38" t="s">
        <v>30</v>
      </c>
      <c r="B1681" s="68">
        <f>Allocation!F54/Allocation!B4*Allocation!B10*-1</f>
        <v>-0.53989696169088508</v>
      </c>
      <c r="C1681" t="s">
        <v>3</v>
      </c>
      <c r="D1681" s="38" t="s">
        <v>31</v>
      </c>
      <c r="E1681" s="38"/>
      <c r="F1681" s="38" t="s">
        <v>21</v>
      </c>
      <c r="G1681" s="38" t="s">
        <v>523</v>
      </c>
      <c r="H1681" s="38" t="s">
        <v>32</v>
      </c>
      <c r="I1681" s="38"/>
    </row>
    <row r="1682" spans="1:10" ht="15.5" x14ac:dyDescent="0.35">
      <c r="A1682" s="2"/>
      <c r="B1682" s="4"/>
      <c r="H1682" s="2"/>
    </row>
    <row r="1683" spans="1:10" ht="15.5" x14ac:dyDescent="0.35">
      <c r="A1683" s="1" t="s">
        <v>1</v>
      </c>
      <c r="B1683" s="1" t="s">
        <v>472</v>
      </c>
    </row>
    <row r="1684" spans="1:10" x14ac:dyDescent="0.35">
      <c r="A1684" t="s">
        <v>2</v>
      </c>
      <c r="B1684" t="s">
        <v>3</v>
      </c>
    </row>
    <row r="1685" spans="1:10" x14ac:dyDescent="0.35">
      <c r="A1685" t="s">
        <v>4</v>
      </c>
      <c r="B1685">
        <v>1</v>
      </c>
    </row>
    <row r="1686" spans="1:10" ht="15.5" x14ac:dyDescent="0.35">
      <c r="A1686" t="s">
        <v>5</v>
      </c>
      <c r="B1686" s="2" t="s">
        <v>350</v>
      </c>
    </row>
    <row r="1687" spans="1:10" x14ac:dyDescent="0.35">
      <c r="A1687" t="s">
        <v>6</v>
      </c>
      <c r="B1687" t="s">
        <v>7</v>
      </c>
    </row>
    <row r="1688" spans="1:10" x14ac:dyDescent="0.35">
      <c r="A1688" t="s">
        <v>8</v>
      </c>
      <c r="B1688" t="s">
        <v>9</v>
      </c>
    </row>
    <row r="1689" spans="1:10" x14ac:dyDescent="0.35">
      <c r="A1689" t="s">
        <v>10</v>
      </c>
      <c r="B1689" t="s">
        <v>406</v>
      </c>
    </row>
    <row r="1690" spans="1:10" x14ac:dyDescent="0.35">
      <c r="A1690" t="s">
        <v>12</v>
      </c>
      <c r="B1690" t="s">
        <v>375</v>
      </c>
    </row>
    <row r="1691" spans="1:10" ht="15.5" x14ac:dyDescent="0.35">
      <c r="A1691" s="1" t="s">
        <v>13</v>
      </c>
    </row>
    <row r="1692" spans="1:10" x14ac:dyDescent="0.35">
      <c r="A1692" t="s">
        <v>14</v>
      </c>
      <c r="B1692" t="s">
        <v>15</v>
      </c>
      <c r="C1692" t="s">
        <v>2</v>
      </c>
      <c r="D1692" t="s">
        <v>8</v>
      </c>
      <c r="E1692" t="s">
        <v>16</v>
      </c>
      <c r="F1692" t="s">
        <v>6</v>
      </c>
      <c r="G1692" t="s">
        <v>351</v>
      </c>
      <c r="H1692" t="s">
        <v>352</v>
      </c>
      <c r="I1692" t="s">
        <v>12</v>
      </c>
      <c r="J1692" t="s">
        <v>5</v>
      </c>
    </row>
    <row r="1693" spans="1:10" x14ac:dyDescent="0.35">
      <c r="A1693" s="38" t="s">
        <v>472</v>
      </c>
      <c r="B1693" s="38">
        <v>1</v>
      </c>
      <c r="C1693" t="s">
        <v>3</v>
      </c>
      <c r="D1693" s="38" t="s">
        <v>9</v>
      </c>
      <c r="E1693" s="38"/>
      <c r="F1693" s="38" t="s">
        <v>18</v>
      </c>
      <c r="G1693" s="38"/>
      <c r="H1693" s="38"/>
      <c r="I1693" s="38" t="s">
        <v>19</v>
      </c>
      <c r="J1693" s="38" t="s">
        <v>350</v>
      </c>
    </row>
    <row r="1694" spans="1:10" ht="15.5" x14ac:dyDescent="0.35">
      <c r="A1694" s="2" t="s">
        <v>467</v>
      </c>
      <c r="B1694">
        <v>1.00057</v>
      </c>
      <c r="C1694" t="s">
        <v>3</v>
      </c>
      <c r="D1694" t="s">
        <v>9</v>
      </c>
      <c r="F1694" s="38" t="s">
        <v>21</v>
      </c>
      <c r="G1694" t="s">
        <v>19</v>
      </c>
      <c r="I1694" s="38"/>
      <c r="J1694" s="2" t="s">
        <v>468</v>
      </c>
    </row>
    <row r="1695" spans="1:10" x14ac:dyDescent="0.35">
      <c r="A1695" s="38" t="s">
        <v>30</v>
      </c>
      <c r="B1695" s="38">
        <v>6.7000000000000002E-3</v>
      </c>
      <c r="C1695" t="s">
        <v>3</v>
      </c>
      <c r="D1695" s="38" t="s">
        <v>31</v>
      </c>
      <c r="E1695" s="38"/>
      <c r="F1695" s="38" t="s">
        <v>21</v>
      </c>
      <c r="G1695" s="38"/>
      <c r="H1695" s="38"/>
      <c r="I1695" s="38"/>
      <c r="J1695" s="38" t="s">
        <v>32</v>
      </c>
    </row>
    <row r="1696" spans="1:10" x14ac:dyDescent="0.35">
      <c r="A1696" s="38" t="s">
        <v>353</v>
      </c>
      <c r="B1696" s="38">
        <v>-1.6799999999999999E-4</v>
      </c>
      <c r="C1696" s="38" t="s">
        <v>33</v>
      </c>
      <c r="D1696" s="38" t="s">
        <v>9</v>
      </c>
      <c r="E1696" s="38"/>
      <c r="F1696" s="38" t="s">
        <v>21</v>
      </c>
      <c r="G1696" s="38"/>
      <c r="H1696" s="38"/>
      <c r="I1696" s="38"/>
      <c r="J1696" s="38" t="s">
        <v>354</v>
      </c>
    </row>
    <row r="1697" spans="1:10" x14ac:dyDescent="0.35">
      <c r="A1697" s="38" t="s">
        <v>355</v>
      </c>
      <c r="B1697" s="39">
        <v>5.8399999999999999E-4</v>
      </c>
      <c r="C1697" s="38" t="s">
        <v>33</v>
      </c>
      <c r="D1697" s="38" t="s">
        <v>20</v>
      </c>
      <c r="E1697" s="38"/>
      <c r="F1697" s="38" t="s">
        <v>21</v>
      </c>
      <c r="G1697" s="38"/>
      <c r="H1697" s="38"/>
      <c r="I1697" s="38"/>
      <c r="J1697" s="38" t="s">
        <v>356</v>
      </c>
    </row>
    <row r="1698" spans="1:10" x14ac:dyDescent="0.35">
      <c r="A1698" s="38" t="s">
        <v>357</v>
      </c>
      <c r="B1698" s="39">
        <v>2.5999999999999998E-10</v>
      </c>
      <c r="C1698" s="38" t="s">
        <v>33</v>
      </c>
      <c r="D1698" s="38" t="s">
        <v>8</v>
      </c>
      <c r="E1698" s="38"/>
      <c r="F1698" s="38" t="s">
        <v>21</v>
      </c>
      <c r="G1698" s="38"/>
      <c r="H1698" s="38"/>
      <c r="I1698" s="38"/>
      <c r="J1698" s="38" t="s">
        <v>358</v>
      </c>
    </row>
    <row r="1699" spans="1:10" x14ac:dyDescent="0.35">
      <c r="A1699" s="38" t="s">
        <v>359</v>
      </c>
      <c r="B1699" s="39">
        <v>-6.2700000000000001E-6</v>
      </c>
      <c r="C1699" s="38" t="s">
        <v>33</v>
      </c>
      <c r="D1699" s="38" t="s">
        <v>9</v>
      </c>
      <c r="E1699" s="38"/>
      <c r="F1699" s="38" t="s">
        <v>21</v>
      </c>
      <c r="G1699" s="38"/>
      <c r="H1699" s="38"/>
      <c r="I1699" s="38"/>
      <c r="J1699" s="38" t="s">
        <v>360</v>
      </c>
    </row>
    <row r="1700" spans="1:10" x14ac:dyDescent="0.35">
      <c r="A1700" s="38" t="s">
        <v>361</v>
      </c>
      <c r="B1700" s="39">
        <v>-7.4999999999999993E-5</v>
      </c>
      <c r="C1700" s="38" t="s">
        <v>33</v>
      </c>
      <c r="D1700" s="38" t="s">
        <v>131</v>
      </c>
      <c r="E1700" s="38"/>
      <c r="F1700" s="38" t="s">
        <v>21</v>
      </c>
      <c r="G1700" s="38"/>
      <c r="H1700" s="38"/>
      <c r="I1700" s="38"/>
      <c r="J1700" s="38" t="s">
        <v>362</v>
      </c>
    </row>
    <row r="1701" spans="1:10" x14ac:dyDescent="0.35">
      <c r="A1701" s="38" t="s">
        <v>363</v>
      </c>
      <c r="B1701" s="39">
        <v>6.8900000000000005E-4</v>
      </c>
      <c r="C1701" s="38" t="s">
        <v>33</v>
      </c>
      <c r="D1701" s="38" t="s">
        <v>9</v>
      </c>
      <c r="E1701" s="38"/>
      <c r="F1701" s="38" t="s">
        <v>21</v>
      </c>
      <c r="G1701" s="38"/>
      <c r="H1701" s="38"/>
      <c r="I1701" s="38"/>
      <c r="J1701" s="38" t="s">
        <v>364</v>
      </c>
    </row>
    <row r="1702" spans="1:10" x14ac:dyDescent="0.35">
      <c r="A1702" s="38" t="s">
        <v>108</v>
      </c>
      <c r="B1702" s="38">
        <v>3.3599999999999998E-2</v>
      </c>
      <c r="C1702" s="38" t="s">
        <v>33</v>
      </c>
      <c r="D1702" s="38" t="s">
        <v>45</v>
      </c>
      <c r="E1702" s="38"/>
      <c r="F1702" s="38" t="s">
        <v>21</v>
      </c>
      <c r="G1702" s="38"/>
      <c r="H1702" s="38"/>
      <c r="I1702" s="38"/>
      <c r="J1702" s="38" t="s">
        <v>111</v>
      </c>
    </row>
    <row r="1703" spans="1:10" x14ac:dyDescent="0.35">
      <c r="A1703" s="38" t="s">
        <v>365</v>
      </c>
      <c r="B1703" s="38">
        <v>3.2599999999999997E-2</v>
      </c>
      <c r="C1703" s="38" t="s">
        <v>33</v>
      </c>
      <c r="D1703" s="38" t="s">
        <v>45</v>
      </c>
      <c r="E1703" s="38"/>
      <c r="F1703" s="38" t="s">
        <v>21</v>
      </c>
      <c r="G1703" s="38"/>
      <c r="H1703" s="38"/>
      <c r="I1703" s="38"/>
      <c r="J1703" s="38" t="s">
        <v>366</v>
      </c>
    </row>
    <row r="1704" spans="1:10" x14ac:dyDescent="0.35">
      <c r="A1704" s="38" t="s">
        <v>367</v>
      </c>
      <c r="B1704" s="39">
        <v>-6.8899999999999999E-7</v>
      </c>
      <c r="C1704" s="38" t="s">
        <v>33</v>
      </c>
      <c r="D1704" s="38" t="s">
        <v>131</v>
      </c>
      <c r="E1704" s="38"/>
      <c r="F1704" s="38" t="s">
        <v>21</v>
      </c>
      <c r="G1704" s="38"/>
      <c r="H1704" s="38"/>
      <c r="I1704" s="38"/>
      <c r="J1704" s="38" t="s">
        <v>368</v>
      </c>
    </row>
    <row r="1706" spans="1:10" ht="15.5" x14ac:dyDescent="0.35">
      <c r="A1706" s="1" t="s">
        <v>1</v>
      </c>
      <c r="B1706" s="1" t="s">
        <v>473</v>
      </c>
    </row>
    <row r="1707" spans="1:10" x14ac:dyDescent="0.35">
      <c r="A1707" t="s">
        <v>2</v>
      </c>
      <c r="B1707" t="s">
        <v>3</v>
      </c>
    </row>
    <row r="1708" spans="1:10" x14ac:dyDescent="0.35">
      <c r="A1708" t="s">
        <v>4</v>
      </c>
      <c r="B1708">
        <v>1</v>
      </c>
    </row>
    <row r="1709" spans="1:10" ht="15.5" x14ac:dyDescent="0.35">
      <c r="A1709" t="s">
        <v>5</v>
      </c>
      <c r="B1709" s="2" t="s">
        <v>350</v>
      </c>
    </row>
    <row r="1710" spans="1:10" x14ac:dyDescent="0.35">
      <c r="A1710" t="s">
        <v>6</v>
      </c>
      <c r="B1710" t="s">
        <v>7</v>
      </c>
    </row>
    <row r="1711" spans="1:10" x14ac:dyDescent="0.35">
      <c r="A1711" t="s">
        <v>8</v>
      </c>
      <c r="B1711" t="s">
        <v>9</v>
      </c>
    </row>
    <row r="1712" spans="1:10" x14ac:dyDescent="0.35">
      <c r="A1712" t="s">
        <v>10</v>
      </c>
      <c r="B1712" t="s">
        <v>406</v>
      </c>
    </row>
    <row r="1713" spans="1:10" x14ac:dyDescent="0.35">
      <c r="A1713" t="s">
        <v>12</v>
      </c>
      <c r="B1713" t="s">
        <v>374</v>
      </c>
    </row>
    <row r="1714" spans="1:10" ht="15.5" x14ac:dyDescent="0.35">
      <c r="A1714" s="1" t="s">
        <v>13</v>
      </c>
    </row>
    <row r="1715" spans="1:10" x14ac:dyDescent="0.35">
      <c r="A1715" t="s">
        <v>14</v>
      </c>
      <c r="B1715" t="s">
        <v>15</v>
      </c>
      <c r="C1715" t="s">
        <v>2</v>
      </c>
      <c r="D1715" t="s">
        <v>8</v>
      </c>
      <c r="E1715" t="s">
        <v>16</v>
      </c>
      <c r="F1715" t="s">
        <v>6</v>
      </c>
      <c r="G1715" t="s">
        <v>351</v>
      </c>
      <c r="H1715" t="s">
        <v>352</v>
      </c>
      <c r="I1715" t="s">
        <v>12</v>
      </c>
      <c r="J1715" t="s">
        <v>5</v>
      </c>
    </row>
    <row r="1716" spans="1:10" x14ac:dyDescent="0.35">
      <c r="A1716" s="38" t="s">
        <v>473</v>
      </c>
      <c r="B1716" s="38">
        <v>1</v>
      </c>
      <c r="C1716" t="s">
        <v>3</v>
      </c>
      <c r="D1716" s="38" t="s">
        <v>9</v>
      </c>
      <c r="E1716" s="38"/>
      <c r="F1716" s="38" t="s">
        <v>18</v>
      </c>
      <c r="G1716" s="38"/>
      <c r="H1716" s="38"/>
      <c r="I1716" s="38" t="s">
        <v>19</v>
      </c>
      <c r="J1716" s="38" t="s">
        <v>350</v>
      </c>
    </row>
    <row r="1717" spans="1:10" ht="15.5" x14ac:dyDescent="0.35">
      <c r="A1717" s="2" t="s">
        <v>471</v>
      </c>
      <c r="B1717">
        <v>1.00057</v>
      </c>
      <c r="C1717" t="s">
        <v>3</v>
      </c>
      <c r="D1717" t="s">
        <v>9</v>
      </c>
      <c r="F1717" s="38" t="s">
        <v>21</v>
      </c>
      <c r="G1717" t="s">
        <v>19</v>
      </c>
      <c r="I1717" s="38"/>
      <c r="J1717" s="2" t="s">
        <v>468</v>
      </c>
    </row>
    <row r="1718" spans="1:10" x14ac:dyDescent="0.35">
      <c r="A1718" s="38" t="s">
        <v>30</v>
      </c>
      <c r="B1718" s="38">
        <v>6.7000000000000002E-3</v>
      </c>
      <c r="C1718" t="s">
        <v>3</v>
      </c>
      <c r="D1718" s="38" t="s">
        <v>31</v>
      </c>
      <c r="E1718" s="38"/>
      <c r="F1718" s="38" t="s">
        <v>21</v>
      </c>
      <c r="G1718" s="38"/>
      <c r="H1718" s="38"/>
      <c r="I1718" s="38"/>
      <c r="J1718" s="38" t="s">
        <v>32</v>
      </c>
    </row>
    <row r="1719" spans="1:10" x14ac:dyDescent="0.35">
      <c r="A1719" s="38" t="s">
        <v>353</v>
      </c>
      <c r="B1719" s="38">
        <v>-1.6799999999999999E-4</v>
      </c>
      <c r="C1719" s="38" t="s">
        <v>33</v>
      </c>
      <c r="D1719" s="38" t="s">
        <v>9</v>
      </c>
      <c r="E1719" s="38"/>
      <c r="F1719" s="38" t="s">
        <v>21</v>
      </c>
      <c r="G1719" s="38"/>
      <c r="H1719" s="38"/>
      <c r="I1719" s="38"/>
      <c r="J1719" s="38" t="s">
        <v>354</v>
      </c>
    </row>
    <row r="1720" spans="1:10" x14ac:dyDescent="0.35">
      <c r="A1720" s="38" t="s">
        <v>355</v>
      </c>
      <c r="B1720" s="39">
        <v>5.8399999999999999E-4</v>
      </c>
      <c r="C1720" s="38" t="s">
        <v>33</v>
      </c>
      <c r="D1720" s="38" t="s">
        <v>20</v>
      </c>
      <c r="E1720" s="38"/>
      <c r="F1720" s="38" t="s">
        <v>21</v>
      </c>
      <c r="G1720" s="38"/>
      <c r="H1720" s="38"/>
      <c r="I1720" s="38"/>
      <c r="J1720" s="38" t="s">
        <v>356</v>
      </c>
    </row>
    <row r="1721" spans="1:10" x14ac:dyDescent="0.35">
      <c r="A1721" s="38" t="s">
        <v>357</v>
      </c>
      <c r="B1721" s="39">
        <v>2.5999999999999998E-10</v>
      </c>
      <c r="C1721" s="38" t="s">
        <v>33</v>
      </c>
      <c r="D1721" s="38" t="s">
        <v>8</v>
      </c>
      <c r="E1721" s="38"/>
      <c r="F1721" s="38" t="s">
        <v>21</v>
      </c>
      <c r="G1721" s="38"/>
      <c r="H1721" s="38"/>
      <c r="I1721" s="38"/>
      <c r="J1721" s="38" t="s">
        <v>358</v>
      </c>
    </row>
    <row r="1722" spans="1:10" x14ac:dyDescent="0.35">
      <c r="A1722" s="38" t="s">
        <v>359</v>
      </c>
      <c r="B1722" s="39">
        <v>-6.2700000000000001E-6</v>
      </c>
      <c r="C1722" s="38" t="s">
        <v>33</v>
      </c>
      <c r="D1722" s="38" t="s">
        <v>9</v>
      </c>
      <c r="E1722" s="38"/>
      <c r="F1722" s="38" t="s">
        <v>21</v>
      </c>
      <c r="G1722" s="38"/>
      <c r="H1722" s="38"/>
      <c r="I1722" s="38"/>
      <c r="J1722" s="38" t="s">
        <v>360</v>
      </c>
    </row>
    <row r="1723" spans="1:10" x14ac:dyDescent="0.35">
      <c r="A1723" s="38" t="s">
        <v>361</v>
      </c>
      <c r="B1723" s="39">
        <v>-7.4999999999999993E-5</v>
      </c>
      <c r="C1723" s="38" t="s">
        <v>33</v>
      </c>
      <c r="D1723" s="38" t="s">
        <v>131</v>
      </c>
      <c r="E1723" s="38"/>
      <c r="F1723" s="38" t="s">
        <v>21</v>
      </c>
      <c r="G1723" s="38"/>
      <c r="H1723" s="38"/>
      <c r="I1723" s="38"/>
      <c r="J1723" s="38" t="s">
        <v>362</v>
      </c>
    </row>
    <row r="1724" spans="1:10" x14ac:dyDescent="0.35">
      <c r="A1724" s="38" t="s">
        <v>363</v>
      </c>
      <c r="B1724" s="39">
        <v>6.8900000000000005E-4</v>
      </c>
      <c r="C1724" s="38" t="s">
        <v>33</v>
      </c>
      <c r="D1724" s="38" t="s">
        <v>9</v>
      </c>
      <c r="E1724" s="38"/>
      <c r="F1724" s="38" t="s">
        <v>21</v>
      </c>
      <c r="G1724" s="38"/>
      <c r="H1724" s="38"/>
      <c r="I1724" s="38"/>
      <c r="J1724" s="38" t="s">
        <v>364</v>
      </c>
    </row>
    <row r="1725" spans="1:10" x14ac:dyDescent="0.35">
      <c r="A1725" s="38" t="s">
        <v>108</v>
      </c>
      <c r="B1725" s="38">
        <v>3.3599999999999998E-2</v>
      </c>
      <c r="C1725" s="38" t="s">
        <v>33</v>
      </c>
      <c r="D1725" s="38" t="s">
        <v>45</v>
      </c>
      <c r="E1725" s="38"/>
      <c r="F1725" s="38" t="s">
        <v>21</v>
      </c>
      <c r="G1725" s="38"/>
      <c r="H1725" s="38"/>
      <c r="I1725" s="38"/>
      <c r="J1725" s="38" t="s">
        <v>111</v>
      </c>
    </row>
    <row r="1726" spans="1:10" x14ac:dyDescent="0.35">
      <c r="A1726" s="38" t="s">
        <v>365</v>
      </c>
      <c r="B1726" s="38">
        <v>3.2599999999999997E-2</v>
      </c>
      <c r="C1726" s="38" t="s">
        <v>33</v>
      </c>
      <c r="D1726" s="38" t="s">
        <v>45</v>
      </c>
      <c r="E1726" s="38"/>
      <c r="F1726" s="38" t="s">
        <v>21</v>
      </c>
      <c r="G1726" s="38"/>
      <c r="H1726" s="38"/>
      <c r="I1726" s="38"/>
      <c r="J1726" s="38" t="s">
        <v>366</v>
      </c>
    </row>
    <row r="1727" spans="1:10" x14ac:dyDescent="0.35">
      <c r="A1727" s="38" t="s">
        <v>367</v>
      </c>
      <c r="B1727" s="39">
        <v>-6.8899999999999999E-7</v>
      </c>
      <c r="C1727" s="38" t="s">
        <v>33</v>
      </c>
      <c r="D1727" s="38" t="s">
        <v>131</v>
      </c>
      <c r="E1727" s="38"/>
      <c r="F1727" s="38" t="s">
        <v>21</v>
      </c>
      <c r="G1727" s="38"/>
      <c r="H1727" s="38"/>
      <c r="I1727" s="38"/>
      <c r="J1727" s="38" t="s">
        <v>368</v>
      </c>
    </row>
    <row r="1728" spans="1:10" x14ac:dyDescent="0.35">
      <c r="A1728" s="38"/>
      <c r="B1728" s="39"/>
      <c r="C1728" s="38"/>
      <c r="D1728" s="38"/>
      <c r="E1728" s="38"/>
      <c r="F1728" s="38"/>
      <c r="G1728" s="38"/>
      <c r="H1728" s="38"/>
      <c r="I1728" s="38"/>
      <c r="J1728" s="38"/>
    </row>
    <row r="1729" spans="1:10" ht="15.5" x14ac:dyDescent="0.35">
      <c r="A1729" s="1" t="s">
        <v>1</v>
      </c>
      <c r="B1729" s="1" t="s">
        <v>551</v>
      </c>
    </row>
    <row r="1730" spans="1:10" x14ac:dyDescent="0.35">
      <c r="A1730" t="s">
        <v>2</v>
      </c>
      <c r="B1730" t="s">
        <v>3</v>
      </c>
    </row>
    <row r="1731" spans="1:10" x14ac:dyDescent="0.35">
      <c r="A1731" t="s">
        <v>4</v>
      </c>
      <c r="B1731">
        <v>1</v>
      </c>
    </row>
    <row r="1732" spans="1:10" ht="15.5" x14ac:dyDescent="0.35">
      <c r="A1732" t="s">
        <v>5</v>
      </c>
      <c r="B1732" s="2" t="s">
        <v>350</v>
      </c>
    </row>
    <row r="1733" spans="1:10" x14ac:dyDescent="0.35">
      <c r="A1733" t="s">
        <v>6</v>
      </c>
      <c r="B1733" t="s">
        <v>7</v>
      </c>
    </row>
    <row r="1734" spans="1:10" x14ac:dyDescent="0.35">
      <c r="A1734" t="s">
        <v>8</v>
      </c>
      <c r="B1734" t="s">
        <v>9</v>
      </c>
    </row>
    <row r="1735" spans="1:10" x14ac:dyDescent="0.35">
      <c r="A1735" t="s">
        <v>10</v>
      </c>
      <c r="B1735" t="s">
        <v>406</v>
      </c>
    </row>
    <row r="1736" spans="1:10" x14ac:dyDescent="0.35">
      <c r="A1736" t="s">
        <v>12</v>
      </c>
      <c r="B1736" t="s">
        <v>525</v>
      </c>
    </row>
    <row r="1737" spans="1:10" ht="15.5" x14ac:dyDescent="0.35">
      <c r="A1737" s="1" t="s">
        <v>13</v>
      </c>
    </row>
    <row r="1738" spans="1:10" x14ac:dyDescent="0.35">
      <c r="A1738" t="s">
        <v>14</v>
      </c>
      <c r="B1738" t="s">
        <v>15</v>
      </c>
      <c r="C1738" t="s">
        <v>2</v>
      </c>
      <c r="D1738" t="s">
        <v>8</v>
      </c>
      <c r="E1738" t="s">
        <v>16</v>
      </c>
      <c r="F1738" t="s">
        <v>6</v>
      </c>
      <c r="G1738" t="s">
        <v>351</v>
      </c>
      <c r="H1738" t="s">
        <v>352</v>
      </c>
      <c r="I1738" t="s">
        <v>12</v>
      </c>
      <c r="J1738" t="s">
        <v>5</v>
      </c>
    </row>
    <row r="1739" spans="1:10" x14ac:dyDescent="0.35">
      <c r="A1739" s="38" t="s">
        <v>551</v>
      </c>
      <c r="B1739" s="38">
        <v>1</v>
      </c>
      <c r="C1739" t="s">
        <v>3</v>
      </c>
      <c r="D1739" s="38" t="s">
        <v>9</v>
      </c>
      <c r="E1739" s="38"/>
      <c r="F1739" s="38" t="s">
        <v>18</v>
      </c>
      <c r="G1739" s="38"/>
      <c r="H1739" s="38"/>
      <c r="I1739" s="38" t="s">
        <v>19</v>
      </c>
      <c r="J1739" s="38" t="s">
        <v>350</v>
      </c>
    </row>
    <row r="1740" spans="1:10" ht="15.5" x14ac:dyDescent="0.35">
      <c r="A1740" s="2" t="s">
        <v>550</v>
      </c>
      <c r="B1740">
        <v>1.00057</v>
      </c>
      <c r="C1740" t="s">
        <v>3</v>
      </c>
      <c r="D1740" t="s">
        <v>9</v>
      </c>
      <c r="F1740" s="38" t="s">
        <v>21</v>
      </c>
      <c r="G1740" t="s">
        <v>19</v>
      </c>
      <c r="I1740" s="38"/>
      <c r="J1740" s="2" t="s">
        <v>468</v>
      </c>
    </row>
    <row r="1741" spans="1:10" x14ac:dyDescent="0.35">
      <c r="A1741" s="38" t="s">
        <v>30</v>
      </c>
      <c r="B1741" s="38">
        <v>6.7000000000000002E-3</v>
      </c>
      <c r="C1741" t="s">
        <v>3</v>
      </c>
      <c r="D1741" s="38" t="s">
        <v>31</v>
      </c>
      <c r="E1741" s="38"/>
      <c r="F1741" s="38" t="s">
        <v>21</v>
      </c>
      <c r="G1741" s="38"/>
      <c r="H1741" s="38"/>
      <c r="I1741" s="38"/>
      <c r="J1741" s="38" t="s">
        <v>32</v>
      </c>
    </row>
    <row r="1742" spans="1:10" x14ac:dyDescent="0.35">
      <c r="A1742" s="38" t="s">
        <v>353</v>
      </c>
      <c r="B1742" s="38">
        <v>-1.6799999999999999E-4</v>
      </c>
      <c r="C1742" s="38" t="s">
        <v>33</v>
      </c>
      <c r="D1742" s="38" t="s">
        <v>9</v>
      </c>
      <c r="E1742" s="38"/>
      <c r="F1742" s="38" t="s">
        <v>21</v>
      </c>
      <c r="G1742" s="38"/>
      <c r="H1742" s="38"/>
      <c r="I1742" s="38"/>
      <c r="J1742" s="38" t="s">
        <v>354</v>
      </c>
    </row>
    <row r="1743" spans="1:10" x14ac:dyDescent="0.35">
      <c r="A1743" s="38" t="s">
        <v>355</v>
      </c>
      <c r="B1743" s="39">
        <v>5.8399999999999999E-4</v>
      </c>
      <c r="C1743" s="38" t="s">
        <v>33</v>
      </c>
      <c r="D1743" s="38" t="s">
        <v>20</v>
      </c>
      <c r="E1743" s="38"/>
      <c r="F1743" s="38" t="s">
        <v>21</v>
      </c>
      <c r="G1743" s="38"/>
      <c r="H1743" s="38"/>
      <c r="I1743" s="38"/>
      <c r="J1743" s="38" t="s">
        <v>356</v>
      </c>
    </row>
    <row r="1744" spans="1:10" x14ac:dyDescent="0.35">
      <c r="A1744" s="38" t="s">
        <v>357</v>
      </c>
      <c r="B1744" s="39">
        <v>2.5999999999999998E-10</v>
      </c>
      <c r="C1744" s="38" t="s">
        <v>33</v>
      </c>
      <c r="D1744" s="38" t="s">
        <v>8</v>
      </c>
      <c r="E1744" s="38"/>
      <c r="F1744" s="38" t="s">
        <v>21</v>
      </c>
      <c r="G1744" s="38"/>
      <c r="H1744" s="38"/>
      <c r="I1744" s="38"/>
      <c r="J1744" s="38" t="s">
        <v>358</v>
      </c>
    </row>
    <row r="1745" spans="1:10" x14ac:dyDescent="0.35">
      <c r="A1745" s="38" t="s">
        <v>359</v>
      </c>
      <c r="B1745" s="39">
        <v>-6.2700000000000001E-6</v>
      </c>
      <c r="C1745" s="38" t="s">
        <v>33</v>
      </c>
      <c r="D1745" s="38" t="s">
        <v>9</v>
      </c>
      <c r="E1745" s="38"/>
      <c r="F1745" s="38" t="s">
        <v>21</v>
      </c>
      <c r="G1745" s="38"/>
      <c r="H1745" s="38"/>
      <c r="I1745" s="38"/>
      <c r="J1745" s="38" t="s">
        <v>360</v>
      </c>
    </row>
    <row r="1746" spans="1:10" x14ac:dyDescent="0.35">
      <c r="A1746" s="38" t="s">
        <v>361</v>
      </c>
      <c r="B1746" s="39">
        <v>-7.4999999999999993E-5</v>
      </c>
      <c r="C1746" s="38" t="s">
        <v>33</v>
      </c>
      <c r="D1746" s="38" t="s">
        <v>131</v>
      </c>
      <c r="E1746" s="38"/>
      <c r="F1746" s="38" t="s">
        <v>21</v>
      </c>
      <c r="G1746" s="38"/>
      <c r="H1746" s="38"/>
      <c r="I1746" s="38"/>
      <c r="J1746" s="38" t="s">
        <v>362</v>
      </c>
    </row>
    <row r="1747" spans="1:10" x14ac:dyDescent="0.35">
      <c r="A1747" s="38" t="s">
        <v>363</v>
      </c>
      <c r="B1747" s="39">
        <v>6.8900000000000005E-4</v>
      </c>
      <c r="C1747" s="38" t="s">
        <v>33</v>
      </c>
      <c r="D1747" s="38" t="s">
        <v>9</v>
      </c>
      <c r="E1747" s="38"/>
      <c r="F1747" s="38" t="s">
        <v>21</v>
      </c>
      <c r="G1747" s="38"/>
      <c r="H1747" s="38"/>
      <c r="I1747" s="38"/>
      <c r="J1747" s="38" t="s">
        <v>364</v>
      </c>
    </row>
    <row r="1748" spans="1:10" x14ac:dyDescent="0.35">
      <c r="A1748" s="38" t="s">
        <v>108</v>
      </c>
      <c r="B1748" s="38">
        <v>3.3599999999999998E-2</v>
      </c>
      <c r="C1748" s="38" t="s">
        <v>33</v>
      </c>
      <c r="D1748" s="38" t="s">
        <v>45</v>
      </c>
      <c r="E1748" s="38"/>
      <c r="F1748" s="38" t="s">
        <v>21</v>
      </c>
      <c r="G1748" s="38"/>
      <c r="H1748" s="38"/>
      <c r="I1748" s="38"/>
      <c r="J1748" s="38" t="s">
        <v>111</v>
      </c>
    </row>
    <row r="1749" spans="1:10" x14ac:dyDescent="0.35">
      <c r="A1749" s="38" t="s">
        <v>365</v>
      </c>
      <c r="B1749" s="38">
        <v>3.2599999999999997E-2</v>
      </c>
      <c r="C1749" s="38" t="s">
        <v>33</v>
      </c>
      <c r="D1749" s="38" t="s">
        <v>45</v>
      </c>
      <c r="E1749" s="38"/>
      <c r="F1749" s="38" t="s">
        <v>21</v>
      </c>
      <c r="G1749" s="38"/>
      <c r="H1749" s="38"/>
      <c r="I1749" s="38"/>
      <c r="J1749" s="38" t="s">
        <v>366</v>
      </c>
    </row>
    <row r="1750" spans="1:10" x14ac:dyDescent="0.35">
      <c r="A1750" s="38" t="s">
        <v>367</v>
      </c>
      <c r="B1750" s="39">
        <v>-6.8899999999999999E-7</v>
      </c>
      <c r="C1750" s="38" t="s">
        <v>33</v>
      </c>
      <c r="D1750" s="38" t="s">
        <v>131</v>
      </c>
      <c r="E1750" s="38"/>
      <c r="F1750" s="38" t="s">
        <v>21</v>
      </c>
      <c r="G1750" s="38"/>
      <c r="H1750" s="38"/>
      <c r="I1750" s="38"/>
      <c r="J1750" s="38" t="s">
        <v>368</v>
      </c>
    </row>
    <row r="1751" spans="1:10" x14ac:dyDescent="0.35">
      <c r="A1751" s="38"/>
      <c r="B1751" s="39"/>
      <c r="C1751" s="38"/>
      <c r="D1751" s="38"/>
      <c r="E1751" s="38"/>
      <c r="F1751" s="38"/>
      <c r="G1751" s="38"/>
      <c r="H1751" s="38"/>
      <c r="I1751" s="38"/>
      <c r="J1751" s="38"/>
    </row>
    <row r="1752" spans="1:10" ht="15.5" x14ac:dyDescent="0.35">
      <c r="A1752" s="1" t="s">
        <v>1</v>
      </c>
      <c r="B1752" s="1" t="s">
        <v>103</v>
      </c>
    </row>
    <row r="1753" spans="1:10" x14ac:dyDescent="0.35">
      <c r="A1753" t="s">
        <v>2</v>
      </c>
      <c r="B1753" t="s">
        <v>3</v>
      </c>
    </row>
    <row r="1754" spans="1:10" x14ac:dyDescent="0.35">
      <c r="A1754" t="s">
        <v>4</v>
      </c>
      <c r="B1754">
        <v>1</v>
      </c>
    </row>
    <row r="1755" spans="1:10" ht="15.5" x14ac:dyDescent="0.35">
      <c r="A1755" t="s">
        <v>5</v>
      </c>
      <c r="B1755" s="2" t="s">
        <v>104</v>
      </c>
    </row>
    <row r="1756" spans="1:10" x14ac:dyDescent="0.35">
      <c r="A1756" t="s">
        <v>6</v>
      </c>
      <c r="B1756" t="s">
        <v>7</v>
      </c>
    </row>
    <row r="1757" spans="1:10" x14ac:dyDescent="0.35">
      <c r="A1757" t="s">
        <v>8</v>
      </c>
      <c r="B1757" t="s">
        <v>9</v>
      </c>
    </row>
    <row r="1758" spans="1:10" x14ac:dyDescent="0.35">
      <c r="A1758" t="s">
        <v>10</v>
      </c>
      <c r="B1758" t="s">
        <v>11</v>
      </c>
    </row>
    <row r="1759" spans="1:10" x14ac:dyDescent="0.35">
      <c r="A1759" t="s">
        <v>28</v>
      </c>
      <c r="B1759" t="s">
        <v>185</v>
      </c>
    </row>
    <row r="1760" spans="1:10" ht="15.5" x14ac:dyDescent="0.35">
      <c r="A1760" s="1" t="s">
        <v>13</v>
      </c>
    </row>
    <row r="1761" spans="1:8" x14ac:dyDescent="0.35">
      <c r="A1761" t="s">
        <v>14</v>
      </c>
      <c r="B1761" t="s">
        <v>15</v>
      </c>
      <c r="C1761" t="s">
        <v>2</v>
      </c>
      <c r="D1761" t="s">
        <v>8</v>
      </c>
      <c r="E1761" t="s">
        <v>16</v>
      </c>
      <c r="F1761" t="s">
        <v>6</v>
      </c>
      <c r="G1761" t="s">
        <v>12</v>
      </c>
      <c r="H1761" t="s">
        <v>5</v>
      </c>
    </row>
    <row r="1762" spans="1:8" ht="15.5" x14ac:dyDescent="0.35">
      <c r="A1762" s="2" t="s">
        <v>103</v>
      </c>
      <c r="B1762">
        <v>1</v>
      </c>
      <c r="C1762" t="s">
        <v>3</v>
      </c>
      <c r="D1762" t="s">
        <v>9</v>
      </c>
      <c r="F1762" t="s">
        <v>18</v>
      </c>
      <c r="G1762" t="s">
        <v>19</v>
      </c>
      <c r="H1762" s="2" t="s">
        <v>104</v>
      </c>
    </row>
    <row r="1763" spans="1:8" x14ac:dyDescent="0.35">
      <c r="A1763" t="s">
        <v>23</v>
      </c>
      <c r="B1763" s="4">
        <f>3409*Allocation!$B$3/Allocation!$B$8/1000</f>
        <v>0.14160151061924697</v>
      </c>
      <c r="C1763" t="s">
        <v>27</v>
      </c>
      <c r="D1763" t="s">
        <v>20</v>
      </c>
      <c r="F1763" t="s">
        <v>21</v>
      </c>
      <c r="G1763" t="s">
        <v>99</v>
      </c>
      <c r="H1763" t="s">
        <v>24</v>
      </c>
    </row>
    <row r="1764" spans="1:8" x14ac:dyDescent="0.35">
      <c r="A1764" t="s">
        <v>82</v>
      </c>
      <c r="B1764" s="4">
        <f>1018*Allocation!$B$3/Allocation!$B$8/1000</f>
        <v>4.2285226697093996E-2</v>
      </c>
      <c r="C1764" t="s">
        <v>27</v>
      </c>
      <c r="D1764" t="s">
        <v>20</v>
      </c>
      <c r="F1764" t="s">
        <v>21</v>
      </c>
      <c r="G1764" t="s">
        <v>100</v>
      </c>
      <c r="H1764" t="s">
        <v>82</v>
      </c>
    </row>
    <row r="1765" spans="1:8" x14ac:dyDescent="0.35">
      <c r="A1765" t="s">
        <v>85</v>
      </c>
      <c r="B1765" s="4">
        <f>(938+1242)*Allocation!$B$3/Allocation!$B$8/1000</f>
        <v>9.0551860706939991E-2</v>
      </c>
      <c r="C1765" t="s">
        <v>27</v>
      </c>
      <c r="D1765" t="s">
        <v>20</v>
      </c>
      <c r="F1765" t="s">
        <v>21</v>
      </c>
      <c r="G1765" t="s">
        <v>101</v>
      </c>
      <c r="H1765" t="s">
        <v>86</v>
      </c>
    </row>
    <row r="1766" spans="1:8" x14ac:dyDescent="0.35">
      <c r="A1766" t="s">
        <v>30</v>
      </c>
      <c r="B1766" s="4">
        <f>318*Allocation!$B$3/Allocation!$B$8/1000/3.6</f>
        <v>3.6691503191649999E-3</v>
      </c>
      <c r="C1766" t="s">
        <v>3</v>
      </c>
      <c r="D1766" t="s">
        <v>31</v>
      </c>
      <c r="F1766" t="s">
        <v>21</v>
      </c>
      <c r="H1766" t="s">
        <v>32</v>
      </c>
    </row>
    <row r="1767" spans="1:8" x14ac:dyDescent="0.35">
      <c r="A1767" t="s">
        <v>43</v>
      </c>
      <c r="B1767" s="4">
        <f>50*Allocation!$B$7/1000</f>
        <v>8.0500000000000002E-2</v>
      </c>
      <c r="C1767" t="s">
        <v>33</v>
      </c>
      <c r="D1767" t="s">
        <v>45</v>
      </c>
      <c r="F1767" t="s">
        <v>21</v>
      </c>
      <c r="G1767" t="s">
        <v>107</v>
      </c>
      <c r="H1767" t="s">
        <v>44</v>
      </c>
    </row>
    <row r="1768" spans="1:8" x14ac:dyDescent="0.35">
      <c r="A1768" t="s">
        <v>105</v>
      </c>
      <c r="B1768" s="4">
        <f>350*Allocation!$B$7/1000</f>
        <v>0.5635</v>
      </c>
      <c r="C1768" t="s">
        <v>33</v>
      </c>
      <c r="D1768" t="s">
        <v>45</v>
      </c>
      <c r="F1768" t="s">
        <v>21</v>
      </c>
      <c r="G1768" t="s">
        <v>110</v>
      </c>
      <c r="H1768" t="s">
        <v>106</v>
      </c>
    </row>
    <row r="1769" spans="1:8" x14ac:dyDescent="0.35">
      <c r="A1769" t="s">
        <v>108</v>
      </c>
      <c r="B1769" s="4">
        <f>400*Allocation!$B$7/1000</f>
        <v>0.64400000000000002</v>
      </c>
      <c r="C1769" t="s">
        <v>33</v>
      </c>
      <c r="D1769" t="s">
        <v>45</v>
      </c>
      <c r="F1769" t="s">
        <v>21</v>
      </c>
      <c r="G1769" t="s">
        <v>109</v>
      </c>
      <c r="H1769" t="s">
        <v>111</v>
      </c>
    </row>
    <row r="1770" spans="1:8" x14ac:dyDescent="0.35">
      <c r="A1770" t="s">
        <v>46</v>
      </c>
      <c r="B1770" s="4">
        <f>0.383/Allocation!B8/1000</f>
        <v>1.5078709999999999E-2</v>
      </c>
      <c r="C1770" t="s">
        <v>3</v>
      </c>
      <c r="D1770" t="s">
        <v>9</v>
      </c>
      <c r="F1770" t="s">
        <v>21</v>
      </c>
      <c r="H1770" t="s">
        <v>47</v>
      </c>
    </row>
    <row r="1771" spans="1:8" x14ac:dyDescent="0.35">
      <c r="A1771" t="s">
        <v>48</v>
      </c>
      <c r="B1771" s="4">
        <f>0.139/Allocation!B8/1000</f>
        <v>5.4724300000000003E-3</v>
      </c>
      <c r="C1771" t="s">
        <v>3</v>
      </c>
      <c r="D1771" t="s">
        <v>9</v>
      </c>
      <c r="F1771" t="s">
        <v>21</v>
      </c>
      <c r="H1771" t="s">
        <v>49</v>
      </c>
    </row>
    <row r="1772" spans="1:8" x14ac:dyDescent="0.35">
      <c r="A1772" t="s">
        <v>50</v>
      </c>
      <c r="B1772" s="4">
        <f>0.146/Allocation!B8/1000</f>
        <v>5.7480199999999987E-3</v>
      </c>
      <c r="C1772" t="s">
        <v>3</v>
      </c>
      <c r="D1772" t="s">
        <v>9</v>
      </c>
      <c r="F1772" t="s">
        <v>21</v>
      </c>
      <c r="H1772" t="s">
        <v>51</v>
      </c>
    </row>
    <row r="1773" spans="1:8" x14ac:dyDescent="0.35">
      <c r="A1773" s="8" t="s">
        <v>52</v>
      </c>
      <c r="B1773" s="4">
        <f>1.29/1000/Allocation!B8</f>
        <v>5.07873E-2</v>
      </c>
      <c r="C1773" t="s">
        <v>27</v>
      </c>
      <c r="D1773" t="s">
        <v>9</v>
      </c>
      <c r="F1773" t="s">
        <v>21</v>
      </c>
      <c r="H1773" s="8" t="s">
        <v>53</v>
      </c>
    </row>
    <row r="1774" spans="1:8" x14ac:dyDescent="0.35">
      <c r="A1774" t="s">
        <v>113</v>
      </c>
      <c r="B1774" s="4">
        <f>0.01/1000/1000/Allocation!B8</f>
        <v>3.9369999999999993E-7</v>
      </c>
      <c r="C1774" t="s">
        <v>27</v>
      </c>
      <c r="D1774" t="s">
        <v>9</v>
      </c>
      <c r="F1774" t="s">
        <v>21</v>
      </c>
      <c r="G1774" t="s">
        <v>56</v>
      </c>
      <c r="H1774" t="s">
        <v>114</v>
      </c>
    </row>
    <row r="1775" spans="1:8" x14ac:dyDescent="0.35">
      <c r="A1775" t="s">
        <v>54</v>
      </c>
      <c r="B1775" s="4">
        <f>5.85/1000/1000/Allocation!B8</f>
        <v>2.3031449999999994E-4</v>
      </c>
      <c r="C1775" t="s">
        <v>27</v>
      </c>
      <c r="D1775" t="s">
        <v>9</v>
      </c>
      <c r="F1775" t="s">
        <v>21</v>
      </c>
      <c r="G1775" t="s">
        <v>55</v>
      </c>
      <c r="H1775" t="s">
        <v>57</v>
      </c>
    </row>
    <row r="1776" spans="1:8" x14ac:dyDescent="0.35">
      <c r="A1776" t="s">
        <v>127</v>
      </c>
      <c r="B1776" s="4">
        <v>3.2200000000000002E-3</v>
      </c>
      <c r="C1776" t="s">
        <v>27</v>
      </c>
      <c r="D1776" t="s">
        <v>9</v>
      </c>
      <c r="F1776" t="s">
        <v>21</v>
      </c>
      <c r="G1776" t="s">
        <v>133</v>
      </c>
      <c r="H1776" t="s">
        <v>128</v>
      </c>
    </row>
    <row r="1777" spans="1:8" x14ac:dyDescent="0.35">
      <c r="A1777" t="s">
        <v>191</v>
      </c>
      <c r="B1777" s="4">
        <v>8.2529999999999998E-5</v>
      </c>
      <c r="C1777" t="s">
        <v>27</v>
      </c>
      <c r="D1777" t="s">
        <v>129</v>
      </c>
      <c r="F1777" t="s">
        <v>21</v>
      </c>
      <c r="G1777" t="s">
        <v>134</v>
      </c>
      <c r="H1777" t="s">
        <v>192</v>
      </c>
    </row>
    <row r="1778" spans="1:8" x14ac:dyDescent="0.35">
      <c r="A1778" t="s">
        <v>130</v>
      </c>
      <c r="B1778" s="4">
        <v>0.24474000000000001</v>
      </c>
      <c r="C1778" t="s">
        <v>3</v>
      </c>
      <c r="D1778" t="s">
        <v>131</v>
      </c>
      <c r="F1778" t="s">
        <v>21</v>
      </c>
      <c r="G1778" t="s">
        <v>135</v>
      </c>
      <c r="H1778" t="s">
        <v>132</v>
      </c>
    </row>
    <row r="1779" spans="1:8" x14ac:dyDescent="0.35">
      <c r="A1779" t="s">
        <v>120</v>
      </c>
      <c r="B1779">
        <v>1.4762999999999999</v>
      </c>
      <c r="D1779" t="s">
        <v>9</v>
      </c>
      <c r="E1779" t="s">
        <v>121</v>
      </c>
      <c r="F1779" t="s">
        <v>38</v>
      </c>
      <c r="G1779" t="s">
        <v>495</v>
      </c>
    </row>
    <row r="1780" spans="1:8" x14ac:dyDescent="0.35">
      <c r="A1780" t="s">
        <v>116</v>
      </c>
      <c r="B1780">
        <v>15.91</v>
      </c>
      <c r="D1780" t="s">
        <v>20</v>
      </c>
      <c r="E1780" t="s">
        <v>122</v>
      </c>
      <c r="F1780" t="s">
        <v>38</v>
      </c>
      <c r="G1780" t="s">
        <v>495</v>
      </c>
    </row>
    <row r="1781" spans="1:8" x14ac:dyDescent="0.35">
      <c r="A1781" t="s">
        <v>136</v>
      </c>
      <c r="B1781">
        <v>0.17007192792102799</v>
      </c>
      <c r="D1781" t="s">
        <v>131</v>
      </c>
      <c r="E1781" t="s">
        <v>39</v>
      </c>
      <c r="F1781" t="s">
        <v>38</v>
      </c>
      <c r="G1781" t="s">
        <v>126</v>
      </c>
    </row>
    <row r="1782" spans="1:8" x14ac:dyDescent="0.35">
      <c r="A1782" t="s">
        <v>40</v>
      </c>
      <c r="B1782" s="7">
        <v>8.3517419999999996E-5</v>
      </c>
      <c r="D1782" t="s">
        <v>9</v>
      </c>
      <c r="E1782" t="s">
        <v>179</v>
      </c>
      <c r="F1782" t="s">
        <v>38</v>
      </c>
      <c r="G1782" t="s">
        <v>126</v>
      </c>
    </row>
    <row r="1783" spans="1:8" x14ac:dyDescent="0.35">
      <c r="A1783" t="s">
        <v>137</v>
      </c>
      <c r="B1783">
        <v>1.0182310000000001E-3</v>
      </c>
      <c r="D1783" t="s">
        <v>9</v>
      </c>
      <c r="E1783" t="s">
        <v>179</v>
      </c>
      <c r="F1783" t="s">
        <v>38</v>
      </c>
      <c r="G1783" t="s">
        <v>126</v>
      </c>
    </row>
    <row r="1784" spans="1:8" x14ac:dyDescent="0.35">
      <c r="A1784" t="s">
        <v>42</v>
      </c>
      <c r="B1784">
        <v>3.9770199999999999E-4</v>
      </c>
      <c r="D1784" t="s">
        <v>9</v>
      </c>
      <c r="E1784" t="s">
        <v>179</v>
      </c>
      <c r="F1784" t="s">
        <v>38</v>
      </c>
      <c r="G1784" t="s">
        <v>126</v>
      </c>
    </row>
    <row r="1785" spans="1:8" x14ac:dyDescent="0.35">
      <c r="A1785" t="s">
        <v>118</v>
      </c>
      <c r="B1785">
        <f>B1787/2</f>
        <v>0.47991081325301199</v>
      </c>
      <c r="D1785" t="s">
        <v>125</v>
      </c>
      <c r="E1785" t="s">
        <v>124</v>
      </c>
      <c r="F1785" t="s">
        <v>38</v>
      </c>
      <c r="G1785" t="s">
        <v>607</v>
      </c>
    </row>
    <row r="1786" spans="1:8" x14ac:dyDescent="0.35">
      <c r="A1786" t="s">
        <v>119</v>
      </c>
      <c r="B1786">
        <f>B1787/2</f>
        <v>0.47991081325301199</v>
      </c>
      <c r="D1786" t="s">
        <v>125</v>
      </c>
      <c r="E1786" t="s">
        <v>124</v>
      </c>
      <c r="F1786" t="s">
        <v>38</v>
      </c>
      <c r="G1786" t="s">
        <v>607</v>
      </c>
    </row>
    <row r="1787" spans="1:8" x14ac:dyDescent="0.35">
      <c r="A1787" t="s">
        <v>117</v>
      </c>
      <c r="B1787">
        <v>0.95982162650602398</v>
      </c>
      <c r="D1787" t="s">
        <v>123</v>
      </c>
      <c r="E1787" t="s">
        <v>124</v>
      </c>
      <c r="F1787" t="s">
        <v>38</v>
      </c>
      <c r="G1787" t="s">
        <v>608</v>
      </c>
    </row>
    <row r="1788" spans="1:8" x14ac:dyDescent="0.35">
      <c r="A1788" t="s">
        <v>138</v>
      </c>
      <c r="B1788" s="7">
        <v>1.0107999999999999E-6</v>
      </c>
      <c r="D1788" t="s">
        <v>9</v>
      </c>
      <c r="E1788" t="s">
        <v>180</v>
      </c>
      <c r="F1788" t="s">
        <v>38</v>
      </c>
      <c r="G1788" t="s">
        <v>126</v>
      </c>
    </row>
    <row r="1789" spans="1:8" x14ac:dyDescent="0.35">
      <c r="A1789" t="s">
        <v>139</v>
      </c>
      <c r="B1789" s="7">
        <v>6.1366999999999996E-7</v>
      </c>
      <c r="D1789" t="s">
        <v>9</v>
      </c>
      <c r="E1789" t="s">
        <v>180</v>
      </c>
      <c r="F1789" t="s">
        <v>38</v>
      </c>
      <c r="G1789" t="s">
        <v>126</v>
      </c>
    </row>
    <row r="1790" spans="1:8" x14ac:dyDescent="0.35">
      <c r="A1790" t="s">
        <v>140</v>
      </c>
      <c r="B1790" s="7">
        <v>4.8131000000000003E-9</v>
      </c>
      <c r="D1790" t="s">
        <v>9</v>
      </c>
      <c r="E1790" t="s">
        <v>180</v>
      </c>
      <c r="F1790" t="s">
        <v>38</v>
      </c>
      <c r="G1790" t="s">
        <v>126</v>
      </c>
    </row>
    <row r="1791" spans="1:8" x14ac:dyDescent="0.35">
      <c r="A1791" t="s">
        <v>141</v>
      </c>
      <c r="B1791" s="7">
        <v>6.4977000000000003E-7</v>
      </c>
      <c r="D1791" t="s">
        <v>9</v>
      </c>
      <c r="E1791" t="s">
        <v>180</v>
      </c>
      <c r="F1791" t="s">
        <v>38</v>
      </c>
      <c r="G1791" t="s">
        <v>126</v>
      </c>
    </row>
    <row r="1792" spans="1:8" x14ac:dyDescent="0.35">
      <c r="A1792" t="s">
        <v>142</v>
      </c>
      <c r="B1792" s="7">
        <v>-1.5040999999999999E-6</v>
      </c>
      <c r="D1792" t="s">
        <v>9</v>
      </c>
      <c r="E1792" t="s">
        <v>180</v>
      </c>
      <c r="F1792" t="s">
        <v>38</v>
      </c>
      <c r="G1792" t="s">
        <v>126</v>
      </c>
    </row>
    <row r="1793" spans="1:7" x14ac:dyDescent="0.35">
      <c r="A1793" t="s">
        <v>143</v>
      </c>
      <c r="B1793" s="7">
        <v>1.2032999999999999E-7</v>
      </c>
      <c r="D1793" t="s">
        <v>9</v>
      </c>
      <c r="E1793" t="s">
        <v>180</v>
      </c>
      <c r="F1793" t="s">
        <v>38</v>
      </c>
      <c r="G1793" t="s">
        <v>126</v>
      </c>
    </row>
    <row r="1794" spans="1:7" x14ac:dyDescent="0.35">
      <c r="A1794" t="s">
        <v>144</v>
      </c>
      <c r="B1794" s="7">
        <v>2.4787000000000001E-6</v>
      </c>
      <c r="D1794" t="s">
        <v>9</v>
      </c>
      <c r="E1794" t="s">
        <v>180</v>
      </c>
      <c r="F1794" t="s">
        <v>38</v>
      </c>
      <c r="G1794" t="s">
        <v>126</v>
      </c>
    </row>
    <row r="1795" spans="1:7" x14ac:dyDescent="0.35">
      <c r="A1795" t="s">
        <v>145</v>
      </c>
      <c r="B1795" s="7">
        <v>1.0829E-7</v>
      </c>
      <c r="D1795" t="s">
        <v>9</v>
      </c>
      <c r="E1795" t="s">
        <v>180</v>
      </c>
      <c r="F1795" t="s">
        <v>38</v>
      </c>
      <c r="G1795" t="s">
        <v>126</v>
      </c>
    </row>
    <row r="1796" spans="1:7" x14ac:dyDescent="0.35">
      <c r="A1796" t="s">
        <v>146</v>
      </c>
      <c r="B1796" s="7">
        <v>1.0107999999999999E-6</v>
      </c>
      <c r="D1796" t="s">
        <v>9</v>
      </c>
      <c r="E1796" t="s">
        <v>180</v>
      </c>
      <c r="F1796" t="s">
        <v>38</v>
      </c>
      <c r="G1796" t="s">
        <v>126</v>
      </c>
    </row>
    <row r="1797" spans="1:7" x14ac:dyDescent="0.35">
      <c r="A1797" t="s">
        <v>147</v>
      </c>
      <c r="B1797" s="7">
        <v>2.4065000000000001E-8</v>
      </c>
      <c r="D1797" t="s">
        <v>9</v>
      </c>
      <c r="E1797" t="s">
        <v>180</v>
      </c>
      <c r="F1797" t="s">
        <v>38</v>
      </c>
      <c r="G1797" t="s">
        <v>126</v>
      </c>
    </row>
    <row r="1798" spans="1:7" x14ac:dyDescent="0.35">
      <c r="A1798" t="s">
        <v>148</v>
      </c>
      <c r="B1798" s="7">
        <v>-3.2893999999999998E-7</v>
      </c>
      <c r="D1798" t="s">
        <v>9</v>
      </c>
      <c r="E1798" t="s">
        <v>180</v>
      </c>
      <c r="F1798" t="s">
        <v>38</v>
      </c>
      <c r="G1798" t="s">
        <v>126</v>
      </c>
    </row>
    <row r="1799" spans="1:7" x14ac:dyDescent="0.35">
      <c r="A1799" t="s">
        <v>149</v>
      </c>
      <c r="B1799" s="7">
        <v>7.9416000000000001E-7</v>
      </c>
      <c r="D1799" t="s">
        <v>9</v>
      </c>
      <c r="E1799" t="s">
        <v>180</v>
      </c>
      <c r="F1799" t="s">
        <v>38</v>
      </c>
      <c r="G1799" t="s">
        <v>126</v>
      </c>
    </row>
    <row r="1800" spans="1:7" x14ac:dyDescent="0.35">
      <c r="A1800" t="s">
        <v>150</v>
      </c>
      <c r="B1800" s="7">
        <v>4.1393000000000003E-6</v>
      </c>
      <c r="D1800" t="s">
        <v>9</v>
      </c>
      <c r="E1800" t="s">
        <v>180</v>
      </c>
      <c r="F1800" t="s">
        <v>38</v>
      </c>
      <c r="G1800" t="s">
        <v>126</v>
      </c>
    </row>
    <row r="1801" spans="1:7" x14ac:dyDescent="0.35">
      <c r="A1801" t="s">
        <v>151</v>
      </c>
      <c r="B1801" s="7">
        <v>5.0537999999999999E-8</v>
      </c>
      <c r="D1801" t="s">
        <v>9</v>
      </c>
      <c r="E1801" t="s">
        <v>180</v>
      </c>
      <c r="F1801" t="s">
        <v>38</v>
      </c>
      <c r="G1801" t="s">
        <v>126</v>
      </c>
    </row>
    <row r="1802" spans="1:7" x14ac:dyDescent="0.35">
      <c r="A1802" t="s">
        <v>152</v>
      </c>
      <c r="B1802" s="7">
        <v>-5.9000999999999996E-6</v>
      </c>
      <c r="D1802" t="s">
        <v>9</v>
      </c>
      <c r="E1802" t="s">
        <v>180</v>
      </c>
      <c r="F1802" t="s">
        <v>38</v>
      </c>
      <c r="G1802" t="s">
        <v>126</v>
      </c>
    </row>
    <row r="1803" spans="1:7" x14ac:dyDescent="0.35">
      <c r="A1803" t="s">
        <v>153</v>
      </c>
      <c r="B1803" s="7">
        <v>1.5643E-6</v>
      </c>
      <c r="D1803" t="s">
        <v>9</v>
      </c>
      <c r="E1803" t="s">
        <v>180</v>
      </c>
      <c r="F1803" t="s">
        <v>38</v>
      </c>
      <c r="G1803" t="s">
        <v>126</v>
      </c>
    </row>
    <row r="1804" spans="1:7" x14ac:dyDescent="0.35">
      <c r="A1804" t="s">
        <v>154</v>
      </c>
      <c r="B1804" s="7">
        <v>2.6952999999999998E-6</v>
      </c>
      <c r="D1804" t="s">
        <v>9</v>
      </c>
      <c r="E1804" t="s">
        <v>180</v>
      </c>
      <c r="F1804" t="s">
        <v>38</v>
      </c>
      <c r="G1804" t="s">
        <v>126</v>
      </c>
    </row>
    <row r="1805" spans="1:7" x14ac:dyDescent="0.35">
      <c r="A1805" t="s">
        <v>155</v>
      </c>
      <c r="B1805" s="7">
        <v>4.4454999999999997E-8</v>
      </c>
      <c r="D1805" t="s">
        <v>9</v>
      </c>
      <c r="E1805" t="s">
        <v>180</v>
      </c>
      <c r="F1805" t="s">
        <v>38</v>
      </c>
      <c r="G1805" t="s">
        <v>126</v>
      </c>
    </row>
    <row r="1806" spans="1:7" x14ac:dyDescent="0.35">
      <c r="A1806" t="s">
        <v>156</v>
      </c>
      <c r="B1806" s="7">
        <v>3.6097999999999997E-8</v>
      </c>
      <c r="D1806" t="s">
        <v>9</v>
      </c>
      <c r="E1806" t="s">
        <v>180</v>
      </c>
      <c r="F1806" t="s">
        <v>38</v>
      </c>
      <c r="G1806" t="s">
        <v>126</v>
      </c>
    </row>
    <row r="1807" spans="1:7" x14ac:dyDescent="0.35">
      <c r="A1807" t="s">
        <v>157</v>
      </c>
      <c r="B1807" s="7">
        <v>2.1659000000000001E-7</v>
      </c>
      <c r="D1807" t="s">
        <v>9</v>
      </c>
      <c r="E1807" t="s">
        <v>180</v>
      </c>
      <c r="F1807" t="s">
        <v>38</v>
      </c>
      <c r="G1807" t="s">
        <v>126</v>
      </c>
    </row>
    <row r="1808" spans="1:7" x14ac:dyDescent="0.35">
      <c r="A1808" t="s">
        <v>158</v>
      </c>
      <c r="B1808" s="7">
        <v>-1.8835E-8</v>
      </c>
      <c r="D1808" t="s">
        <v>9</v>
      </c>
      <c r="E1808" t="s">
        <v>180</v>
      </c>
      <c r="F1808" t="s">
        <v>38</v>
      </c>
      <c r="G1808" t="s">
        <v>126</v>
      </c>
    </row>
    <row r="1809" spans="1:7" x14ac:dyDescent="0.35">
      <c r="A1809" t="s">
        <v>159</v>
      </c>
      <c r="B1809" s="7">
        <v>4.2885E-5</v>
      </c>
      <c r="D1809" t="s">
        <v>9</v>
      </c>
      <c r="E1809" t="s">
        <v>180</v>
      </c>
      <c r="F1809" t="s">
        <v>38</v>
      </c>
      <c r="G1809" t="s">
        <v>126</v>
      </c>
    </row>
    <row r="1810" spans="1:7" x14ac:dyDescent="0.35">
      <c r="A1810" t="s">
        <v>160</v>
      </c>
      <c r="B1810" s="7">
        <v>9.2460000000000006E-5</v>
      </c>
      <c r="D1810" t="s">
        <v>9</v>
      </c>
      <c r="E1810" t="s">
        <v>180</v>
      </c>
      <c r="F1810" t="s">
        <v>38</v>
      </c>
      <c r="G1810" t="s">
        <v>126</v>
      </c>
    </row>
    <row r="1811" spans="1:7" x14ac:dyDescent="0.35">
      <c r="A1811" t="s">
        <v>161</v>
      </c>
      <c r="B1811" s="7">
        <v>5.0297000000000003E-6</v>
      </c>
      <c r="D1811" t="s">
        <v>9</v>
      </c>
      <c r="E1811" t="s">
        <v>180</v>
      </c>
      <c r="F1811" t="s">
        <v>38</v>
      </c>
      <c r="G1811" t="s">
        <v>126</v>
      </c>
    </row>
    <row r="1812" spans="1:7" x14ac:dyDescent="0.35">
      <c r="A1812" t="s">
        <v>162</v>
      </c>
      <c r="B1812" s="7">
        <v>2.4306000000000001E-6</v>
      </c>
      <c r="D1812" t="s">
        <v>9</v>
      </c>
      <c r="E1812" t="s">
        <v>180</v>
      </c>
      <c r="F1812" t="s">
        <v>38</v>
      </c>
      <c r="G1812" t="s">
        <v>126</v>
      </c>
    </row>
    <row r="1813" spans="1:7" x14ac:dyDescent="0.35">
      <c r="A1813" t="s">
        <v>163</v>
      </c>
      <c r="B1813" s="7">
        <v>1.7326999999999999E-6</v>
      </c>
      <c r="D1813" t="s">
        <v>9</v>
      </c>
      <c r="E1813" t="s">
        <v>180</v>
      </c>
      <c r="F1813" t="s">
        <v>38</v>
      </c>
      <c r="G1813" t="s">
        <v>126</v>
      </c>
    </row>
    <row r="1814" spans="1:7" x14ac:dyDescent="0.35">
      <c r="A1814" t="s">
        <v>164</v>
      </c>
      <c r="B1814" s="7">
        <v>2.8878999999999998E-7</v>
      </c>
      <c r="D1814" t="s">
        <v>9</v>
      </c>
      <c r="E1814" t="s">
        <v>180</v>
      </c>
      <c r="F1814" t="s">
        <v>38</v>
      </c>
      <c r="G1814" t="s">
        <v>126</v>
      </c>
    </row>
    <row r="1815" spans="1:7" x14ac:dyDescent="0.35">
      <c r="A1815" t="s">
        <v>165</v>
      </c>
      <c r="B1815" s="7">
        <v>1.9661999999999999E-5</v>
      </c>
      <c r="D1815" t="s">
        <v>9</v>
      </c>
      <c r="E1815" t="s">
        <v>180</v>
      </c>
      <c r="F1815" t="s">
        <v>38</v>
      </c>
      <c r="G1815" t="s">
        <v>126</v>
      </c>
    </row>
    <row r="1816" spans="1:7" x14ac:dyDescent="0.35">
      <c r="A1816" t="s">
        <v>166</v>
      </c>
      <c r="B1816" s="7">
        <v>1.1911999999999999E-6</v>
      </c>
      <c r="D1816" t="s">
        <v>9</v>
      </c>
      <c r="E1816" t="s">
        <v>180</v>
      </c>
      <c r="F1816" t="s">
        <v>38</v>
      </c>
      <c r="G1816" t="s">
        <v>126</v>
      </c>
    </row>
    <row r="1817" spans="1:7" x14ac:dyDescent="0.35">
      <c r="A1817" t="s">
        <v>167</v>
      </c>
      <c r="B1817" s="7">
        <v>1.9252000000000001E-7</v>
      </c>
      <c r="D1817" t="s">
        <v>9</v>
      </c>
      <c r="E1817" t="s">
        <v>180</v>
      </c>
      <c r="F1817" t="s">
        <v>38</v>
      </c>
      <c r="G1817" t="s">
        <v>126</v>
      </c>
    </row>
    <row r="1818" spans="1:7" x14ac:dyDescent="0.35">
      <c r="A1818" t="s">
        <v>168</v>
      </c>
      <c r="B1818" s="7">
        <v>3.0442999999999998E-6</v>
      </c>
      <c r="D1818" t="s">
        <v>9</v>
      </c>
      <c r="E1818" t="s">
        <v>180</v>
      </c>
      <c r="F1818" t="s">
        <v>38</v>
      </c>
      <c r="G1818" t="s">
        <v>126</v>
      </c>
    </row>
    <row r="1819" spans="1:7" x14ac:dyDescent="0.35">
      <c r="A1819" t="s">
        <v>169</v>
      </c>
      <c r="B1819" s="7">
        <v>4.8130999999999997E-6</v>
      </c>
      <c r="D1819" t="s">
        <v>9</v>
      </c>
      <c r="E1819" t="s">
        <v>180</v>
      </c>
      <c r="F1819" t="s">
        <v>38</v>
      </c>
      <c r="G1819" t="s">
        <v>126</v>
      </c>
    </row>
    <row r="1820" spans="1:7" x14ac:dyDescent="0.35">
      <c r="A1820" t="s">
        <v>170</v>
      </c>
      <c r="B1820" s="7">
        <v>5.9441999999999998E-5</v>
      </c>
      <c r="D1820" t="s">
        <v>9</v>
      </c>
      <c r="E1820" t="s">
        <v>180</v>
      </c>
      <c r="F1820" t="s">
        <v>38</v>
      </c>
      <c r="G1820" t="s">
        <v>126</v>
      </c>
    </row>
    <row r="1821" spans="1:7" x14ac:dyDescent="0.35">
      <c r="A1821" t="s">
        <v>171</v>
      </c>
      <c r="B1821" s="7">
        <v>3.3691999999999998E-7</v>
      </c>
      <c r="D1821" t="s">
        <v>9</v>
      </c>
      <c r="E1821" t="s">
        <v>180</v>
      </c>
      <c r="F1821" t="s">
        <v>38</v>
      </c>
      <c r="G1821" t="s">
        <v>126</v>
      </c>
    </row>
    <row r="1822" spans="1:7" x14ac:dyDescent="0.35">
      <c r="A1822" t="s">
        <v>172</v>
      </c>
      <c r="B1822" s="7">
        <v>1.6846000000000001E-8</v>
      </c>
      <c r="D1822" t="s">
        <v>9</v>
      </c>
      <c r="E1822" t="s">
        <v>180</v>
      </c>
      <c r="F1822" t="s">
        <v>38</v>
      </c>
      <c r="G1822" t="s">
        <v>126</v>
      </c>
    </row>
    <row r="1823" spans="1:7" x14ac:dyDescent="0.35">
      <c r="A1823" t="s">
        <v>173</v>
      </c>
      <c r="B1823" s="7">
        <v>5.7757E-7</v>
      </c>
      <c r="D1823" t="s">
        <v>9</v>
      </c>
      <c r="E1823" t="s">
        <v>180</v>
      </c>
      <c r="F1823" t="s">
        <v>38</v>
      </c>
      <c r="G1823" t="s">
        <v>126</v>
      </c>
    </row>
    <row r="1824" spans="1:7" x14ac:dyDescent="0.35">
      <c r="A1824" t="s">
        <v>174</v>
      </c>
      <c r="B1824" s="7">
        <v>2.1658999999999999E-8</v>
      </c>
      <c r="D1824" t="s">
        <v>9</v>
      </c>
      <c r="E1824" t="s">
        <v>180</v>
      </c>
      <c r="F1824" t="s">
        <v>38</v>
      </c>
      <c r="G1824" t="s">
        <v>126</v>
      </c>
    </row>
    <row r="1825" spans="1:7" x14ac:dyDescent="0.35">
      <c r="A1825" t="s">
        <v>175</v>
      </c>
      <c r="B1825" s="7">
        <v>3.6097999999999997E-8</v>
      </c>
      <c r="D1825" t="s">
        <v>9</v>
      </c>
      <c r="E1825" t="s">
        <v>180</v>
      </c>
      <c r="F1825" t="s">
        <v>38</v>
      </c>
      <c r="G1825" t="s">
        <v>126</v>
      </c>
    </row>
    <row r="1826" spans="1:7" x14ac:dyDescent="0.35">
      <c r="A1826" t="s">
        <v>176</v>
      </c>
      <c r="B1826" s="7">
        <v>2.6472E-7</v>
      </c>
      <c r="D1826" t="s">
        <v>9</v>
      </c>
      <c r="E1826" t="s">
        <v>180</v>
      </c>
      <c r="F1826" t="s">
        <v>38</v>
      </c>
      <c r="G1826" t="s">
        <v>126</v>
      </c>
    </row>
    <row r="1827" spans="1:7" x14ac:dyDescent="0.35">
      <c r="A1827" t="s">
        <v>177</v>
      </c>
      <c r="B1827" s="7">
        <v>1.2032999999999999E-7</v>
      </c>
      <c r="D1827" t="s">
        <v>9</v>
      </c>
      <c r="E1827" t="s">
        <v>180</v>
      </c>
      <c r="F1827" t="s">
        <v>38</v>
      </c>
      <c r="G1827" t="s">
        <v>126</v>
      </c>
    </row>
    <row r="1828" spans="1:7" x14ac:dyDescent="0.35">
      <c r="A1828" t="s">
        <v>178</v>
      </c>
      <c r="B1828" s="7">
        <v>2.6436999999999998E-7</v>
      </c>
      <c r="D1828" t="s">
        <v>9</v>
      </c>
      <c r="E1828" t="s">
        <v>180</v>
      </c>
      <c r="F1828" t="s">
        <v>38</v>
      </c>
      <c r="G1828" t="s">
        <v>126</v>
      </c>
    </row>
    <row r="1829" spans="1:7" x14ac:dyDescent="0.35">
      <c r="A1829" t="s">
        <v>136</v>
      </c>
      <c r="B1829">
        <v>5.9736877488796199E-2</v>
      </c>
      <c r="D1829" t="s">
        <v>131</v>
      </c>
      <c r="E1829" t="s">
        <v>189</v>
      </c>
      <c r="F1829" t="s">
        <v>38</v>
      </c>
      <c r="G1829" t="s">
        <v>126</v>
      </c>
    </row>
    <row r="1830" spans="1:7" x14ac:dyDescent="0.35">
      <c r="A1830" t="s">
        <v>182</v>
      </c>
      <c r="B1830">
        <v>1.1639108E-2</v>
      </c>
      <c r="D1830" t="s">
        <v>9</v>
      </c>
      <c r="E1830" t="s">
        <v>189</v>
      </c>
      <c r="F1830" t="s">
        <v>38</v>
      </c>
      <c r="G1830" t="s">
        <v>126</v>
      </c>
    </row>
    <row r="1831" spans="1:7" x14ac:dyDescent="0.35">
      <c r="A1831" t="s">
        <v>136</v>
      </c>
      <c r="B1831">
        <v>1.4934219372198999E-2</v>
      </c>
      <c r="D1831" t="s">
        <v>131</v>
      </c>
      <c r="E1831" t="s">
        <v>181</v>
      </c>
      <c r="F1831" t="s">
        <v>38</v>
      </c>
      <c r="G1831" t="s">
        <v>126</v>
      </c>
    </row>
    <row r="1832" spans="1:7" x14ac:dyDescent="0.35">
      <c r="A1832" t="s">
        <v>183</v>
      </c>
      <c r="B1832" s="7">
        <v>9.7541999999999995E-5</v>
      </c>
      <c r="D1832" t="s">
        <v>9</v>
      </c>
      <c r="E1832" t="s">
        <v>181</v>
      </c>
      <c r="F1832" t="s">
        <v>38</v>
      </c>
      <c r="G1832" t="s">
        <v>126</v>
      </c>
    </row>
    <row r="1833" spans="1:7" x14ac:dyDescent="0.35">
      <c r="A1833" t="s">
        <v>184</v>
      </c>
      <c r="B1833" s="7">
        <v>7.5147999999999996E-6</v>
      </c>
      <c r="D1833" t="s">
        <v>9</v>
      </c>
      <c r="E1833" t="s">
        <v>181</v>
      </c>
      <c r="F1833" t="s">
        <v>38</v>
      </c>
      <c r="G1833" t="s">
        <v>126</v>
      </c>
    </row>
    <row r="1835" spans="1:7" ht="15.5" x14ac:dyDescent="0.35">
      <c r="A1835" s="1" t="s">
        <v>1</v>
      </c>
      <c r="B1835" s="1" t="s">
        <v>442</v>
      </c>
    </row>
    <row r="1836" spans="1:7" x14ac:dyDescent="0.35">
      <c r="A1836" t="s">
        <v>2</v>
      </c>
      <c r="B1836" t="s">
        <v>3</v>
      </c>
    </row>
    <row r="1837" spans="1:7" x14ac:dyDescent="0.35">
      <c r="A1837" t="s">
        <v>4</v>
      </c>
      <c r="B1837">
        <v>1</v>
      </c>
    </row>
    <row r="1838" spans="1:7" ht="15.5" x14ac:dyDescent="0.35">
      <c r="A1838" t="s">
        <v>5</v>
      </c>
      <c r="B1838" s="2" t="s">
        <v>443</v>
      </c>
    </row>
    <row r="1839" spans="1:7" x14ac:dyDescent="0.35">
      <c r="A1839" t="s">
        <v>6</v>
      </c>
      <c r="B1839" t="s">
        <v>7</v>
      </c>
    </row>
    <row r="1840" spans="1:7" x14ac:dyDescent="0.35">
      <c r="A1840" t="s">
        <v>8</v>
      </c>
      <c r="B1840" t="s">
        <v>9</v>
      </c>
    </row>
    <row r="1841" spans="1:8" x14ac:dyDescent="0.35">
      <c r="A1841" t="s">
        <v>10</v>
      </c>
      <c r="B1841" t="s">
        <v>11</v>
      </c>
    </row>
    <row r="1842" spans="1:8" x14ac:dyDescent="0.35">
      <c r="A1842" t="s">
        <v>28</v>
      </c>
      <c r="B1842" t="s">
        <v>578</v>
      </c>
    </row>
    <row r="1843" spans="1:8" ht="15.5" x14ac:dyDescent="0.35">
      <c r="A1843" s="1" t="s">
        <v>13</v>
      </c>
    </row>
    <row r="1844" spans="1:8" x14ac:dyDescent="0.35">
      <c r="A1844" t="s">
        <v>14</v>
      </c>
      <c r="B1844" t="s">
        <v>15</v>
      </c>
      <c r="C1844" t="s">
        <v>2</v>
      </c>
      <c r="D1844" t="s">
        <v>8</v>
      </c>
      <c r="E1844" t="s">
        <v>16</v>
      </c>
      <c r="F1844" t="s">
        <v>6</v>
      </c>
      <c r="G1844" t="s">
        <v>12</v>
      </c>
      <c r="H1844" t="s">
        <v>5</v>
      </c>
    </row>
    <row r="1845" spans="1:8" ht="15.5" x14ac:dyDescent="0.35">
      <c r="A1845" s="2" t="s">
        <v>442</v>
      </c>
      <c r="B1845">
        <v>1</v>
      </c>
      <c r="C1845" t="s">
        <v>3</v>
      </c>
      <c r="D1845" t="s">
        <v>9</v>
      </c>
      <c r="F1845" t="s">
        <v>18</v>
      </c>
      <c r="G1845" t="s">
        <v>19</v>
      </c>
      <c r="H1845" s="2" t="s">
        <v>443</v>
      </c>
    </row>
    <row r="1846" spans="1:8" ht="15.5" x14ac:dyDescent="0.35">
      <c r="A1846" s="2" t="s">
        <v>103</v>
      </c>
      <c r="B1846" s="6">
        <f>(1/((Allocation!$C$55*Allocation!$B$4*Allocation!$B$10)/1000))*Allocation!C60</f>
        <v>2.4594113593232314</v>
      </c>
      <c r="C1846" t="s">
        <v>3</v>
      </c>
      <c r="D1846" t="s">
        <v>9</v>
      </c>
      <c r="F1846" t="s">
        <v>21</v>
      </c>
      <c r="G1846" t="s">
        <v>19</v>
      </c>
      <c r="H1846" s="2" t="s">
        <v>444</v>
      </c>
    </row>
    <row r="1847" spans="1:8" ht="15.5" x14ac:dyDescent="0.35">
      <c r="A1847" s="2" t="s">
        <v>451</v>
      </c>
      <c r="B1847" s="4">
        <f>(23862*Allocation!$B$3)/(Allocation!$B$4*Allocation!$B$10)*Allocation!C60</f>
        <v>6.9718002298970818</v>
      </c>
      <c r="C1847" t="s">
        <v>33</v>
      </c>
      <c r="D1847" t="s">
        <v>20</v>
      </c>
      <c r="F1847" t="s">
        <v>21</v>
      </c>
      <c r="G1847" t="s">
        <v>450</v>
      </c>
      <c r="H1847" s="2" t="s">
        <v>452</v>
      </c>
    </row>
    <row r="1848" spans="1:8" ht="15.5" x14ac:dyDescent="0.35">
      <c r="A1848" s="2" t="s">
        <v>30</v>
      </c>
      <c r="B1848" s="4">
        <f>((2509*Allocation!$B$3/3.6)/(Allocation!$B$4*Allocation!$B$10))*Allocation!C60</f>
        <v>0.20362741756781791</v>
      </c>
      <c r="C1848" t="s">
        <v>3</v>
      </c>
      <c r="D1848" t="s">
        <v>31</v>
      </c>
      <c r="F1848" t="s">
        <v>21</v>
      </c>
      <c r="H1848" s="2" t="s">
        <v>32</v>
      </c>
    </row>
    <row r="1849" spans="1:8" ht="15.5" x14ac:dyDescent="0.35">
      <c r="A1849" s="2" t="s">
        <v>397</v>
      </c>
      <c r="B1849" s="4">
        <f>((2.74/1000)/(Allocation!$B$4*Allocation!$B$10))*Allocation!$C$60</f>
        <v>7.5877530040701659E-4</v>
      </c>
      <c r="C1849" t="s">
        <v>27</v>
      </c>
      <c r="D1849" t="s">
        <v>9</v>
      </c>
      <c r="F1849" t="s">
        <v>21</v>
      </c>
      <c r="G1849" t="s">
        <v>399</v>
      </c>
      <c r="H1849" s="2" t="s">
        <v>398</v>
      </c>
    </row>
    <row r="1850" spans="1:8" ht="15.5" x14ac:dyDescent="0.35">
      <c r="A1850" s="2" t="s">
        <v>263</v>
      </c>
      <c r="B1850" s="5">
        <f>((4.65/1000)/(Allocation!$B$4*Allocation!$B$10))*Allocation!$C$60</f>
        <v>1.2877026083549733E-3</v>
      </c>
      <c r="C1850" t="s">
        <v>33</v>
      </c>
      <c r="D1850" t="s">
        <v>9</v>
      </c>
      <c r="F1850" t="s">
        <v>21</v>
      </c>
      <c r="H1850" s="2" t="s">
        <v>264</v>
      </c>
    </row>
    <row r="1851" spans="1:8" ht="15.5" x14ac:dyDescent="0.35">
      <c r="A1851" s="2" t="s">
        <v>265</v>
      </c>
      <c r="B1851" s="5">
        <f>((17.82/1000)/(Allocation!$B$4*Allocation!$B$10))*Allocation!$C$60</f>
        <v>4.9348087055668E-3</v>
      </c>
      <c r="C1851" t="s">
        <v>266</v>
      </c>
      <c r="D1851" t="s">
        <v>9</v>
      </c>
      <c r="F1851" t="s">
        <v>21</v>
      </c>
      <c r="H1851" s="2" t="s">
        <v>267</v>
      </c>
    </row>
    <row r="1852" spans="1:8" ht="15.5" x14ac:dyDescent="0.35">
      <c r="A1852" s="2" t="s">
        <v>383</v>
      </c>
      <c r="B1852" s="4">
        <f>((10.66/1000)/(Allocation!$B$4*Allocation!$B$10))*Allocation!$C$60</f>
        <v>2.9520236139922613E-3</v>
      </c>
      <c r="C1852" t="s">
        <v>33</v>
      </c>
      <c r="D1852" t="s">
        <v>9</v>
      </c>
      <c r="F1852" t="s">
        <v>21</v>
      </c>
      <c r="G1852" t="s">
        <v>400</v>
      </c>
      <c r="H1852" s="2" t="s">
        <v>384</v>
      </c>
    </row>
    <row r="1853" spans="1:8" ht="15.5" x14ac:dyDescent="0.35">
      <c r="A1853" s="2" t="s">
        <v>401</v>
      </c>
      <c r="B1853" s="4">
        <f>((22.35/1000)/(Allocation!$B$4*Allocation!$B$10))*Allocation!$C$60</f>
        <v>6.1892802788674527E-3</v>
      </c>
      <c r="C1853" t="s">
        <v>27</v>
      </c>
      <c r="D1853" t="s">
        <v>9</v>
      </c>
      <c r="F1853" t="s">
        <v>21</v>
      </c>
      <c r="G1853" t="s">
        <v>403</v>
      </c>
      <c r="H1853" s="2" t="s">
        <v>402</v>
      </c>
    </row>
    <row r="1854" spans="1:8" x14ac:dyDescent="0.35">
      <c r="A1854" t="s">
        <v>201</v>
      </c>
      <c r="B1854" s="6">
        <f>(B1779*B1846)-Allocation!$B$13</f>
        <v>1.7168289897688866</v>
      </c>
      <c r="D1854" t="s">
        <v>9</v>
      </c>
      <c r="E1854" t="s">
        <v>39</v>
      </c>
      <c r="F1854" t="s">
        <v>38</v>
      </c>
      <c r="G1854" t="s">
        <v>441</v>
      </c>
    </row>
    <row r="1855" spans="1:8" x14ac:dyDescent="0.35">
      <c r="A1855" t="s">
        <v>319</v>
      </c>
      <c r="B1855" s="7">
        <f>1/(90000000*20)</f>
        <v>5.5555555555555553E-10</v>
      </c>
      <c r="C1855" t="s">
        <v>27</v>
      </c>
      <c r="D1855" t="s">
        <v>8</v>
      </c>
      <c r="F1855" t="s">
        <v>21</v>
      </c>
      <c r="G1855" t="s">
        <v>321</v>
      </c>
      <c r="H1855" t="s">
        <v>320</v>
      </c>
    </row>
    <row r="1856" spans="1:8" ht="15.5" x14ac:dyDescent="0.35">
      <c r="A1856" s="2"/>
      <c r="H1856" s="2"/>
    </row>
    <row r="1857" spans="1:8" ht="15.5" x14ac:dyDescent="0.35">
      <c r="A1857" s="1" t="s">
        <v>1</v>
      </c>
      <c r="B1857" s="1" t="s">
        <v>445</v>
      </c>
    </row>
    <row r="1858" spans="1:8" x14ac:dyDescent="0.35">
      <c r="A1858" t="s">
        <v>2</v>
      </c>
      <c r="B1858" t="s">
        <v>3</v>
      </c>
    </row>
    <row r="1859" spans="1:8" x14ac:dyDescent="0.35">
      <c r="A1859" t="s">
        <v>4</v>
      </c>
      <c r="B1859">
        <v>1</v>
      </c>
    </row>
    <row r="1860" spans="1:8" ht="15.5" x14ac:dyDescent="0.35">
      <c r="A1860" t="s">
        <v>5</v>
      </c>
      <c r="B1860" s="2" t="s">
        <v>443</v>
      </c>
    </row>
    <row r="1861" spans="1:8" x14ac:dyDescent="0.35">
      <c r="A1861" t="s">
        <v>6</v>
      </c>
      <c r="B1861" t="s">
        <v>7</v>
      </c>
    </row>
    <row r="1862" spans="1:8" x14ac:dyDescent="0.35">
      <c r="A1862" t="s">
        <v>8</v>
      </c>
      <c r="B1862" t="s">
        <v>9</v>
      </c>
    </row>
    <row r="1863" spans="1:8" x14ac:dyDescent="0.35">
      <c r="A1863" t="s">
        <v>10</v>
      </c>
      <c r="B1863" t="s">
        <v>11</v>
      </c>
    </row>
    <row r="1864" spans="1:8" x14ac:dyDescent="0.35">
      <c r="A1864" t="s">
        <v>28</v>
      </c>
      <c r="B1864" t="s">
        <v>579</v>
      </c>
    </row>
    <row r="1865" spans="1:8" ht="15.5" x14ac:dyDescent="0.35">
      <c r="A1865" s="1" t="s">
        <v>13</v>
      </c>
    </row>
    <row r="1866" spans="1:8" x14ac:dyDescent="0.35">
      <c r="A1866" t="s">
        <v>14</v>
      </c>
      <c r="B1866" t="s">
        <v>15</v>
      </c>
      <c r="C1866" t="s">
        <v>2</v>
      </c>
      <c r="D1866" t="s">
        <v>8</v>
      </c>
      <c r="E1866" t="s">
        <v>16</v>
      </c>
      <c r="F1866" t="s">
        <v>6</v>
      </c>
      <c r="G1866" t="s">
        <v>12</v>
      </c>
      <c r="H1866" t="s">
        <v>5</v>
      </c>
    </row>
    <row r="1867" spans="1:8" ht="15.5" x14ac:dyDescent="0.35">
      <c r="A1867" s="2" t="s">
        <v>445</v>
      </c>
      <c r="B1867">
        <v>1</v>
      </c>
      <c r="C1867" t="s">
        <v>3</v>
      </c>
      <c r="D1867" t="s">
        <v>9</v>
      </c>
      <c r="F1867" t="s">
        <v>18</v>
      </c>
      <c r="G1867" t="s">
        <v>19</v>
      </c>
      <c r="H1867" s="2" t="s">
        <v>443</v>
      </c>
    </row>
    <row r="1868" spans="1:8" ht="15.5" x14ac:dyDescent="0.35">
      <c r="A1868" s="2" t="s">
        <v>103</v>
      </c>
      <c r="B1868" s="6">
        <f>(1/((Allocation!$C$55*Allocation!$B$4*Allocation!$B$10)/1000))*Allocation!C61</f>
        <v>1.8111021980989699</v>
      </c>
      <c r="C1868" t="s">
        <v>3</v>
      </c>
      <c r="D1868" t="s">
        <v>9</v>
      </c>
      <c r="F1868" t="s">
        <v>21</v>
      </c>
      <c r="G1868" t="s">
        <v>19</v>
      </c>
      <c r="H1868" s="2" t="s">
        <v>444</v>
      </c>
    </row>
    <row r="1869" spans="1:8" ht="15.5" x14ac:dyDescent="0.35">
      <c r="A1869" s="2" t="s">
        <v>451</v>
      </c>
      <c r="B1869" s="4">
        <f>(23862*Allocation!$B$3)/(Allocation!$B$4*Allocation!$B$10)*Allocation!C61</f>
        <v>5.1340100846521439</v>
      </c>
      <c r="C1869" t="s">
        <v>33</v>
      </c>
      <c r="D1869" t="s">
        <v>20</v>
      </c>
      <c r="F1869" t="s">
        <v>21</v>
      </c>
      <c r="G1869" t="s">
        <v>450</v>
      </c>
      <c r="H1869" s="2" t="s">
        <v>452</v>
      </c>
    </row>
    <row r="1870" spans="1:8" ht="15.5" x14ac:dyDescent="0.35">
      <c r="A1870" s="2" t="s">
        <v>30</v>
      </c>
      <c r="B1870" s="4">
        <f>(2509*Allocation!$B$3/3.6)/(Allocation!$B$4*Allocation!$B$10)*Allocation!C61</f>
        <v>0.14995054086916701</v>
      </c>
      <c r="C1870" t="s">
        <v>3</v>
      </c>
      <c r="D1870" t="s">
        <v>31</v>
      </c>
      <c r="F1870" t="s">
        <v>21</v>
      </c>
      <c r="H1870" s="2" t="s">
        <v>32</v>
      </c>
    </row>
    <row r="1871" spans="1:8" ht="15.5" x14ac:dyDescent="0.35">
      <c r="A1871" s="2" t="s">
        <v>397</v>
      </c>
      <c r="B1871" s="4">
        <f>((2.74/1000)/(Allocation!$B$4*Allocation!$B$10))*Allocation!$C$61</f>
        <v>5.5875956221024562E-4</v>
      </c>
      <c r="C1871" t="s">
        <v>27</v>
      </c>
      <c r="D1871" t="s">
        <v>9</v>
      </c>
      <c r="F1871" t="s">
        <v>21</v>
      </c>
      <c r="G1871" t="s">
        <v>399</v>
      </c>
      <c r="H1871" s="2" t="s">
        <v>398</v>
      </c>
    </row>
    <row r="1872" spans="1:8" ht="15.5" x14ac:dyDescent="0.35">
      <c r="A1872" s="2" t="s">
        <v>263</v>
      </c>
      <c r="B1872" s="5">
        <f>((4.65/1000)/(Allocation!$B$4*Allocation!$B$10))*Allocation!$C$61</f>
        <v>9.4825984097724164E-4</v>
      </c>
      <c r="C1872" t="s">
        <v>33</v>
      </c>
      <c r="D1872" t="s">
        <v>9</v>
      </c>
      <c r="F1872" t="s">
        <v>21</v>
      </c>
      <c r="H1872" s="2" t="s">
        <v>264</v>
      </c>
    </row>
    <row r="1873" spans="1:8" ht="15.5" x14ac:dyDescent="0.35">
      <c r="A1873" s="2" t="s">
        <v>265</v>
      </c>
      <c r="B1873" s="5">
        <f>((17.82/1000)/(Allocation!$B$4*Allocation!$B$10))*Allocation!$C$61</f>
        <v>3.6339764228418155E-3</v>
      </c>
      <c r="C1873" t="s">
        <v>266</v>
      </c>
      <c r="D1873" t="s">
        <v>9</v>
      </c>
      <c r="F1873" t="s">
        <v>21</v>
      </c>
      <c r="H1873" s="2" t="s">
        <v>267</v>
      </c>
    </row>
    <row r="1874" spans="1:8" ht="15.5" x14ac:dyDescent="0.35">
      <c r="A1874" s="2" t="s">
        <v>383</v>
      </c>
      <c r="B1874" s="4">
        <f>((10.66/1000)/(Allocation!$B$4*Allocation!$B$10))*Allocation!$C$61</f>
        <v>2.173860194584386E-3</v>
      </c>
      <c r="C1874" t="s">
        <v>33</v>
      </c>
      <c r="D1874" t="s">
        <v>9</v>
      </c>
      <c r="F1874" t="s">
        <v>21</v>
      </c>
      <c r="G1874" t="s">
        <v>400</v>
      </c>
      <c r="H1874" s="2" t="s">
        <v>384</v>
      </c>
    </row>
    <row r="1875" spans="1:8" ht="15.5" x14ac:dyDescent="0.35">
      <c r="A1875" s="2" t="s">
        <v>401</v>
      </c>
      <c r="B1875" s="4">
        <f>((22.35/1000)/(Allocation!$B$4*Allocation!$B$10))*Allocation!$C$61</f>
        <v>4.5577650421164189E-3</v>
      </c>
      <c r="C1875" t="s">
        <v>27</v>
      </c>
      <c r="D1875" t="s">
        <v>9</v>
      </c>
      <c r="F1875" t="s">
        <v>21</v>
      </c>
      <c r="G1875" t="s">
        <v>403</v>
      </c>
      <c r="H1875" s="2" t="s">
        <v>402</v>
      </c>
    </row>
    <row r="1876" spans="1:8" x14ac:dyDescent="0.35">
      <c r="A1876" t="s">
        <v>201</v>
      </c>
      <c r="B1876" s="6">
        <f>(B1779*B1868)-Allocation!$B$13</f>
        <v>0.75973017505350904</v>
      </c>
      <c r="D1876" t="s">
        <v>9</v>
      </c>
      <c r="E1876" t="s">
        <v>39</v>
      </c>
      <c r="F1876" t="s">
        <v>38</v>
      </c>
      <c r="G1876" t="s">
        <v>441</v>
      </c>
    </row>
    <row r="1877" spans="1:8" x14ac:dyDescent="0.35">
      <c r="A1877" t="s">
        <v>319</v>
      </c>
      <c r="B1877" s="7">
        <f>1/(90000000*20)</f>
        <v>5.5555555555555553E-10</v>
      </c>
      <c r="C1877" t="s">
        <v>27</v>
      </c>
      <c r="D1877" t="s">
        <v>8</v>
      </c>
      <c r="F1877" t="s">
        <v>21</v>
      </c>
      <c r="G1877" t="s">
        <v>321</v>
      </c>
      <c r="H1877" t="s">
        <v>320</v>
      </c>
    </row>
    <row r="1878" spans="1:8" ht="15.5" x14ac:dyDescent="0.35">
      <c r="A1878" s="2"/>
      <c r="B1878" s="4"/>
      <c r="H1878" s="2"/>
    </row>
    <row r="1879" spans="1:8" ht="15.5" x14ac:dyDescent="0.35">
      <c r="A1879" s="1" t="s">
        <v>1</v>
      </c>
      <c r="B1879" s="1" t="s">
        <v>552</v>
      </c>
    </row>
    <row r="1880" spans="1:8" x14ac:dyDescent="0.35">
      <c r="A1880" t="s">
        <v>2</v>
      </c>
      <c r="B1880" t="s">
        <v>3</v>
      </c>
    </row>
    <row r="1881" spans="1:8" x14ac:dyDescent="0.35">
      <c r="A1881" t="s">
        <v>4</v>
      </c>
      <c r="B1881">
        <v>1</v>
      </c>
    </row>
    <row r="1882" spans="1:8" ht="15.5" x14ac:dyDescent="0.35">
      <c r="A1882" t="s">
        <v>5</v>
      </c>
      <c r="B1882" s="2" t="s">
        <v>443</v>
      </c>
    </row>
    <row r="1883" spans="1:8" x14ac:dyDescent="0.35">
      <c r="A1883" t="s">
        <v>6</v>
      </c>
      <c r="B1883" t="s">
        <v>7</v>
      </c>
    </row>
    <row r="1884" spans="1:8" x14ac:dyDescent="0.35">
      <c r="A1884" t="s">
        <v>8</v>
      </c>
      <c r="B1884" t="s">
        <v>9</v>
      </c>
    </row>
    <row r="1885" spans="1:8" x14ac:dyDescent="0.35">
      <c r="A1885" t="s">
        <v>10</v>
      </c>
      <c r="B1885" t="s">
        <v>11</v>
      </c>
    </row>
    <row r="1886" spans="1:8" x14ac:dyDescent="0.35">
      <c r="A1886" t="s">
        <v>28</v>
      </c>
      <c r="B1886" t="s">
        <v>580</v>
      </c>
    </row>
    <row r="1887" spans="1:8" ht="15.5" x14ac:dyDescent="0.35">
      <c r="A1887" s="1" t="s">
        <v>13</v>
      </c>
    </row>
    <row r="1888" spans="1:8" x14ac:dyDescent="0.35">
      <c r="A1888" t="s">
        <v>14</v>
      </c>
      <c r="B1888" t="s">
        <v>15</v>
      </c>
      <c r="C1888" t="s">
        <v>2</v>
      </c>
      <c r="D1888" t="s">
        <v>8</v>
      </c>
      <c r="E1888" t="s">
        <v>16</v>
      </c>
      <c r="F1888" t="s">
        <v>6</v>
      </c>
      <c r="G1888" t="s">
        <v>12</v>
      </c>
      <c r="H1888" t="s">
        <v>5</v>
      </c>
    </row>
    <row r="1889" spans="1:9" ht="15.5" x14ac:dyDescent="0.35">
      <c r="A1889" s="2" t="s">
        <v>552</v>
      </c>
      <c r="B1889">
        <v>1</v>
      </c>
      <c r="C1889" t="s">
        <v>3</v>
      </c>
      <c r="D1889" t="s">
        <v>9</v>
      </c>
      <c r="F1889" t="s">
        <v>18</v>
      </c>
      <c r="G1889" t="s">
        <v>19</v>
      </c>
      <c r="H1889" s="2" t="s">
        <v>443</v>
      </c>
    </row>
    <row r="1890" spans="1:9" ht="15.5" x14ac:dyDescent="0.35">
      <c r="A1890" s="2" t="s">
        <v>103</v>
      </c>
      <c r="B1890" s="6">
        <f>(1/((Allocation!$C$55*Allocation!$B$4*Allocation!$B$10)/1000))</f>
        <v>2.973895234973678</v>
      </c>
      <c r="C1890" t="s">
        <v>3</v>
      </c>
      <c r="D1890" t="s">
        <v>9</v>
      </c>
      <c r="F1890" t="s">
        <v>21</v>
      </c>
      <c r="G1890" t="s">
        <v>19</v>
      </c>
      <c r="H1890" s="2" t="s">
        <v>444</v>
      </c>
    </row>
    <row r="1891" spans="1:9" ht="15.5" x14ac:dyDescent="0.35">
      <c r="A1891" s="2" t="s">
        <v>451</v>
      </c>
      <c r="B1891" s="4">
        <f>(23862*Allocation!$B$3)/(Allocation!$B$4*Allocation!$B$10)</f>
        <v>8.43023002405935</v>
      </c>
      <c r="C1891" t="s">
        <v>33</v>
      </c>
      <c r="D1891" t="s">
        <v>20</v>
      </c>
      <c r="F1891" t="s">
        <v>21</v>
      </c>
      <c r="G1891" t="s">
        <v>450</v>
      </c>
      <c r="H1891" s="2" t="s">
        <v>452</v>
      </c>
    </row>
    <row r="1892" spans="1:9" ht="15.5" x14ac:dyDescent="0.35">
      <c r="A1892" s="2" t="s">
        <v>30</v>
      </c>
      <c r="B1892" s="4">
        <f>(2509*Allocation!$B$3/3.6)/(Allocation!$B$4*Allocation!$B$10)</f>
        <v>0.24622420503968309</v>
      </c>
      <c r="C1892" t="s">
        <v>3</v>
      </c>
      <c r="D1892" t="s">
        <v>31</v>
      </c>
      <c r="F1892" t="s">
        <v>21</v>
      </c>
      <c r="H1892" s="2" t="s">
        <v>32</v>
      </c>
    </row>
    <row r="1893" spans="1:9" ht="15.5" x14ac:dyDescent="0.35">
      <c r="A1893" s="2" t="s">
        <v>397</v>
      </c>
      <c r="B1893" s="4">
        <f>((2.74/1000)/(Allocation!$B$4*Allocation!$B$10))</f>
        <v>9.1750338622372017E-4</v>
      </c>
      <c r="C1893" t="s">
        <v>27</v>
      </c>
      <c r="D1893" t="s">
        <v>9</v>
      </c>
      <c r="F1893" t="s">
        <v>21</v>
      </c>
      <c r="G1893" t="s">
        <v>399</v>
      </c>
      <c r="H1893" s="2" t="s">
        <v>398</v>
      </c>
    </row>
    <row r="1894" spans="1:9" ht="15.5" x14ac:dyDescent="0.35">
      <c r="A1894" s="2" t="s">
        <v>263</v>
      </c>
      <c r="B1894" s="5">
        <f>((4.65/1000)/(Allocation!$B$4*Allocation!$B$10))</f>
        <v>1.5570769145767515E-3</v>
      </c>
      <c r="C1894" t="s">
        <v>33</v>
      </c>
      <c r="D1894" t="s">
        <v>9</v>
      </c>
      <c r="F1894" t="s">
        <v>21</v>
      </c>
      <c r="H1894" s="2" t="s">
        <v>264</v>
      </c>
    </row>
    <row r="1895" spans="1:9" ht="15.5" x14ac:dyDescent="0.35">
      <c r="A1895" s="2" t="s">
        <v>265</v>
      </c>
      <c r="B1895" s="5">
        <f>((17.82/1000)/(Allocation!$B$4*Allocation!$B$10))</f>
        <v>5.9671205629586461E-3</v>
      </c>
      <c r="C1895" t="s">
        <v>266</v>
      </c>
      <c r="D1895" t="s">
        <v>9</v>
      </c>
      <c r="F1895" t="s">
        <v>21</v>
      </c>
      <c r="H1895" s="2" t="s">
        <v>267</v>
      </c>
    </row>
    <row r="1896" spans="1:9" ht="15.5" x14ac:dyDescent="0.35">
      <c r="A1896" s="2" t="s">
        <v>383</v>
      </c>
      <c r="B1896" s="4">
        <f>((10.66/1000)/(Allocation!$B$4*Allocation!$B$10))</f>
        <v>3.5695569697608964E-3</v>
      </c>
      <c r="C1896" t="s">
        <v>33</v>
      </c>
      <c r="D1896" t="s">
        <v>9</v>
      </c>
      <c r="F1896" t="s">
        <v>21</v>
      </c>
      <c r="G1896" t="s">
        <v>400</v>
      </c>
      <c r="H1896" s="2" t="s">
        <v>384</v>
      </c>
    </row>
    <row r="1897" spans="1:9" ht="15.5" x14ac:dyDescent="0.35">
      <c r="A1897" s="2" t="s">
        <v>401</v>
      </c>
      <c r="B1897" s="4">
        <f>((22.35/1000)/(Allocation!$B$4*Allocation!$B$10))</f>
        <v>7.484014847481805E-3</v>
      </c>
      <c r="C1897" t="s">
        <v>27</v>
      </c>
      <c r="D1897" t="s">
        <v>9</v>
      </c>
      <c r="F1897" t="s">
        <v>21</v>
      </c>
      <c r="G1897" t="s">
        <v>403</v>
      </c>
      <c r="H1897" s="2" t="s">
        <v>402</v>
      </c>
    </row>
    <row r="1898" spans="1:9" x14ac:dyDescent="0.35">
      <c r="A1898" t="s">
        <v>201</v>
      </c>
      <c r="B1898" s="6">
        <f>(B1779*B1890)-Allocation!$B$13</f>
        <v>2.4763615353916411</v>
      </c>
      <c r="D1898" t="s">
        <v>9</v>
      </c>
      <c r="E1898" t="s">
        <v>39</v>
      </c>
      <c r="F1898" t="s">
        <v>38</v>
      </c>
      <c r="G1898" t="s">
        <v>441</v>
      </c>
    </row>
    <row r="1899" spans="1:9" x14ac:dyDescent="0.35">
      <c r="A1899" t="s">
        <v>319</v>
      </c>
      <c r="B1899" s="7">
        <f>1/(90000000*20)</f>
        <v>5.5555555555555553E-10</v>
      </c>
      <c r="C1899" t="s">
        <v>27</v>
      </c>
      <c r="D1899" t="s">
        <v>8</v>
      </c>
      <c r="F1899" t="s">
        <v>21</v>
      </c>
      <c r="G1899" t="s">
        <v>321</v>
      </c>
      <c r="H1899" t="s">
        <v>320</v>
      </c>
    </row>
    <row r="1900" spans="1:9" x14ac:dyDescent="0.35">
      <c r="A1900" s="38" t="s">
        <v>543</v>
      </c>
      <c r="B1900" s="68">
        <f>Allocation!C56/Allocation!B4*Allocation!B10*-1*0.27</f>
        <v>-0.14373294505680315</v>
      </c>
      <c r="C1900" t="s">
        <v>27</v>
      </c>
      <c r="D1900" t="s">
        <v>9</v>
      </c>
      <c r="E1900" s="38"/>
      <c r="F1900" s="38" t="s">
        <v>21</v>
      </c>
      <c r="G1900" s="38" t="s">
        <v>594</v>
      </c>
      <c r="H1900" s="38" t="s">
        <v>544</v>
      </c>
      <c r="I1900" s="38"/>
    </row>
    <row r="1901" spans="1:9" x14ac:dyDescent="0.35">
      <c r="A1901" s="38" t="s">
        <v>571</v>
      </c>
      <c r="B1901" s="72">
        <f>Allocation!C58*Allocation!B6/Allocation!B8/1000*B1890*-1</f>
        <v>-2.8678595966921405E-2</v>
      </c>
      <c r="C1901" t="s">
        <v>27</v>
      </c>
      <c r="D1901" t="s">
        <v>9</v>
      </c>
      <c r="E1901" s="38"/>
      <c r="F1901" s="38" t="s">
        <v>21</v>
      </c>
      <c r="G1901" s="38" t="s">
        <v>573</v>
      </c>
      <c r="H1901" s="38" t="s">
        <v>572</v>
      </c>
      <c r="I1901" s="38"/>
    </row>
    <row r="1902" spans="1:9" ht="15.5" x14ac:dyDescent="0.35">
      <c r="A1902" s="2"/>
      <c r="B1902" s="4"/>
      <c r="H1902" s="2"/>
    </row>
    <row r="1903" spans="1:9" ht="15.5" x14ac:dyDescent="0.35">
      <c r="A1903" s="1" t="s">
        <v>1</v>
      </c>
      <c r="B1903" s="1" t="s">
        <v>575</v>
      </c>
    </row>
    <row r="1904" spans="1:9" x14ac:dyDescent="0.35">
      <c r="A1904" t="s">
        <v>2</v>
      </c>
      <c r="B1904" t="s">
        <v>3</v>
      </c>
    </row>
    <row r="1905" spans="1:8" x14ac:dyDescent="0.35">
      <c r="A1905" t="s">
        <v>4</v>
      </c>
      <c r="B1905">
        <v>1</v>
      </c>
    </row>
    <row r="1906" spans="1:8" ht="15.5" x14ac:dyDescent="0.35">
      <c r="A1906" t="s">
        <v>5</v>
      </c>
      <c r="B1906" s="2" t="s">
        <v>443</v>
      </c>
    </row>
    <row r="1907" spans="1:8" x14ac:dyDescent="0.35">
      <c r="A1907" t="s">
        <v>6</v>
      </c>
      <c r="B1907" t="s">
        <v>7</v>
      </c>
    </row>
    <row r="1908" spans="1:8" x14ac:dyDescent="0.35">
      <c r="A1908" t="s">
        <v>8</v>
      </c>
      <c r="B1908" t="s">
        <v>9</v>
      </c>
    </row>
    <row r="1909" spans="1:8" x14ac:dyDescent="0.35">
      <c r="A1909" t="s">
        <v>10</v>
      </c>
      <c r="B1909" t="s">
        <v>11</v>
      </c>
    </row>
    <row r="1910" spans="1:8" x14ac:dyDescent="0.35">
      <c r="A1910" t="s">
        <v>28</v>
      </c>
      <c r="B1910" t="s">
        <v>581</v>
      </c>
    </row>
    <row r="1911" spans="1:8" ht="15.5" x14ac:dyDescent="0.35">
      <c r="A1911" s="1" t="s">
        <v>13</v>
      </c>
    </row>
    <row r="1912" spans="1:8" x14ac:dyDescent="0.35">
      <c r="A1912" t="s">
        <v>14</v>
      </c>
      <c r="B1912" t="s">
        <v>15</v>
      </c>
      <c r="C1912" t="s">
        <v>2</v>
      </c>
      <c r="D1912" t="s">
        <v>8</v>
      </c>
      <c r="E1912" t="s">
        <v>16</v>
      </c>
      <c r="F1912" t="s">
        <v>6</v>
      </c>
      <c r="G1912" t="s">
        <v>12</v>
      </c>
      <c r="H1912" t="s">
        <v>5</v>
      </c>
    </row>
    <row r="1913" spans="1:8" ht="15.5" x14ac:dyDescent="0.35">
      <c r="A1913" s="2" t="s">
        <v>575</v>
      </c>
      <c r="B1913">
        <v>1</v>
      </c>
      <c r="C1913" t="s">
        <v>3</v>
      </c>
      <c r="D1913" t="s">
        <v>9</v>
      </c>
      <c r="F1913" t="s">
        <v>18</v>
      </c>
      <c r="G1913" t="s">
        <v>19</v>
      </c>
      <c r="H1913" s="2" t="s">
        <v>443</v>
      </c>
    </row>
    <row r="1914" spans="1:8" ht="15.5" x14ac:dyDescent="0.35">
      <c r="A1914" s="2" t="s">
        <v>103</v>
      </c>
      <c r="B1914" s="6">
        <f>(1/((Allocation!$C$55*Allocation!$B$4*Allocation!$B$10)/1000))*Allocation!C60</f>
        <v>2.4594113593232314</v>
      </c>
      <c r="C1914" t="s">
        <v>3</v>
      </c>
      <c r="D1914" t="s">
        <v>9</v>
      </c>
      <c r="F1914" t="s">
        <v>21</v>
      </c>
      <c r="G1914" t="s">
        <v>19</v>
      </c>
      <c r="H1914" s="2" t="s">
        <v>444</v>
      </c>
    </row>
    <row r="1915" spans="1:8" ht="15.5" x14ac:dyDescent="0.35">
      <c r="A1915" s="2" t="s">
        <v>451</v>
      </c>
      <c r="B1915" s="4">
        <f>(23862*Allocation!$B$3)/(Allocation!$B$4*Allocation!$B$10)*Allocation!C60</f>
        <v>6.9718002298970818</v>
      </c>
      <c r="C1915" t="s">
        <v>33</v>
      </c>
      <c r="D1915" t="s">
        <v>20</v>
      </c>
      <c r="F1915" t="s">
        <v>21</v>
      </c>
      <c r="G1915" t="s">
        <v>450</v>
      </c>
      <c r="H1915" s="2" t="s">
        <v>452</v>
      </c>
    </row>
    <row r="1916" spans="1:8" ht="15.5" x14ac:dyDescent="0.35">
      <c r="A1916" s="2" t="s">
        <v>30</v>
      </c>
      <c r="B1916" s="4">
        <f>((2509*Allocation!$B$3/3.6)/(Allocation!$B$4*Allocation!$B$10)+(0.18*((B1779*B1914)-Allocation!$B$13))*Allocation!C60)</f>
        <v>0.50179136845667949</v>
      </c>
      <c r="C1916" t="s">
        <v>3</v>
      </c>
      <c r="D1916" t="s">
        <v>31</v>
      </c>
      <c r="F1916" t="s">
        <v>21</v>
      </c>
      <c r="H1916" s="2" t="s">
        <v>32</v>
      </c>
    </row>
    <row r="1917" spans="1:8" ht="15.5" x14ac:dyDescent="0.35">
      <c r="A1917" s="2" t="s">
        <v>397</v>
      </c>
      <c r="B1917" s="4">
        <f>((2.74/1000)/(Allocation!$B$4*Allocation!$B$10))*Allocation!$C$60</f>
        <v>7.5877530040701659E-4</v>
      </c>
      <c r="C1917" t="s">
        <v>27</v>
      </c>
      <c r="D1917" t="s">
        <v>9</v>
      </c>
      <c r="F1917" t="s">
        <v>21</v>
      </c>
      <c r="G1917" t="s">
        <v>399</v>
      </c>
      <c r="H1917" s="2" t="s">
        <v>398</v>
      </c>
    </row>
    <row r="1918" spans="1:8" ht="15.5" x14ac:dyDescent="0.35">
      <c r="A1918" s="2" t="s">
        <v>263</v>
      </c>
      <c r="B1918" s="5">
        <f>((4.65/1000)/(Allocation!$B$4*Allocation!$B$10))*Allocation!$C$60</f>
        <v>1.2877026083549733E-3</v>
      </c>
      <c r="C1918" t="s">
        <v>33</v>
      </c>
      <c r="D1918" t="s">
        <v>9</v>
      </c>
      <c r="F1918" t="s">
        <v>21</v>
      </c>
      <c r="H1918" s="2" t="s">
        <v>264</v>
      </c>
    </row>
    <row r="1919" spans="1:8" ht="15.5" x14ac:dyDescent="0.35">
      <c r="A1919" s="2" t="s">
        <v>265</v>
      </c>
      <c r="B1919" s="5">
        <f>((17.82/1000)/(Allocation!$B$4*Allocation!$B$10))*Allocation!$C$60</f>
        <v>4.9348087055668E-3</v>
      </c>
      <c r="C1919" t="s">
        <v>266</v>
      </c>
      <c r="D1919" t="s">
        <v>9</v>
      </c>
      <c r="F1919" t="s">
        <v>21</v>
      </c>
      <c r="H1919" s="2" t="s">
        <v>267</v>
      </c>
    </row>
    <row r="1920" spans="1:8" ht="15.5" x14ac:dyDescent="0.35">
      <c r="A1920" s="2" t="s">
        <v>383</v>
      </c>
      <c r="B1920" s="4">
        <f>((10.66/1000)/(Allocation!$B$4*Allocation!$B$10))*Allocation!$C$60</f>
        <v>2.9520236139922613E-3</v>
      </c>
      <c r="C1920" t="s">
        <v>33</v>
      </c>
      <c r="D1920" t="s">
        <v>9</v>
      </c>
      <c r="F1920" t="s">
        <v>21</v>
      </c>
      <c r="G1920" t="s">
        <v>400</v>
      </c>
      <c r="H1920" s="2" t="s">
        <v>384</v>
      </c>
    </row>
    <row r="1921" spans="1:8" ht="15.5" x14ac:dyDescent="0.35">
      <c r="A1921" s="2" t="s">
        <v>401</v>
      </c>
      <c r="B1921" s="4">
        <f>((22.35/1000)/(Allocation!$B$4*Allocation!$B$10))*Allocation!$C$60</f>
        <v>6.1892802788674527E-3</v>
      </c>
      <c r="C1921" t="s">
        <v>27</v>
      </c>
      <c r="D1921" t="s">
        <v>9</v>
      </c>
      <c r="F1921" t="s">
        <v>21</v>
      </c>
      <c r="G1921" t="s">
        <v>403</v>
      </c>
      <c r="H1921" s="2" t="s">
        <v>402</v>
      </c>
    </row>
    <row r="1922" spans="1:8" x14ac:dyDescent="0.35">
      <c r="A1922" t="s">
        <v>201</v>
      </c>
      <c r="B1922" s="6">
        <f>((B1779*B1914)-Allocation!$B$13)*(1-0.975)</f>
        <v>4.2920724744222205E-2</v>
      </c>
      <c r="D1922" t="s">
        <v>9</v>
      </c>
      <c r="E1922" t="s">
        <v>39</v>
      </c>
      <c r="F1922" t="s">
        <v>38</v>
      </c>
      <c r="G1922" t="s">
        <v>441</v>
      </c>
    </row>
    <row r="1923" spans="1:8" x14ac:dyDescent="0.35">
      <c r="A1923" t="s">
        <v>319</v>
      </c>
      <c r="B1923" s="7">
        <f>1/(90000000*20)</f>
        <v>5.5555555555555553E-10</v>
      </c>
      <c r="C1923" t="s">
        <v>27</v>
      </c>
      <c r="D1923" t="s">
        <v>8</v>
      </c>
      <c r="F1923" t="s">
        <v>21</v>
      </c>
      <c r="G1923" t="s">
        <v>321</v>
      </c>
      <c r="H1923" t="s">
        <v>320</v>
      </c>
    </row>
    <row r="1924" spans="1:8" ht="15.5" x14ac:dyDescent="0.35">
      <c r="A1924" s="2"/>
      <c r="H1924" s="2"/>
    </row>
    <row r="1925" spans="1:8" ht="15.5" x14ac:dyDescent="0.35">
      <c r="A1925" s="1" t="s">
        <v>1</v>
      </c>
      <c r="B1925" s="1" t="s">
        <v>576</v>
      </c>
    </row>
    <row r="1926" spans="1:8" x14ac:dyDescent="0.35">
      <c r="A1926" t="s">
        <v>2</v>
      </c>
      <c r="B1926" t="s">
        <v>3</v>
      </c>
    </row>
    <row r="1927" spans="1:8" x14ac:dyDescent="0.35">
      <c r="A1927" t="s">
        <v>4</v>
      </c>
      <c r="B1927">
        <v>1</v>
      </c>
    </row>
    <row r="1928" spans="1:8" ht="15.5" x14ac:dyDescent="0.35">
      <c r="A1928" t="s">
        <v>5</v>
      </c>
      <c r="B1928" s="2" t="s">
        <v>443</v>
      </c>
    </row>
    <row r="1929" spans="1:8" x14ac:dyDescent="0.35">
      <c r="A1929" t="s">
        <v>6</v>
      </c>
      <c r="B1929" t="s">
        <v>7</v>
      </c>
    </row>
    <row r="1930" spans="1:8" x14ac:dyDescent="0.35">
      <c r="A1930" t="s">
        <v>8</v>
      </c>
      <c r="B1930" t="s">
        <v>9</v>
      </c>
    </row>
    <row r="1931" spans="1:8" x14ac:dyDescent="0.35">
      <c r="A1931" t="s">
        <v>10</v>
      </c>
      <c r="B1931" t="s">
        <v>11</v>
      </c>
    </row>
    <row r="1932" spans="1:8" x14ac:dyDescent="0.35">
      <c r="A1932" t="s">
        <v>28</v>
      </c>
      <c r="B1932" t="s">
        <v>582</v>
      </c>
    </row>
    <row r="1933" spans="1:8" ht="15.5" x14ac:dyDescent="0.35">
      <c r="A1933" s="1" t="s">
        <v>13</v>
      </c>
    </row>
    <row r="1934" spans="1:8" x14ac:dyDescent="0.35">
      <c r="A1934" t="s">
        <v>14</v>
      </c>
      <c r="B1934" t="s">
        <v>15</v>
      </c>
      <c r="C1934" t="s">
        <v>2</v>
      </c>
      <c r="D1934" t="s">
        <v>8</v>
      </c>
      <c r="E1934" t="s">
        <v>16</v>
      </c>
      <c r="F1934" t="s">
        <v>6</v>
      </c>
      <c r="G1934" t="s">
        <v>12</v>
      </c>
      <c r="H1934" t="s">
        <v>5</v>
      </c>
    </row>
    <row r="1935" spans="1:8" ht="15.5" x14ac:dyDescent="0.35">
      <c r="A1935" s="2" t="s">
        <v>576</v>
      </c>
      <c r="B1935">
        <v>1</v>
      </c>
      <c r="C1935" t="s">
        <v>3</v>
      </c>
      <c r="D1935" t="s">
        <v>9</v>
      </c>
      <c r="F1935" t="s">
        <v>18</v>
      </c>
      <c r="G1935" t="s">
        <v>19</v>
      </c>
      <c r="H1935" s="2" t="s">
        <v>443</v>
      </c>
    </row>
    <row r="1936" spans="1:8" ht="15.5" x14ac:dyDescent="0.35">
      <c r="A1936" s="2" t="s">
        <v>103</v>
      </c>
      <c r="B1936" s="6">
        <f>(1/((Allocation!$C$55*Allocation!$B$4*Allocation!$B$10)/1000))*Allocation!C61</f>
        <v>1.8111021980989699</v>
      </c>
      <c r="C1936" t="s">
        <v>3</v>
      </c>
      <c r="D1936" t="s">
        <v>9</v>
      </c>
      <c r="F1936" t="s">
        <v>21</v>
      </c>
      <c r="G1936" t="s">
        <v>19</v>
      </c>
      <c r="H1936" s="2" t="s">
        <v>444</v>
      </c>
    </row>
    <row r="1937" spans="1:8" ht="15.5" x14ac:dyDescent="0.35">
      <c r="A1937" s="2" t="s">
        <v>451</v>
      </c>
      <c r="B1937" s="4">
        <f>(23862*Allocation!$B$3)/(Allocation!$B$4*Allocation!$B$10)*Allocation!C61</f>
        <v>5.1340100846521439</v>
      </c>
      <c r="C1937" t="s">
        <v>33</v>
      </c>
      <c r="D1937" t="s">
        <v>20</v>
      </c>
      <c r="F1937" t="s">
        <v>21</v>
      </c>
      <c r="G1937" t="s">
        <v>450</v>
      </c>
      <c r="H1937" s="2" t="s">
        <v>452</v>
      </c>
    </row>
    <row r="1938" spans="1:8" ht="15.5" x14ac:dyDescent="0.35">
      <c r="A1938" s="2" t="s">
        <v>30</v>
      </c>
      <c r="B1938" s="4">
        <f>((2509*Allocation!$B$3/3.6)/(Allocation!$B$4*Allocation!$B$10)+(0.18*((B1779*B1936)-Allocation!$B$13)))*Allocation!C61</f>
        <v>0.23323216265853267</v>
      </c>
      <c r="C1938" t="s">
        <v>3</v>
      </c>
      <c r="D1938" t="s">
        <v>31</v>
      </c>
      <c r="F1938" t="s">
        <v>21</v>
      </c>
      <c r="H1938" s="2" t="s">
        <v>32</v>
      </c>
    </row>
    <row r="1939" spans="1:8" ht="15.5" x14ac:dyDescent="0.35">
      <c r="A1939" s="2" t="s">
        <v>397</v>
      </c>
      <c r="B1939" s="4">
        <f>((2.74/1000)/(Allocation!$B$4*Allocation!$B$10))*Allocation!$C$61</f>
        <v>5.5875956221024562E-4</v>
      </c>
      <c r="C1939" t="s">
        <v>27</v>
      </c>
      <c r="D1939" t="s">
        <v>9</v>
      </c>
      <c r="F1939" t="s">
        <v>21</v>
      </c>
      <c r="G1939" t="s">
        <v>399</v>
      </c>
      <c r="H1939" s="2" t="s">
        <v>398</v>
      </c>
    </row>
    <row r="1940" spans="1:8" ht="15.5" x14ac:dyDescent="0.35">
      <c r="A1940" s="2" t="s">
        <v>263</v>
      </c>
      <c r="B1940" s="5">
        <f>((4.65/1000)/(Allocation!$B$4*Allocation!$B$10))*Allocation!$C$61</f>
        <v>9.4825984097724164E-4</v>
      </c>
      <c r="C1940" t="s">
        <v>33</v>
      </c>
      <c r="D1940" t="s">
        <v>9</v>
      </c>
      <c r="F1940" t="s">
        <v>21</v>
      </c>
      <c r="H1940" s="2" t="s">
        <v>264</v>
      </c>
    </row>
    <row r="1941" spans="1:8" ht="15.5" x14ac:dyDescent="0.35">
      <c r="A1941" s="2" t="s">
        <v>265</v>
      </c>
      <c r="B1941" s="5">
        <f>((17.82/1000)/(Allocation!$B$4*Allocation!$B$10))*Allocation!$C$61</f>
        <v>3.6339764228418155E-3</v>
      </c>
      <c r="C1941" t="s">
        <v>266</v>
      </c>
      <c r="D1941" t="s">
        <v>9</v>
      </c>
      <c r="F1941" t="s">
        <v>21</v>
      </c>
      <c r="H1941" s="2" t="s">
        <v>267</v>
      </c>
    </row>
    <row r="1942" spans="1:8" ht="15.5" x14ac:dyDescent="0.35">
      <c r="A1942" s="2" t="s">
        <v>383</v>
      </c>
      <c r="B1942" s="4">
        <f>((10.66/1000)/(Allocation!$B$4*Allocation!$B$10))*Allocation!$C$61</f>
        <v>2.173860194584386E-3</v>
      </c>
      <c r="C1942" t="s">
        <v>33</v>
      </c>
      <c r="D1942" t="s">
        <v>9</v>
      </c>
      <c r="F1942" t="s">
        <v>21</v>
      </c>
      <c r="G1942" t="s">
        <v>400</v>
      </c>
      <c r="H1942" s="2" t="s">
        <v>384</v>
      </c>
    </row>
    <row r="1943" spans="1:8" ht="15.5" x14ac:dyDescent="0.35">
      <c r="A1943" s="2" t="s">
        <v>401</v>
      </c>
      <c r="B1943" s="4">
        <f>((22.35/1000)/(Allocation!$B$4*Allocation!$B$10))*Allocation!$C$61</f>
        <v>4.5577650421164189E-3</v>
      </c>
      <c r="C1943" t="s">
        <v>27</v>
      </c>
      <c r="D1943" t="s">
        <v>9</v>
      </c>
      <c r="F1943" t="s">
        <v>21</v>
      </c>
      <c r="G1943" t="s">
        <v>403</v>
      </c>
      <c r="H1943" s="2" t="s">
        <v>402</v>
      </c>
    </row>
    <row r="1944" spans="1:8" x14ac:dyDescent="0.35">
      <c r="A1944" t="s">
        <v>201</v>
      </c>
      <c r="B1944" s="6">
        <f>((B1779*B1936)-Allocation!$B$13)*(1-0.975)</f>
        <v>1.8993254376337743E-2</v>
      </c>
      <c r="D1944" t="s">
        <v>9</v>
      </c>
      <c r="E1944" t="s">
        <v>39</v>
      </c>
      <c r="F1944" t="s">
        <v>38</v>
      </c>
      <c r="G1944" t="s">
        <v>441</v>
      </c>
    </row>
    <row r="1945" spans="1:8" x14ac:dyDescent="0.35">
      <c r="A1945" t="s">
        <v>319</v>
      </c>
      <c r="B1945" s="7">
        <f>1/(90000000*20)</f>
        <v>5.5555555555555553E-10</v>
      </c>
      <c r="C1945" t="s">
        <v>27</v>
      </c>
      <c r="D1945" t="s">
        <v>8</v>
      </c>
      <c r="F1945" t="s">
        <v>21</v>
      </c>
      <c r="G1945" t="s">
        <v>321</v>
      </c>
      <c r="H1945" t="s">
        <v>320</v>
      </c>
    </row>
    <row r="1946" spans="1:8" ht="15.5" x14ac:dyDescent="0.35">
      <c r="A1946" s="2"/>
      <c r="B1946" s="4"/>
      <c r="H1946" s="2"/>
    </row>
    <row r="1947" spans="1:8" ht="15.5" x14ac:dyDescent="0.35">
      <c r="A1947" s="1" t="s">
        <v>1</v>
      </c>
      <c r="B1947" s="1" t="s">
        <v>577</v>
      </c>
    </row>
    <row r="1948" spans="1:8" x14ac:dyDescent="0.35">
      <c r="A1948" t="s">
        <v>2</v>
      </c>
      <c r="B1948" t="s">
        <v>3</v>
      </c>
    </row>
    <row r="1949" spans="1:8" x14ac:dyDescent="0.35">
      <c r="A1949" t="s">
        <v>4</v>
      </c>
      <c r="B1949">
        <v>1</v>
      </c>
    </row>
    <row r="1950" spans="1:8" ht="15.5" x14ac:dyDescent="0.35">
      <c r="A1950" t="s">
        <v>5</v>
      </c>
      <c r="B1950" s="2" t="s">
        <v>443</v>
      </c>
    </row>
    <row r="1951" spans="1:8" x14ac:dyDescent="0.35">
      <c r="A1951" t="s">
        <v>6</v>
      </c>
      <c r="B1951" t="s">
        <v>7</v>
      </c>
    </row>
    <row r="1952" spans="1:8" x14ac:dyDescent="0.35">
      <c r="A1952" t="s">
        <v>8</v>
      </c>
      <c r="B1952" t="s">
        <v>9</v>
      </c>
    </row>
    <row r="1953" spans="1:9" x14ac:dyDescent="0.35">
      <c r="A1953" t="s">
        <v>10</v>
      </c>
      <c r="B1953" t="s">
        <v>11</v>
      </c>
    </row>
    <row r="1954" spans="1:9" x14ac:dyDescent="0.35">
      <c r="A1954" t="s">
        <v>28</v>
      </c>
      <c r="B1954" t="s">
        <v>583</v>
      </c>
    </row>
    <row r="1955" spans="1:9" ht="15.5" x14ac:dyDescent="0.35">
      <c r="A1955" s="1" t="s">
        <v>13</v>
      </c>
    </row>
    <row r="1956" spans="1:9" x14ac:dyDescent="0.35">
      <c r="A1956" t="s">
        <v>14</v>
      </c>
      <c r="B1956" t="s">
        <v>15</v>
      </c>
      <c r="C1956" t="s">
        <v>2</v>
      </c>
      <c r="D1956" t="s">
        <v>8</v>
      </c>
      <c r="E1956" t="s">
        <v>16</v>
      </c>
      <c r="F1956" t="s">
        <v>6</v>
      </c>
      <c r="G1956" t="s">
        <v>12</v>
      </c>
      <c r="H1956" t="s">
        <v>5</v>
      </c>
    </row>
    <row r="1957" spans="1:9" ht="15.5" x14ac:dyDescent="0.35">
      <c r="A1957" s="2" t="s">
        <v>577</v>
      </c>
      <c r="B1957">
        <v>1</v>
      </c>
      <c r="C1957" t="s">
        <v>3</v>
      </c>
      <c r="D1957" t="s">
        <v>9</v>
      </c>
      <c r="F1957" t="s">
        <v>18</v>
      </c>
      <c r="G1957" t="s">
        <v>19</v>
      </c>
      <c r="H1957" s="2" t="s">
        <v>443</v>
      </c>
    </row>
    <row r="1958" spans="1:9" ht="15.5" x14ac:dyDescent="0.35">
      <c r="A1958" s="2" t="s">
        <v>103</v>
      </c>
      <c r="B1958" s="6">
        <f>(1/((Allocation!$C$55*Allocation!$B$4*Allocation!$B$10)/1000))</f>
        <v>2.973895234973678</v>
      </c>
      <c r="C1958" t="s">
        <v>3</v>
      </c>
      <c r="D1958" t="s">
        <v>9</v>
      </c>
      <c r="F1958" t="s">
        <v>21</v>
      </c>
      <c r="G1958" t="s">
        <v>19</v>
      </c>
      <c r="H1958" s="2" t="s">
        <v>444</v>
      </c>
    </row>
    <row r="1959" spans="1:9" ht="15.5" x14ac:dyDescent="0.35">
      <c r="A1959" s="2" t="s">
        <v>451</v>
      </c>
      <c r="B1959" s="4">
        <f>(23862*Allocation!$B$3)/(Allocation!$B$4*Allocation!$B$10)</f>
        <v>8.43023002405935</v>
      </c>
      <c r="C1959" t="s">
        <v>33</v>
      </c>
      <c r="D1959" t="s">
        <v>20</v>
      </c>
      <c r="F1959" t="s">
        <v>21</v>
      </c>
      <c r="G1959" t="s">
        <v>450</v>
      </c>
      <c r="H1959" s="2" t="s">
        <v>452</v>
      </c>
    </row>
    <row r="1960" spans="1:9" ht="15.5" x14ac:dyDescent="0.35">
      <c r="A1960" s="2" t="s">
        <v>30</v>
      </c>
      <c r="B1960" s="4">
        <f>((2509*Allocation!$B$3/3.6)/(Allocation!$B$4*Allocation!$B$10))+(((B1779*B1958)-Allocation!$B$13)*0.18)</f>
        <v>0.69196928141017844</v>
      </c>
      <c r="C1960" t="s">
        <v>3</v>
      </c>
      <c r="D1960" t="s">
        <v>31</v>
      </c>
      <c r="F1960" t="s">
        <v>21</v>
      </c>
      <c r="H1960" s="2" t="s">
        <v>32</v>
      </c>
    </row>
    <row r="1961" spans="1:9" ht="15.5" x14ac:dyDescent="0.35">
      <c r="A1961" s="2" t="s">
        <v>397</v>
      </c>
      <c r="B1961" s="4">
        <f>((2.74/1000)/(Allocation!$B$4*Allocation!$B$10))</f>
        <v>9.1750338622372017E-4</v>
      </c>
      <c r="C1961" t="s">
        <v>27</v>
      </c>
      <c r="D1961" t="s">
        <v>9</v>
      </c>
      <c r="F1961" t="s">
        <v>21</v>
      </c>
      <c r="G1961" t="s">
        <v>399</v>
      </c>
      <c r="H1961" s="2" t="s">
        <v>398</v>
      </c>
    </row>
    <row r="1962" spans="1:9" ht="15.5" x14ac:dyDescent="0.35">
      <c r="A1962" s="2" t="s">
        <v>263</v>
      </c>
      <c r="B1962" s="5">
        <f>((4.65/1000)/(Allocation!$B$4*Allocation!$B$10))</f>
        <v>1.5570769145767515E-3</v>
      </c>
      <c r="C1962" t="s">
        <v>33</v>
      </c>
      <c r="D1962" t="s">
        <v>9</v>
      </c>
      <c r="F1962" t="s">
        <v>21</v>
      </c>
      <c r="H1962" s="2" t="s">
        <v>264</v>
      </c>
    </row>
    <row r="1963" spans="1:9" ht="15.5" x14ac:dyDescent="0.35">
      <c r="A1963" s="2" t="s">
        <v>265</v>
      </c>
      <c r="B1963" s="5">
        <f>((17.82/1000)/(Allocation!$B$4*Allocation!$B$10))</f>
        <v>5.9671205629586461E-3</v>
      </c>
      <c r="C1963" t="s">
        <v>266</v>
      </c>
      <c r="D1963" t="s">
        <v>9</v>
      </c>
      <c r="F1963" t="s">
        <v>21</v>
      </c>
      <c r="H1963" s="2" t="s">
        <v>267</v>
      </c>
    </row>
    <row r="1964" spans="1:9" ht="15.5" x14ac:dyDescent="0.35">
      <c r="A1964" s="2" t="s">
        <v>383</v>
      </c>
      <c r="B1964" s="4">
        <f>((10.66/1000)/(Allocation!$B$4*Allocation!$B$10))</f>
        <v>3.5695569697608964E-3</v>
      </c>
      <c r="C1964" t="s">
        <v>33</v>
      </c>
      <c r="D1964" t="s">
        <v>9</v>
      </c>
      <c r="F1964" t="s">
        <v>21</v>
      </c>
      <c r="G1964" t="s">
        <v>400</v>
      </c>
      <c r="H1964" s="2" t="s">
        <v>384</v>
      </c>
    </row>
    <row r="1965" spans="1:9" ht="15.5" x14ac:dyDescent="0.35">
      <c r="A1965" s="2" t="s">
        <v>401</v>
      </c>
      <c r="B1965" s="4">
        <f>((22.35/1000)/(Allocation!$B$4*Allocation!$B$10))</f>
        <v>7.484014847481805E-3</v>
      </c>
      <c r="C1965" t="s">
        <v>27</v>
      </c>
      <c r="D1965" t="s">
        <v>9</v>
      </c>
      <c r="F1965" t="s">
        <v>21</v>
      </c>
      <c r="G1965" t="s">
        <v>403</v>
      </c>
      <c r="H1965" s="2" t="s">
        <v>402</v>
      </c>
    </row>
    <row r="1966" spans="1:9" x14ac:dyDescent="0.35">
      <c r="A1966" t="s">
        <v>201</v>
      </c>
      <c r="B1966" s="6">
        <f>((B1779*B1958)-Allocation!$B$13)*(1-0.975)</f>
        <v>6.1909038384791081E-2</v>
      </c>
      <c r="D1966" t="s">
        <v>9</v>
      </c>
      <c r="E1966" t="s">
        <v>39</v>
      </c>
      <c r="F1966" t="s">
        <v>38</v>
      </c>
      <c r="G1966" t="s">
        <v>441</v>
      </c>
    </row>
    <row r="1967" spans="1:9" x14ac:dyDescent="0.35">
      <c r="A1967" t="s">
        <v>319</v>
      </c>
      <c r="B1967" s="7">
        <f>1/(90000000*20)</f>
        <v>5.5555555555555553E-10</v>
      </c>
      <c r="C1967" t="s">
        <v>27</v>
      </c>
      <c r="D1967" t="s">
        <v>8</v>
      </c>
      <c r="F1967" t="s">
        <v>21</v>
      </c>
      <c r="G1967" t="s">
        <v>321</v>
      </c>
      <c r="H1967" t="s">
        <v>320</v>
      </c>
    </row>
    <row r="1968" spans="1:9" x14ac:dyDescent="0.35">
      <c r="A1968" s="38" t="s">
        <v>543</v>
      </c>
      <c r="B1968" s="68">
        <f>Allocation!C56/Allocation!B4*Allocation!B10*-1*0.27</f>
        <v>-0.14373294505680315</v>
      </c>
      <c r="C1968" t="s">
        <v>27</v>
      </c>
      <c r="D1968" t="s">
        <v>9</v>
      </c>
      <c r="E1968" s="38"/>
      <c r="F1968" s="38" t="s">
        <v>21</v>
      </c>
      <c r="G1968" s="38" t="s">
        <v>592</v>
      </c>
      <c r="H1968" s="38" t="s">
        <v>544</v>
      </c>
      <c r="I1968" s="38"/>
    </row>
    <row r="1969" spans="1:10" x14ac:dyDescent="0.35">
      <c r="A1969" s="38" t="s">
        <v>571</v>
      </c>
      <c r="B1969" s="72">
        <f>Allocation!C58*Allocation!B6/Allocation!B8/1000*B1890*-1</f>
        <v>-2.8678595966921405E-2</v>
      </c>
      <c r="C1969" t="s">
        <v>27</v>
      </c>
      <c r="D1969" t="s">
        <v>9</v>
      </c>
      <c r="E1969" s="38"/>
      <c r="F1969" s="38" t="s">
        <v>21</v>
      </c>
      <c r="G1969" s="38" t="s">
        <v>573</v>
      </c>
      <c r="H1969" s="38" t="s">
        <v>572</v>
      </c>
      <c r="I1969" s="38"/>
    </row>
    <row r="1970" spans="1:10" x14ac:dyDescent="0.35">
      <c r="A1970" s="38" t="s">
        <v>584</v>
      </c>
      <c r="B1970" s="72">
        <f>((B1779*B1958)-Allocation!$B$13)*0.975*-1</f>
        <v>-2.4144524970068502</v>
      </c>
      <c r="C1970" t="s">
        <v>27</v>
      </c>
      <c r="D1970" t="s">
        <v>9</v>
      </c>
      <c r="E1970" s="38"/>
      <c r="F1970" s="38" t="s">
        <v>21</v>
      </c>
      <c r="G1970" s="38" t="s">
        <v>585</v>
      </c>
      <c r="H1970" s="38" t="s">
        <v>586</v>
      </c>
      <c r="I1970" s="38"/>
    </row>
    <row r="1971" spans="1:10" ht="15.5" x14ac:dyDescent="0.35">
      <c r="A1971" s="2"/>
      <c r="B1971" s="4"/>
      <c r="H1971" s="2"/>
    </row>
    <row r="1972" spans="1:10" ht="15.5" x14ac:dyDescent="0.35">
      <c r="A1972" s="1" t="s">
        <v>1</v>
      </c>
      <c r="B1972" s="1" t="s">
        <v>446</v>
      </c>
    </row>
    <row r="1973" spans="1:10" x14ac:dyDescent="0.35">
      <c r="A1973" t="s">
        <v>2</v>
      </c>
      <c r="B1973" t="s">
        <v>3</v>
      </c>
    </row>
    <row r="1974" spans="1:10" x14ac:dyDescent="0.35">
      <c r="A1974" t="s">
        <v>4</v>
      </c>
      <c r="B1974">
        <v>1</v>
      </c>
    </row>
    <row r="1975" spans="1:10" ht="15.5" x14ac:dyDescent="0.35">
      <c r="A1975" t="s">
        <v>5</v>
      </c>
      <c r="B1975" s="2" t="s">
        <v>350</v>
      </c>
    </row>
    <row r="1976" spans="1:10" x14ac:dyDescent="0.35">
      <c r="A1976" t="s">
        <v>6</v>
      </c>
      <c r="B1976" t="s">
        <v>7</v>
      </c>
    </row>
    <row r="1977" spans="1:10" x14ac:dyDescent="0.35">
      <c r="A1977" t="s">
        <v>8</v>
      </c>
      <c r="B1977" t="s">
        <v>9</v>
      </c>
    </row>
    <row r="1978" spans="1:10" x14ac:dyDescent="0.35">
      <c r="A1978" t="s">
        <v>10</v>
      </c>
      <c r="B1978" t="s">
        <v>406</v>
      </c>
    </row>
    <row r="1979" spans="1:10" x14ac:dyDescent="0.35">
      <c r="A1979" t="s">
        <v>12</v>
      </c>
      <c r="B1979" t="s">
        <v>375</v>
      </c>
    </row>
    <row r="1980" spans="1:10" ht="15.5" x14ac:dyDescent="0.35">
      <c r="A1980" s="1" t="s">
        <v>13</v>
      </c>
    </row>
    <row r="1981" spans="1:10" x14ac:dyDescent="0.35">
      <c r="A1981" t="s">
        <v>14</v>
      </c>
      <c r="B1981" t="s">
        <v>15</v>
      </c>
      <c r="C1981" t="s">
        <v>2</v>
      </c>
      <c r="D1981" t="s">
        <v>8</v>
      </c>
      <c r="E1981" t="s">
        <v>16</v>
      </c>
      <c r="F1981" t="s">
        <v>6</v>
      </c>
      <c r="G1981" t="s">
        <v>351</v>
      </c>
      <c r="H1981" t="s">
        <v>352</v>
      </c>
      <c r="I1981" t="s">
        <v>12</v>
      </c>
      <c r="J1981" t="s">
        <v>5</v>
      </c>
    </row>
    <row r="1982" spans="1:10" x14ac:dyDescent="0.35">
      <c r="A1982" s="38" t="s">
        <v>446</v>
      </c>
      <c r="B1982" s="38">
        <v>1</v>
      </c>
      <c r="C1982" t="s">
        <v>3</v>
      </c>
      <c r="D1982" s="38" t="s">
        <v>9</v>
      </c>
      <c r="E1982" s="38"/>
      <c r="F1982" s="38" t="s">
        <v>18</v>
      </c>
      <c r="G1982" s="38"/>
      <c r="H1982" s="38"/>
      <c r="I1982" s="38" t="s">
        <v>19</v>
      </c>
      <c r="J1982" s="38" t="s">
        <v>350</v>
      </c>
    </row>
    <row r="1983" spans="1:10" ht="15.5" x14ac:dyDescent="0.35">
      <c r="A1983" s="2" t="s">
        <v>442</v>
      </c>
      <c r="B1983">
        <v>1.00057</v>
      </c>
      <c r="C1983" t="s">
        <v>3</v>
      </c>
      <c r="D1983" t="s">
        <v>9</v>
      </c>
      <c r="F1983" s="38" t="s">
        <v>21</v>
      </c>
      <c r="G1983" t="s">
        <v>19</v>
      </c>
      <c r="I1983" s="38"/>
      <c r="J1983" s="2" t="s">
        <v>443</v>
      </c>
    </row>
    <row r="1984" spans="1:10" x14ac:dyDescent="0.35">
      <c r="A1984" s="38" t="s">
        <v>30</v>
      </c>
      <c r="B1984" s="38">
        <v>6.7000000000000002E-3</v>
      </c>
      <c r="C1984" t="s">
        <v>3</v>
      </c>
      <c r="D1984" s="38" t="s">
        <v>31</v>
      </c>
      <c r="E1984" s="38"/>
      <c r="F1984" s="38" t="s">
        <v>21</v>
      </c>
      <c r="G1984" s="38"/>
      <c r="H1984" s="38"/>
      <c r="I1984" s="38"/>
      <c r="J1984" s="38" t="s">
        <v>32</v>
      </c>
    </row>
    <row r="1985" spans="1:10" x14ac:dyDescent="0.35">
      <c r="A1985" s="38" t="s">
        <v>353</v>
      </c>
      <c r="B1985" s="38">
        <v>-1.6799999999999999E-4</v>
      </c>
      <c r="C1985" s="38" t="s">
        <v>33</v>
      </c>
      <c r="D1985" s="38" t="s">
        <v>9</v>
      </c>
      <c r="E1985" s="38"/>
      <c r="F1985" s="38" t="s">
        <v>21</v>
      </c>
      <c r="G1985" s="38"/>
      <c r="H1985" s="38"/>
      <c r="I1985" s="38"/>
      <c r="J1985" s="38" t="s">
        <v>354</v>
      </c>
    </row>
    <row r="1986" spans="1:10" x14ac:dyDescent="0.35">
      <c r="A1986" s="38" t="s">
        <v>355</v>
      </c>
      <c r="B1986" s="39">
        <v>5.8399999999999999E-4</v>
      </c>
      <c r="C1986" s="38" t="s">
        <v>33</v>
      </c>
      <c r="D1986" s="38" t="s">
        <v>20</v>
      </c>
      <c r="E1986" s="38"/>
      <c r="F1986" s="38" t="s">
        <v>21</v>
      </c>
      <c r="G1986" s="38"/>
      <c r="H1986" s="38"/>
      <c r="I1986" s="38"/>
      <c r="J1986" s="38" t="s">
        <v>356</v>
      </c>
    </row>
    <row r="1987" spans="1:10" x14ac:dyDescent="0.35">
      <c r="A1987" s="38" t="s">
        <v>357</v>
      </c>
      <c r="B1987" s="39">
        <v>2.5999999999999998E-10</v>
      </c>
      <c r="C1987" s="38" t="s">
        <v>33</v>
      </c>
      <c r="D1987" s="38" t="s">
        <v>8</v>
      </c>
      <c r="E1987" s="38"/>
      <c r="F1987" s="38" t="s">
        <v>21</v>
      </c>
      <c r="G1987" s="38"/>
      <c r="H1987" s="38"/>
      <c r="I1987" s="38"/>
      <c r="J1987" s="38" t="s">
        <v>358</v>
      </c>
    </row>
    <row r="1988" spans="1:10" x14ac:dyDescent="0.35">
      <c r="A1988" s="38" t="s">
        <v>359</v>
      </c>
      <c r="B1988" s="39">
        <v>-6.2700000000000001E-6</v>
      </c>
      <c r="C1988" s="38" t="s">
        <v>33</v>
      </c>
      <c r="D1988" s="38" t="s">
        <v>9</v>
      </c>
      <c r="E1988" s="38"/>
      <c r="F1988" s="38" t="s">
        <v>21</v>
      </c>
      <c r="G1988" s="38"/>
      <c r="H1988" s="38"/>
      <c r="I1988" s="38"/>
      <c r="J1988" s="38" t="s">
        <v>360</v>
      </c>
    </row>
    <row r="1989" spans="1:10" x14ac:dyDescent="0.35">
      <c r="A1989" s="38" t="s">
        <v>361</v>
      </c>
      <c r="B1989" s="39">
        <v>-7.4999999999999993E-5</v>
      </c>
      <c r="C1989" s="38" t="s">
        <v>33</v>
      </c>
      <c r="D1989" s="38" t="s">
        <v>131</v>
      </c>
      <c r="E1989" s="38"/>
      <c r="F1989" s="38" t="s">
        <v>21</v>
      </c>
      <c r="G1989" s="38"/>
      <c r="H1989" s="38"/>
      <c r="I1989" s="38"/>
      <c r="J1989" s="38" t="s">
        <v>362</v>
      </c>
    </row>
    <row r="1990" spans="1:10" x14ac:dyDescent="0.35">
      <c r="A1990" s="38" t="s">
        <v>363</v>
      </c>
      <c r="B1990" s="39">
        <v>6.8900000000000005E-4</v>
      </c>
      <c r="C1990" s="38" t="s">
        <v>33</v>
      </c>
      <c r="D1990" s="38" t="s">
        <v>9</v>
      </c>
      <c r="E1990" s="38"/>
      <c r="F1990" s="38" t="s">
        <v>21</v>
      </c>
      <c r="G1990" s="38"/>
      <c r="H1990" s="38"/>
      <c r="I1990" s="38"/>
      <c r="J1990" s="38" t="s">
        <v>364</v>
      </c>
    </row>
    <row r="1991" spans="1:10" x14ac:dyDescent="0.35">
      <c r="A1991" s="38" t="s">
        <v>108</v>
      </c>
      <c r="B1991" s="38">
        <v>3.3599999999999998E-2</v>
      </c>
      <c r="C1991" s="38" t="s">
        <v>33</v>
      </c>
      <c r="D1991" s="38" t="s">
        <v>45</v>
      </c>
      <c r="E1991" s="38"/>
      <c r="F1991" s="38" t="s">
        <v>21</v>
      </c>
      <c r="G1991" s="38"/>
      <c r="H1991" s="38"/>
      <c r="I1991" s="38"/>
      <c r="J1991" s="38" t="s">
        <v>111</v>
      </c>
    </row>
    <row r="1992" spans="1:10" x14ac:dyDescent="0.35">
      <c r="A1992" s="38" t="s">
        <v>365</v>
      </c>
      <c r="B1992" s="38">
        <v>3.2599999999999997E-2</v>
      </c>
      <c r="C1992" s="38" t="s">
        <v>33</v>
      </c>
      <c r="D1992" s="38" t="s">
        <v>45</v>
      </c>
      <c r="E1992" s="38"/>
      <c r="F1992" s="38" t="s">
        <v>21</v>
      </c>
      <c r="G1992" s="38"/>
      <c r="H1992" s="38"/>
      <c r="I1992" s="38"/>
      <c r="J1992" s="38" t="s">
        <v>366</v>
      </c>
    </row>
    <row r="1993" spans="1:10" x14ac:dyDescent="0.35">
      <c r="A1993" s="38" t="s">
        <v>367</v>
      </c>
      <c r="B1993" s="39">
        <v>-6.8899999999999999E-7</v>
      </c>
      <c r="C1993" s="38" t="s">
        <v>33</v>
      </c>
      <c r="D1993" s="38" t="s">
        <v>131</v>
      </c>
      <c r="E1993" s="38"/>
      <c r="F1993" s="38" t="s">
        <v>21</v>
      </c>
      <c r="G1993" s="38"/>
      <c r="H1993" s="38"/>
      <c r="I1993" s="38"/>
      <c r="J1993" s="38" t="s">
        <v>368</v>
      </c>
    </row>
    <row r="1995" spans="1:10" ht="15.5" x14ac:dyDescent="0.35">
      <c r="A1995" s="1" t="s">
        <v>1</v>
      </c>
      <c r="B1995" s="1" t="s">
        <v>447</v>
      </c>
    </row>
    <row r="1996" spans="1:10" x14ac:dyDescent="0.35">
      <c r="A1996" t="s">
        <v>2</v>
      </c>
      <c r="B1996" t="s">
        <v>3</v>
      </c>
    </row>
    <row r="1997" spans="1:10" x14ac:dyDescent="0.35">
      <c r="A1997" t="s">
        <v>4</v>
      </c>
      <c r="B1997">
        <v>1</v>
      </c>
    </row>
    <row r="1998" spans="1:10" ht="15.5" x14ac:dyDescent="0.35">
      <c r="A1998" t="s">
        <v>5</v>
      </c>
      <c r="B1998" s="2" t="s">
        <v>350</v>
      </c>
    </row>
    <row r="1999" spans="1:10" x14ac:dyDescent="0.35">
      <c r="A1999" t="s">
        <v>6</v>
      </c>
      <c r="B1999" t="s">
        <v>7</v>
      </c>
    </row>
    <row r="2000" spans="1:10" x14ac:dyDescent="0.35">
      <c r="A2000" t="s">
        <v>8</v>
      </c>
      <c r="B2000" t="s">
        <v>9</v>
      </c>
    </row>
    <row r="2001" spans="1:10" x14ac:dyDescent="0.35">
      <c r="A2001" t="s">
        <v>10</v>
      </c>
      <c r="B2001" t="s">
        <v>406</v>
      </c>
    </row>
    <row r="2002" spans="1:10" x14ac:dyDescent="0.35">
      <c r="A2002" t="s">
        <v>12</v>
      </c>
      <c r="B2002" t="s">
        <v>374</v>
      </c>
    </row>
    <row r="2003" spans="1:10" ht="15.5" x14ac:dyDescent="0.35">
      <c r="A2003" s="1" t="s">
        <v>13</v>
      </c>
    </row>
    <row r="2004" spans="1:10" x14ac:dyDescent="0.35">
      <c r="A2004" t="s">
        <v>14</v>
      </c>
      <c r="B2004" t="s">
        <v>15</v>
      </c>
      <c r="C2004" t="s">
        <v>2</v>
      </c>
      <c r="D2004" t="s">
        <v>8</v>
      </c>
      <c r="E2004" t="s">
        <v>16</v>
      </c>
      <c r="F2004" t="s">
        <v>6</v>
      </c>
      <c r="G2004" t="s">
        <v>351</v>
      </c>
      <c r="H2004" t="s">
        <v>352</v>
      </c>
      <c r="I2004" t="s">
        <v>12</v>
      </c>
      <c r="J2004" t="s">
        <v>5</v>
      </c>
    </row>
    <row r="2005" spans="1:10" x14ac:dyDescent="0.35">
      <c r="A2005" s="38" t="s">
        <v>447</v>
      </c>
      <c r="B2005" s="38">
        <v>1</v>
      </c>
      <c r="C2005" t="s">
        <v>3</v>
      </c>
      <c r="D2005" s="38" t="s">
        <v>9</v>
      </c>
      <c r="E2005" s="38"/>
      <c r="F2005" s="38" t="s">
        <v>18</v>
      </c>
      <c r="G2005" s="38"/>
      <c r="H2005" s="38"/>
      <c r="I2005" s="38" t="s">
        <v>19</v>
      </c>
      <c r="J2005" s="38" t="s">
        <v>350</v>
      </c>
    </row>
    <row r="2006" spans="1:10" ht="15.5" x14ac:dyDescent="0.35">
      <c r="A2006" s="2" t="s">
        <v>445</v>
      </c>
      <c r="B2006">
        <v>1.00057</v>
      </c>
      <c r="C2006" t="s">
        <v>3</v>
      </c>
      <c r="D2006" t="s">
        <v>9</v>
      </c>
      <c r="F2006" s="38" t="s">
        <v>21</v>
      </c>
      <c r="G2006" t="s">
        <v>19</v>
      </c>
      <c r="I2006" s="38"/>
      <c r="J2006" s="2" t="s">
        <v>443</v>
      </c>
    </row>
    <row r="2007" spans="1:10" x14ac:dyDescent="0.35">
      <c r="A2007" s="38" t="s">
        <v>30</v>
      </c>
      <c r="B2007" s="38">
        <v>6.7000000000000002E-3</v>
      </c>
      <c r="C2007" t="s">
        <v>3</v>
      </c>
      <c r="D2007" s="38" t="s">
        <v>31</v>
      </c>
      <c r="E2007" s="38"/>
      <c r="F2007" s="38" t="s">
        <v>21</v>
      </c>
      <c r="G2007" s="38"/>
      <c r="H2007" s="38"/>
      <c r="I2007" s="38"/>
      <c r="J2007" s="38" t="s">
        <v>32</v>
      </c>
    </row>
    <row r="2008" spans="1:10" x14ac:dyDescent="0.35">
      <c r="A2008" s="38" t="s">
        <v>353</v>
      </c>
      <c r="B2008" s="38">
        <v>-1.6799999999999999E-4</v>
      </c>
      <c r="C2008" s="38" t="s">
        <v>33</v>
      </c>
      <c r="D2008" s="38" t="s">
        <v>9</v>
      </c>
      <c r="E2008" s="38"/>
      <c r="F2008" s="38" t="s">
        <v>21</v>
      </c>
      <c r="G2008" s="38"/>
      <c r="H2008" s="38"/>
      <c r="I2008" s="38"/>
      <c r="J2008" s="38" t="s">
        <v>354</v>
      </c>
    </row>
    <row r="2009" spans="1:10" x14ac:dyDescent="0.35">
      <c r="A2009" s="38" t="s">
        <v>355</v>
      </c>
      <c r="B2009" s="39">
        <v>5.8399999999999999E-4</v>
      </c>
      <c r="C2009" s="38" t="s">
        <v>33</v>
      </c>
      <c r="D2009" s="38" t="s">
        <v>20</v>
      </c>
      <c r="E2009" s="38"/>
      <c r="F2009" s="38" t="s">
        <v>21</v>
      </c>
      <c r="G2009" s="38"/>
      <c r="H2009" s="38"/>
      <c r="I2009" s="38"/>
      <c r="J2009" s="38" t="s">
        <v>356</v>
      </c>
    </row>
    <row r="2010" spans="1:10" x14ac:dyDescent="0.35">
      <c r="A2010" s="38" t="s">
        <v>357</v>
      </c>
      <c r="B2010" s="39">
        <v>2.5999999999999998E-10</v>
      </c>
      <c r="C2010" s="38" t="s">
        <v>33</v>
      </c>
      <c r="D2010" s="38" t="s">
        <v>8</v>
      </c>
      <c r="E2010" s="38"/>
      <c r="F2010" s="38" t="s">
        <v>21</v>
      </c>
      <c r="G2010" s="38"/>
      <c r="H2010" s="38"/>
      <c r="I2010" s="38"/>
      <c r="J2010" s="38" t="s">
        <v>358</v>
      </c>
    </row>
    <row r="2011" spans="1:10" x14ac:dyDescent="0.35">
      <c r="A2011" s="38" t="s">
        <v>359</v>
      </c>
      <c r="B2011" s="39">
        <v>-6.2700000000000001E-6</v>
      </c>
      <c r="C2011" s="38" t="s">
        <v>33</v>
      </c>
      <c r="D2011" s="38" t="s">
        <v>9</v>
      </c>
      <c r="E2011" s="38"/>
      <c r="F2011" s="38" t="s">
        <v>21</v>
      </c>
      <c r="G2011" s="38"/>
      <c r="H2011" s="38"/>
      <c r="I2011" s="38"/>
      <c r="J2011" s="38" t="s">
        <v>360</v>
      </c>
    </row>
    <row r="2012" spans="1:10" x14ac:dyDescent="0.35">
      <c r="A2012" s="38" t="s">
        <v>361</v>
      </c>
      <c r="B2012" s="39">
        <v>-7.4999999999999993E-5</v>
      </c>
      <c r="C2012" s="38" t="s">
        <v>33</v>
      </c>
      <c r="D2012" s="38" t="s">
        <v>131</v>
      </c>
      <c r="E2012" s="38"/>
      <c r="F2012" s="38" t="s">
        <v>21</v>
      </c>
      <c r="G2012" s="38"/>
      <c r="H2012" s="38"/>
      <c r="I2012" s="38"/>
      <c r="J2012" s="38" t="s">
        <v>362</v>
      </c>
    </row>
    <row r="2013" spans="1:10" x14ac:dyDescent="0.35">
      <c r="A2013" s="38" t="s">
        <v>363</v>
      </c>
      <c r="B2013" s="39">
        <v>6.8900000000000005E-4</v>
      </c>
      <c r="C2013" s="38" t="s">
        <v>33</v>
      </c>
      <c r="D2013" s="38" t="s">
        <v>9</v>
      </c>
      <c r="E2013" s="38"/>
      <c r="F2013" s="38" t="s">
        <v>21</v>
      </c>
      <c r="G2013" s="38"/>
      <c r="H2013" s="38"/>
      <c r="I2013" s="38"/>
      <c r="J2013" s="38" t="s">
        <v>364</v>
      </c>
    </row>
    <row r="2014" spans="1:10" x14ac:dyDescent="0.35">
      <c r="A2014" s="38" t="s">
        <v>108</v>
      </c>
      <c r="B2014" s="38">
        <v>3.3599999999999998E-2</v>
      </c>
      <c r="C2014" s="38" t="s">
        <v>33</v>
      </c>
      <c r="D2014" s="38" t="s">
        <v>45</v>
      </c>
      <c r="E2014" s="38"/>
      <c r="F2014" s="38" t="s">
        <v>21</v>
      </c>
      <c r="G2014" s="38"/>
      <c r="H2014" s="38"/>
      <c r="I2014" s="38"/>
      <c r="J2014" s="38" t="s">
        <v>111</v>
      </c>
    </row>
    <row r="2015" spans="1:10" x14ac:dyDescent="0.35">
      <c r="A2015" s="38" t="s">
        <v>365</v>
      </c>
      <c r="B2015" s="38">
        <v>3.2599999999999997E-2</v>
      </c>
      <c r="C2015" s="38" t="s">
        <v>33</v>
      </c>
      <c r="D2015" s="38" t="s">
        <v>45</v>
      </c>
      <c r="E2015" s="38"/>
      <c r="F2015" s="38" t="s">
        <v>21</v>
      </c>
      <c r="G2015" s="38"/>
      <c r="H2015" s="38"/>
      <c r="I2015" s="38"/>
      <c r="J2015" s="38" t="s">
        <v>366</v>
      </c>
    </row>
    <row r="2016" spans="1:10" x14ac:dyDescent="0.35">
      <c r="A2016" s="38" t="s">
        <v>367</v>
      </c>
      <c r="B2016" s="39">
        <v>-6.8899999999999999E-7</v>
      </c>
      <c r="C2016" s="38" t="s">
        <v>33</v>
      </c>
      <c r="D2016" s="38" t="s">
        <v>131</v>
      </c>
      <c r="E2016" s="38"/>
      <c r="F2016" s="38" t="s">
        <v>21</v>
      </c>
      <c r="G2016" s="38"/>
      <c r="H2016" s="38"/>
      <c r="I2016" s="38"/>
      <c r="J2016" s="38" t="s">
        <v>368</v>
      </c>
    </row>
    <row r="2018" spans="1:10" ht="15.5" x14ac:dyDescent="0.35">
      <c r="A2018" s="1" t="s">
        <v>1</v>
      </c>
      <c r="B2018" s="1" t="s">
        <v>553</v>
      </c>
    </row>
    <row r="2019" spans="1:10" x14ac:dyDescent="0.35">
      <c r="A2019" t="s">
        <v>2</v>
      </c>
      <c r="B2019" t="s">
        <v>3</v>
      </c>
    </row>
    <row r="2020" spans="1:10" x14ac:dyDescent="0.35">
      <c r="A2020" t="s">
        <v>4</v>
      </c>
      <c r="B2020">
        <v>1</v>
      </c>
    </row>
    <row r="2021" spans="1:10" ht="15.5" x14ac:dyDescent="0.35">
      <c r="A2021" t="s">
        <v>5</v>
      </c>
      <c r="B2021" s="2" t="s">
        <v>350</v>
      </c>
    </row>
    <row r="2022" spans="1:10" x14ac:dyDescent="0.35">
      <c r="A2022" t="s">
        <v>6</v>
      </c>
      <c r="B2022" t="s">
        <v>7</v>
      </c>
    </row>
    <row r="2023" spans="1:10" x14ac:dyDescent="0.35">
      <c r="A2023" t="s">
        <v>8</v>
      </c>
      <c r="B2023" t="s">
        <v>9</v>
      </c>
    </row>
    <row r="2024" spans="1:10" x14ac:dyDescent="0.35">
      <c r="A2024" t="s">
        <v>10</v>
      </c>
      <c r="B2024" t="s">
        <v>406</v>
      </c>
    </row>
    <row r="2025" spans="1:10" x14ac:dyDescent="0.35">
      <c r="A2025" t="s">
        <v>12</v>
      </c>
      <c r="B2025" t="s">
        <v>525</v>
      </c>
    </row>
    <row r="2026" spans="1:10" ht="15.5" x14ac:dyDescent="0.35">
      <c r="A2026" s="1" t="s">
        <v>13</v>
      </c>
    </row>
    <row r="2027" spans="1:10" x14ac:dyDescent="0.35">
      <c r="A2027" t="s">
        <v>14</v>
      </c>
      <c r="B2027" t="s">
        <v>15</v>
      </c>
      <c r="C2027" t="s">
        <v>2</v>
      </c>
      <c r="D2027" t="s">
        <v>8</v>
      </c>
      <c r="E2027" t="s">
        <v>16</v>
      </c>
      <c r="F2027" t="s">
        <v>6</v>
      </c>
      <c r="G2027" t="s">
        <v>351</v>
      </c>
      <c r="H2027" t="s">
        <v>352</v>
      </c>
      <c r="I2027" t="s">
        <v>12</v>
      </c>
      <c r="J2027" t="s">
        <v>5</v>
      </c>
    </row>
    <row r="2028" spans="1:10" x14ac:dyDescent="0.35">
      <c r="A2028" s="38" t="s">
        <v>553</v>
      </c>
      <c r="B2028" s="38">
        <v>1</v>
      </c>
      <c r="C2028" t="s">
        <v>3</v>
      </c>
      <c r="D2028" s="38" t="s">
        <v>9</v>
      </c>
      <c r="E2028" s="38"/>
      <c r="F2028" s="38" t="s">
        <v>18</v>
      </c>
      <c r="G2028" s="38"/>
      <c r="H2028" s="38"/>
      <c r="I2028" s="38" t="s">
        <v>19</v>
      </c>
      <c r="J2028" s="38" t="s">
        <v>350</v>
      </c>
    </row>
    <row r="2029" spans="1:10" ht="15.5" x14ac:dyDescent="0.35">
      <c r="A2029" s="2" t="s">
        <v>552</v>
      </c>
      <c r="B2029">
        <v>1.00057</v>
      </c>
      <c r="C2029" t="s">
        <v>3</v>
      </c>
      <c r="D2029" t="s">
        <v>9</v>
      </c>
      <c r="F2029" s="38" t="s">
        <v>21</v>
      </c>
      <c r="G2029" t="s">
        <v>19</v>
      </c>
      <c r="I2029" s="38"/>
      <c r="J2029" s="2" t="s">
        <v>443</v>
      </c>
    </row>
    <row r="2030" spans="1:10" x14ac:dyDescent="0.35">
      <c r="A2030" s="38" t="s">
        <v>30</v>
      </c>
      <c r="B2030" s="38">
        <v>6.7000000000000002E-3</v>
      </c>
      <c r="C2030" t="s">
        <v>3</v>
      </c>
      <c r="D2030" s="38" t="s">
        <v>31</v>
      </c>
      <c r="E2030" s="38"/>
      <c r="F2030" s="38" t="s">
        <v>21</v>
      </c>
      <c r="G2030" s="38"/>
      <c r="H2030" s="38"/>
      <c r="I2030" s="38"/>
      <c r="J2030" s="38" t="s">
        <v>32</v>
      </c>
    </row>
    <row r="2031" spans="1:10" x14ac:dyDescent="0.35">
      <c r="A2031" s="38" t="s">
        <v>353</v>
      </c>
      <c r="B2031" s="38">
        <v>-1.6799999999999999E-4</v>
      </c>
      <c r="C2031" s="38" t="s">
        <v>33</v>
      </c>
      <c r="D2031" s="38" t="s">
        <v>9</v>
      </c>
      <c r="E2031" s="38"/>
      <c r="F2031" s="38" t="s">
        <v>21</v>
      </c>
      <c r="G2031" s="38"/>
      <c r="H2031" s="38"/>
      <c r="I2031" s="38"/>
      <c r="J2031" s="38" t="s">
        <v>354</v>
      </c>
    </row>
    <row r="2032" spans="1:10" x14ac:dyDescent="0.35">
      <c r="A2032" s="38" t="s">
        <v>355</v>
      </c>
      <c r="B2032" s="39">
        <v>5.8399999999999999E-4</v>
      </c>
      <c r="C2032" s="38" t="s">
        <v>33</v>
      </c>
      <c r="D2032" s="38" t="s">
        <v>20</v>
      </c>
      <c r="E2032" s="38"/>
      <c r="F2032" s="38" t="s">
        <v>21</v>
      </c>
      <c r="G2032" s="38"/>
      <c r="H2032" s="38"/>
      <c r="I2032" s="38"/>
      <c r="J2032" s="38" t="s">
        <v>356</v>
      </c>
    </row>
    <row r="2033" spans="1:10" x14ac:dyDescent="0.35">
      <c r="A2033" s="38" t="s">
        <v>357</v>
      </c>
      <c r="B2033" s="39">
        <v>2.5999999999999998E-10</v>
      </c>
      <c r="C2033" s="38" t="s">
        <v>33</v>
      </c>
      <c r="D2033" s="38" t="s">
        <v>8</v>
      </c>
      <c r="E2033" s="38"/>
      <c r="F2033" s="38" t="s">
        <v>21</v>
      </c>
      <c r="G2033" s="38"/>
      <c r="H2033" s="38"/>
      <c r="I2033" s="38"/>
      <c r="J2033" s="38" t="s">
        <v>358</v>
      </c>
    </row>
    <row r="2034" spans="1:10" x14ac:dyDescent="0.35">
      <c r="A2034" s="38" t="s">
        <v>359</v>
      </c>
      <c r="B2034" s="39">
        <v>-6.2700000000000001E-6</v>
      </c>
      <c r="C2034" s="38" t="s">
        <v>33</v>
      </c>
      <c r="D2034" s="38" t="s">
        <v>9</v>
      </c>
      <c r="E2034" s="38"/>
      <c r="F2034" s="38" t="s">
        <v>21</v>
      </c>
      <c r="G2034" s="38"/>
      <c r="H2034" s="38"/>
      <c r="I2034" s="38"/>
      <c r="J2034" s="38" t="s">
        <v>360</v>
      </c>
    </row>
    <row r="2035" spans="1:10" x14ac:dyDescent="0.35">
      <c r="A2035" s="38" t="s">
        <v>361</v>
      </c>
      <c r="B2035" s="39">
        <v>-7.4999999999999993E-5</v>
      </c>
      <c r="C2035" s="38" t="s">
        <v>33</v>
      </c>
      <c r="D2035" s="38" t="s">
        <v>131</v>
      </c>
      <c r="E2035" s="38"/>
      <c r="F2035" s="38" t="s">
        <v>21</v>
      </c>
      <c r="G2035" s="38"/>
      <c r="H2035" s="38"/>
      <c r="I2035" s="38"/>
      <c r="J2035" s="38" t="s">
        <v>362</v>
      </c>
    </row>
    <row r="2036" spans="1:10" x14ac:dyDescent="0.35">
      <c r="A2036" s="38" t="s">
        <v>363</v>
      </c>
      <c r="B2036" s="39">
        <v>6.8900000000000005E-4</v>
      </c>
      <c r="C2036" s="38" t="s">
        <v>33</v>
      </c>
      <c r="D2036" s="38" t="s">
        <v>9</v>
      </c>
      <c r="E2036" s="38"/>
      <c r="F2036" s="38" t="s">
        <v>21</v>
      </c>
      <c r="G2036" s="38"/>
      <c r="H2036" s="38"/>
      <c r="I2036" s="38"/>
      <c r="J2036" s="38" t="s">
        <v>364</v>
      </c>
    </row>
    <row r="2037" spans="1:10" x14ac:dyDescent="0.35">
      <c r="A2037" s="38" t="s">
        <v>108</v>
      </c>
      <c r="B2037" s="38">
        <v>3.3599999999999998E-2</v>
      </c>
      <c r="C2037" s="38" t="s">
        <v>33</v>
      </c>
      <c r="D2037" s="38" t="s">
        <v>45</v>
      </c>
      <c r="E2037" s="38"/>
      <c r="F2037" s="38" t="s">
        <v>21</v>
      </c>
      <c r="G2037" s="38"/>
      <c r="H2037" s="38"/>
      <c r="I2037" s="38"/>
      <c r="J2037" s="38" t="s">
        <v>111</v>
      </c>
    </row>
    <row r="2038" spans="1:10" x14ac:dyDescent="0.35">
      <c r="A2038" s="38" t="s">
        <v>365</v>
      </c>
      <c r="B2038" s="38">
        <v>3.2599999999999997E-2</v>
      </c>
      <c r="C2038" s="38" t="s">
        <v>33</v>
      </c>
      <c r="D2038" s="38" t="s">
        <v>45</v>
      </c>
      <c r="E2038" s="38"/>
      <c r="F2038" s="38" t="s">
        <v>21</v>
      </c>
      <c r="G2038" s="38"/>
      <c r="H2038" s="38"/>
      <c r="I2038" s="38"/>
      <c r="J2038" s="38" t="s">
        <v>366</v>
      </c>
    </row>
    <row r="2039" spans="1:10" x14ac:dyDescent="0.35">
      <c r="A2039" s="38" t="s">
        <v>367</v>
      </c>
      <c r="B2039" s="39">
        <v>-6.8899999999999999E-7</v>
      </c>
      <c r="C2039" s="38" t="s">
        <v>33</v>
      </c>
      <c r="D2039" s="38" t="s">
        <v>131</v>
      </c>
      <c r="E2039" s="38"/>
      <c r="F2039" s="38" t="s">
        <v>21</v>
      </c>
      <c r="G2039" s="38"/>
      <c r="H2039" s="38"/>
      <c r="I2039" s="38"/>
      <c r="J2039" s="38" t="s">
        <v>368</v>
      </c>
    </row>
    <row r="2041" spans="1:10" ht="15.5" x14ac:dyDescent="0.35">
      <c r="A2041" s="1" t="s">
        <v>1</v>
      </c>
      <c r="B2041" s="1" t="s">
        <v>587</v>
      </c>
    </row>
    <row r="2042" spans="1:10" x14ac:dyDescent="0.35">
      <c r="A2042" t="s">
        <v>2</v>
      </c>
      <c r="B2042" t="s">
        <v>3</v>
      </c>
    </row>
    <row r="2043" spans="1:10" x14ac:dyDescent="0.35">
      <c r="A2043" t="s">
        <v>4</v>
      </c>
      <c r="B2043">
        <v>1</v>
      </c>
    </row>
    <row r="2044" spans="1:10" ht="15.5" x14ac:dyDescent="0.35">
      <c r="A2044" t="s">
        <v>5</v>
      </c>
      <c r="B2044" s="2" t="s">
        <v>350</v>
      </c>
    </row>
    <row r="2045" spans="1:10" x14ac:dyDescent="0.35">
      <c r="A2045" t="s">
        <v>6</v>
      </c>
      <c r="B2045" t="s">
        <v>7</v>
      </c>
    </row>
    <row r="2046" spans="1:10" x14ac:dyDescent="0.35">
      <c r="A2046" t="s">
        <v>8</v>
      </c>
      <c r="B2046" t="s">
        <v>9</v>
      </c>
    </row>
    <row r="2047" spans="1:10" x14ac:dyDescent="0.35">
      <c r="A2047" t="s">
        <v>10</v>
      </c>
      <c r="B2047" t="s">
        <v>406</v>
      </c>
    </row>
    <row r="2048" spans="1:10" x14ac:dyDescent="0.35">
      <c r="A2048" t="s">
        <v>12</v>
      </c>
      <c r="B2048" t="s">
        <v>375</v>
      </c>
    </row>
    <row r="2049" spans="1:10" ht="15.5" x14ac:dyDescent="0.35">
      <c r="A2049" s="1" t="s">
        <v>13</v>
      </c>
    </row>
    <row r="2050" spans="1:10" x14ac:dyDescent="0.35">
      <c r="A2050" t="s">
        <v>14</v>
      </c>
      <c r="B2050" t="s">
        <v>15</v>
      </c>
      <c r="C2050" t="s">
        <v>2</v>
      </c>
      <c r="D2050" t="s">
        <v>8</v>
      </c>
      <c r="E2050" t="s">
        <v>16</v>
      </c>
      <c r="F2050" t="s">
        <v>6</v>
      </c>
      <c r="G2050" t="s">
        <v>351</v>
      </c>
      <c r="H2050" t="s">
        <v>352</v>
      </c>
      <c r="I2050" t="s">
        <v>12</v>
      </c>
      <c r="J2050" t="s">
        <v>5</v>
      </c>
    </row>
    <row r="2051" spans="1:10" x14ac:dyDescent="0.35">
      <c r="A2051" s="38" t="s">
        <v>587</v>
      </c>
      <c r="B2051" s="38">
        <v>1</v>
      </c>
      <c r="C2051" t="s">
        <v>3</v>
      </c>
      <c r="D2051" s="38" t="s">
        <v>9</v>
      </c>
      <c r="E2051" s="38"/>
      <c r="F2051" s="38" t="s">
        <v>18</v>
      </c>
      <c r="G2051" s="38"/>
      <c r="H2051" s="38"/>
      <c r="I2051" s="38" t="s">
        <v>19</v>
      </c>
      <c r="J2051" s="38" t="s">
        <v>350</v>
      </c>
    </row>
    <row r="2052" spans="1:10" ht="15.5" x14ac:dyDescent="0.35">
      <c r="A2052" s="2" t="s">
        <v>575</v>
      </c>
      <c r="B2052">
        <v>1.00057</v>
      </c>
      <c r="C2052" t="s">
        <v>3</v>
      </c>
      <c r="D2052" t="s">
        <v>9</v>
      </c>
      <c r="F2052" s="38" t="s">
        <v>21</v>
      </c>
      <c r="G2052" t="s">
        <v>19</v>
      </c>
      <c r="I2052" s="38"/>
      <c r="J2052" s="2" t="s">
        <v>443</v>
      </c>
    </row>
    <row r="2053" spans="1:10" x14ac:dyDescent="0.35">
      <c r="A2053" s="38" t="s">
        <v>30</v>
      </c>
      <c r="B2053" s="38">
        <v>6.7000000000000002E-3</v>
      </c>
      <c r="C2053" t="s">
        <v>3</v>
      </c>
      <c r="D2053" s="38" t="s">
        <v>31</v>
      </c>
      <c r="E2053" s="38"/>
      <c r="F2053" s="38" t="s">
        <v>21</v>
      </c>
      <c r="G2053" s="38"/>
      <c r="H2053" s="38"/>
      <c r="I2053" s="38"/>
      <c r="J2053" s="38" t="s">
        <v>32</v>
      </c>
    </row>
    <row r="2054" spans="1:10" x14ac:dyDescent="0.35">
      <c r="A2054" s="38" t="s">
        <v>353</v>
      </c>
      <c r="B2054" s="38">
        <v>-1.6799999999999999E-4</v>
      </c>
      <c r="C2054" s="38" t="s">
        <v>33</v>
      </c>
      <c r="D2054" s="38" t="s">
        <v>9</v>
      </c>
      <c r="E2054" s="38"/>
      <c r="F2054" s="38" t="s">
        <v>21</v>
      </c>
      <c r="G2054" s="38"/>
      <c r="H2054" s="38"/>
      <c r="I2054" s="38"/>
      <c r="J2054" s="38" t="s">
        <v>354</v>
      </c>
    </row>
    <row r="2055" spans="1:10" x14ac:dyDescent="0.35">
      <c r="A2055" s="38" t="s">
        <v>355</v>
      </c>
      <c r="B2055" s="39">
        <v>5.8399999999999999E-4</v>
      </c>
      <c r="C2055" s="38" t="s">
        <v>33</v>
      </c>
      <c r="D2055" s="38" t="s">
        <v>20</v>
      </c>
      <c r="E2055" s="38"/>
      <c r="F2055" s="38" t="s">
        <v>21</v>
      </c>
      <c r="G2055" s="38"/>
      <c r="H2055" s="38"/>
      <c r="I2055" s="38"/>
      <c r="J2055" s="38" t="s">
        <v>356</v>
      </c>
    </row>
    <row r="2056" spans="1:10" x14ac:dyDescent="0.35">
      <c r="A2056" s="38" t="s">
        <v>357</v>
      </c>
      <c r="B2056" s="39">
        <v>2.5999999999999998E-10</v>
      </c>
      <c r="C2056" s="38" t="s">
        <v>33</v>
      </c>
      <c r="D2056" s="38" t="s">
        <v>8</v>
      </c>
      <c r="E2056" s="38"/>
      <c r="F2056" s="38" t="s">
        <v>21</v>
      </c>
      <c r="G2056" s="38"/>
      <c r="H2056" s="38"/>
      <c r="I2056" s="38"/>
      <c r="J2056" s="38" t="s">
        <v>358</v>
      </c>
    </row>
    <row r="2057" spans="1:10" x14ac:dyDescent="0.35">
      <c r="A2057" s="38" t="s">
        <v>359</v>
      </c>
      <c r="B2057" s="39">
        <v>-6.2700000000000001E-6</v>
      </c>
      <c r="C2057" s="38" t="s">
        <v>33</v>
      </c>
      <c r="D2057" s="38" t="s">
        <v>9</v>
      </c>
      <c r="E2057" s="38"/>
      <c r="F2057" s="38" t="s">
        <v>21</v>
      </c>
      <c r="G2057" s="38"/>
      <c r="H2057" s="38"/>
      <c r="I2057" s="38"/>
      <c r="J2057" s="38" t="s">
        <v>360</v>
      </c>
    </row>
    <row r="2058" spans="1:10" x14ac:dyDescent="0.35">
      <c r="A2058" s="38" t="s">
        <v>361</v>
      </c>
      <c r="B2058" s="39">
        <v>-7.4999999999999993E-5</v>
      </c>
      <c r="C2058" s="38" t="s">
        <v>33</v>
      </c>
      <c r="D2058" s="38" t="s">
        <v>131</v>
      </c>
      <c r="E2058" s="38"/>
      <c r="F2058" s="38" t="s">
        <v>21</v>
      </c>
      <c r="G2058" s="38"/>
      <c r="H2058" s="38"/>
      <c r="I2058" s="38"/>
      <c r="J2058" s="38" t="s">
        <v>362</v>
      </c>
    </row>
    <row r="2059" spans="1:10" x14ac:dyDescent="0.35">
      <c r="A2059" s="38" t="s">
        <v>363</v>
      </c>
      <c r="B2059" s="39">
        <v>6.8900000000000005E-4</v>
      </c>
      <c r="C2059" s="38" t="s">
        <v>33</v>
      </c>
      <c r="D2059" s="38" t="s">
        <v>9</v>
      </c>
      <c r="E2059" s="38"/>
      <c r="F2059" s="38" t="s">
        <v>21</v>
      </c>
      <c r="G2059" s="38"/>
      <c r="H2059" s="38"/>
      <c r="I2059" s="38"/>
      <c r="J2059" s="38" t="s">
        <v>364</v>
      </c>
    </row>
    <row r="2060" spans="1:10" x14ac:dyDescent="0.35">
      <c r="A2060" s="38" t="s">
        <v>108</v>
      </c>
      <c r="B2060" s="38">
        <v>3.3599999999999998E-2</v>
      </c>
      <c r="C2060" s="38" t="s">
        <v>33</v>
      </c>
      <c r="D2060" s="38" t="s">
        <v>45</v>
      </c>
      <c r="E2060" s="38"/>
      <c r="F2060" s="38" t="s">
        <v>21</v>
      </c>
      <c r="G2060" s="38"/>
      <c r="H2060" s="38"/>
      <c r="I2060" s="38"/>
      <c r="J2060" s="38" t="s">
        <v>111</v>
      </c>
    </row>
    <row r="2061" spans="1:10" x14ac:dyDescent="0.35">
      <c r="A2061" s="38" t="s">
        <v>365</v>
      </c>
      <c r="B2061" s="38">
        <v>3.2599999999999997E-2</v>
      </c>
      <c r="C2061" s="38" t="s">
        <v>33</v>
      </c>
      <c r="D2061" s="38" t="s">
        <v>45</v>
      </c>
      <c r="E2061" s="38"/>
      <c r="F2061" s="38" t="s">
        <v>21</v>
      </c>
      <c r="G2061" s="38"/>
      <c r="H2061" s="38"/>
      <c r="I2061" s="38"/>
      <c r="J2061" s="38" t="s">
        <v>366</v>
      </c>
    </row>
    <row r="2062" spans="1:10" x14ac:dyDescent="0.35">
      <c r="A2062" s="38" t="s">
        <v>367</v>
      </c>
      <c r="B2062" s="39">
        <v>-6.8899999999999999E-7</v>
      </c>
      <c r="C2062" s="38" t="s">
        <v>33</v>
      </c>
      <c r="D2062" s="38" t="s">
        <v>131</v>
      </c>
      <c r="E2062" s="38"/>
      <c r="F2062" s="38" t="s">
        <v>21</v>
      </c>
      <c r="G2062" s="38"/>
      <c r="H2062" s="38"/>
      <c r="I2062" s="38"/>
      <c r="J2062" s="38" t="s">
        <v>368</v>
      </c>
    </row>
    <row r="2064" spans="1:10" ht="15.5" x14ac:dyDescent="0.35">
      <c r="A2064" s="1" t="s">
        <v>1</v>
      </c>
      <c r="B2064" s="1" t="s">
        <v>588</v>
      </c>
    </row>
    <row r="2065" spans="1:10" x14ac:dyDescent="0.35">
      <c r="A2065" t="s">
        <v>2</v>
      </c>
      <c r="B2065" t="s">
        <v>3</v>
      </c>
    </row>
    <row r="2066" spans="1:10" x14ac:dyDescent="0.35">
      <c r="A2066" t="s">
        <v>4</v>
      </c>
      <c r="B2066">
        <v>1</v>
      </c>
    </row>
    <row r="2067" spans="1:10" ht="15.5" x14ac:dyDescent="0.35">
      <c r="A2067" t="s">
        <v>5</v>
      </c>
      <c r="B2067" s="2" t="s">
        <v>350</v>
      </c>
    </row>
    <row r="2068" spans="1:10" x14ac:dyDescent="0.35">
      <c r="A2068" t="s">
        <v>6</v>
      </c>
      <c r="B2068" t="s">
        <v>7</v>
      </c>
    </row>
    <row r="2069" spans="1:10" x14ac:dyDescent="0.35">
      <c r="A2069" t="s">
        <v>8</v>
      </c>
      <c r="B2069" t="s">
        <v>9</v>
      </c>
    </row>
    <row r="2070" spans="1:10" x14ac:dyDescent="0.35">
      <c r="A2070" t="s">
        <v>10</v>
      </c>
      <c r="B2070" t="s">
        <v>406</v>
      </c>
    </row>
    <row r="2071" spans="1:10" x14ac:dyDescent="0.35">
      <c r="A2071" t="s">
        <v>12</v>
      </c>
      <c r="B2071" t="s">
        <v>374</v>
      </c>
    </row>
    <row r="2072" spans="1:10" ht="15.5" x14ac:dyDescent="0.35">
      <c r="A2072" s="1" t="s">
        <v>13</v>
      </c>
    </row>
    <row r="2073" spans="1:10" x14ac:dyDescent="0.35">
      <c r="A2073" t="s">
        <v>14</v>
      </c>
      <c r="B2073" t="s">
        <v>15</v>
      </c>
      <c r="C2073" t="s">
        <v>2</v>
      </c>
      <c r="D2073" t="s">
        <v>8</v>
      </c>
      <c r="E2073" t="s">
        <v>16</v>
      </c>
      <c r="F2073" t="s">
        <v>6</v>
      </c>
      <c r="G2073" t="s">
        <v>351</v>
      </c>
      <c r="H2073" t="s">
        <v>352</v>
      </c>
      <c r="I2073" t="s">
        <v>12</v>
      </c>
      <c r="J2073" t="s">
        <v>5</v>
      </c>
    </row>
    <row r="2074" spans="1:10" x14ac:dyDescent="0.35">
      <c r="A2074" s="38" t="s">
        <v>588</v>
      </c>
      <c r="B2074" s="38">
        <v>1</v>
      </c>
      <c r="C2074" t="s">
        <v>3</v>
      </c>
      <c r="D2074" s="38" t="s">
        <v>9</v>
      </c>
      <c r="E2074" s="38"/>
      <c r="F2074" s="38" t="s">
        <v>18</v>
      </c>
      <c r="G2074" s="38"/>
      <c r="H2074" s="38"/>
      <c r="I2074" s="38" t="s">
        <v>19</v>
      </c>
      <c r="J2074" s="38" t="s">
        <v>350</v>
      </c>
    </row>
    <row r="2075" spans="1:10" ht="15.5" x14ac:dyDescent="0.35">
      <c r="A2075" s="2" t="s">
        <v>576</v>
      </c>
      <c r="B2075">
        <v>1.00057</v>
      </c>
      <c r="C2075" t="s">
        <v>3</v>
      </c>
      <c r="D2075" t="s">
        <v>9</v>
      </c>
      <c r="F2075" s="38" t="s">
        <v>21</v>
      </c>
      <c r="G2075" t="s">
        <v>19</v>
      </c>
      <c r="I2075" s="38"/>
      <c r="J2075" s="2" t="s">
        <v>443</v>
      </c>
    </row>
    <row r="2076" spans="1:10" x14ac:dyDescent="0.35">
      <c r="A2076" s="38" t="s">
        <v>30</v>
      </c>
      <c r="B2076" s="38">
        <v>6.7000000000000002E-3</v>
      </c>
      <c r="C2076" t="s">
        <v>3</v>
      </c>
      <c r="D2076" s="38" t="s">
        <v>31</v>
      </c>
      <c r="E2076" s="38"/>
      <c r="F2076" s="38" t="s">
        <v>21</v>
      </c>
      <c r="G2076" s="38"/>
      <c r="H2076" s="38"/>
      <c r="I2076" s="38"/>
      <c r="J2076" s="38" t="s">
        <v>32</v>
      </c>
    </row>
    <row r="2077" spans="1:10" x14ac:dyDescent="0.35">
      <c r="A2077" s="38" t="s">
        <v>353</v>
      </c>
      <c r="B2077" s="38">
        <v>-1.6799999999999999E-4</v>
      </c>
      <c r="C2077" s="38" t="s">
        <v>33</v>
      </c>
      <c r="D2077" s="38" t="s">
        <v>9</v>
      </c>
      <c r="E2077" s="38"/>
      <c r="F2077" s="38" t="s">
        <v>21</v>
      </c>
      <c r="G2077" s="38"/>
      <c r="H2077" s="38"/>
      <c r="I2077" s="38"/>
      <c r="J2077" s="38" t="s">
        <v>354</v>
      </c>
    </row>
    <row r="2078" spans="1:10" x14ac:dyDescent="0.35">
      <c r="A2078" s="38" t="s">
        <v>355</v>
      </c>
      <c r="B2078" s="39">
        <v>5.8399999999999999E-4</v>
      </c>
      <c r="C2078" s="38" t="s">
        <v>33</v>
      </c>
      <c r="D2078" s="38" t="s">
        <v>20</v>
      </c>
      <c r="E2078" s="38"/>
      <c r="F2078" s="38" t="s">
        <v>21</v>
      </c>
      <c r="G2078" s="38"/>
      <c r="H2078" s="38"/>
      <c r="I2078" s="38"/>
      <c r="J2078" s="38" t="s">
        <v>356</v>
      </c>
    </row>
    <row r="2079" spans="1:10" x14ac:dyDescent="0.35">
      <c r="A2079" s="38" t="s">
        <v>357</v>
      </c>
      <c r="B2079" s="39">
        <v>2.5999999999999998E-10</v>
      </c>
      <c r="C2079" s="38" t="s">
        <v>33</v>
      </c>
      <c r="D2079" s="38" t="s">
        <v>8</v>
      </c>
      <c r="E2079" s="38"/>
      <c r="F2079" s="38" t="s">
        <v>21</v>
      </c>
      <c r="G2079" s="38"/>
      <c r="H2079" s="38"/>
      <c r="I2079" s="38"/>
      <c r="J2079" s="38" t="s">
        <v>358</v>
      </c>
    </row>
    <row r="2080" spans="1:10" x14ac:dyDescent="0.35">
      <c r="A2080" s="38" t="s">
        <v>359</v>
      </c>
      <c r="B2080" s="39">
        <v>-6.2700000000000001E-6</v>
      </c>
      <c r="C2080" s="38" t="s">
        <v>33</v>
      </c>
      <c r="D2080" s="38" t="s">
        <v>9</v>
      </c>
      <c r="E2080" s="38"/>
      <c r="F2080" s="38" t="s">
        <v>21</v>
      </c>
      <c r="G2080" s="38"/>
      <c r="H2080" s="38"/>
      <c r="I2080" s="38"/>
      <c r="J2080" s="38" t="s">
        <v>360</v>
      </c>
    </row>
    <row r="2081" spans="1:10" x14ac:dyDescent="0.35">
      <c r="A2081" s="38" t="s">
        <v>361</v>
      </c>
      <c r="B2081" s="39">
        <v>-7.4999999999999993E-5</v>
      </c>
      <c r="C2081" s="38" t="s">
        <v>33</v>
      </c>
      <c r="D2081" s="38" t="s">
        <v>131</v>
      </c>
      <c r="E2081" s="38"/>
      <c r="F2081" s="38" t="s">
        <v>21</v>
      </c>
      <c r="G2081" s="38"/>
      <c r="H2081" s="38"/>
      <c r="I2081" s="38"/>
      <c r="J2081" s="38" t="s">
        <v>362</v>
      </c>
    </row>
    <row r="2082" spans="1:10" x14ac:dyDescent="0.35">
      <c r="A2082" s="38" t="s">
        <v>363</v>
      </c>
      <c r="B2082" s="39">
        <v>6.8900000000000005E-4</v>
      </c>
      <c r="C2082" s="38" t="s">
        <v>33</v>
      </c>
      <c r="D2082" s="38" t="s">
        <v>9</v>
      </c>
      <c r="E2082" s="38"/>
      <c r="F2082" s="38" t="s">
        <v>21</v>
      </c>
      <c r="G2082" s="38"/>
      <c r="H2082" s="38"/>
      <c r="I2082" s="38"/>
      <c r="J2082" s="38" t="s">
        <v>364</v>
      </c>
    </row>
    <row r="2083" spans="1:10" x14ac:dyDescent="0.35">
      <c r="A2083" s="38" t="s">
        <v>108</v>
      </c>
      <c r="B2083" s="38">
        <v>3.3599999999999998E-2</v>
      </c>
      <c r="C2083" s="38" t="s">
        <v>33</v>
      </c>
      <c r="D2083" s="38" t="s">
        <v>45</v>
      </c>
      <c r="E2083" s="38"/>
      <c r="F2083" s="38" t="s">
        <v>21</v>
      </c>
      <c r="G2083" s="38"/>
      <c r="H2083" s="38"/>
      <c r="I2083" s="38"/>
      <c r="J2083" s="38" t="s">
        <v>111</v>
      </c>
    </row>
    <row r="2084" spans="1:10" x14ac:dyDescent="0.35">
      <c r="A2084" s="38" t="s">
        <v>365</v>
      </c>
      <c r="B2084" s="38">
        <v>3.2599999999999997E-2</v>
      </c>
      <c r="C2084" s="38" t="s">
        <v>33</v>
      </c>
      <c r="D2084" s="38" t="s">
        <v>45</v>
      </c>
      <c r="E2084" s="38"/>
      <c r="F2084" s="38" t="s">
        <v>21</v>
      </c>
      <c r="G2084" s="38"/>
      <c r="H2084" s="38"/>
      <c r="I2084" s="38"/>
      <c r="J2084" s="38" t="s">
        <v>366</v>
      </c>
    </row>
    <row r="2085" spans="1:10" x14ac:dyDescent="0.35">
      <c r="A2085" s="38" t="s">
        <v>367</v>
      </c>
      <c r="B2085" s="39">
        <v>-6.8899999999999999E-7</v>
      </c>
      <c r="C2085" s="38" t="s">
        <v>33</v>
      </c>
      <c r="D2085" s="38" t="s">
        <v>131</v>
      </c>
      <c r="E2085" s="38"/>
      <c r="F2085" s="38" t="s">
        <v>21</v>
      </c>
      <c r="G2085" s="38"/>
      <c r="H2085" s="38"/>
      <c r="I2085" s="38"/>
      <c r="J2085" s="38" t="s">
        <v>368</v>
      </c>
    </row>
    <row r="2087" spans="1:10" ht="15.5" x14ac:dyDescent="0.35">
      <c r="A2087" s="1" t="s">
        <v>1</v>
      </c>
      <c r="B2087" s="1" t="s">
        <v>589</v>
      </c>
    </row>
    <row r="2088" spans="1:10" x14ac:dyDescent="0.35">
      <c r="A2088" t="s">
        <v>2</v>
      </c>
      <c r="B2088" t="s">
        <v>3</v>
      </c>
    </row>
    <row r="2089" spans="1:10" x14ac:dyDescent="0.35">
      <c r="A2089" t="s">
        <v>4</v>
      </c>
      <c r="B2089">
        <v>1</v>
      </c>
    </row>
    <row r="2090" spans="1:10" ht="15.5" x14ac:dyDescent="0.35">
      <c r="A2090" t="s">
        <v>5</v>
      </c>
      <c r="B2090" s="2" t="s">
        <v>350</v>
      </c>
    </row>
    <row r="2091" spans="1:10" x14ac:dyDescent="0.35">
      <c r="A2091" t="s">
        <v>6</v>
      </c>
      <c r="B2091" t="s">
        <v>7</v>
      </c>
    </row>
    <row r="2092" spans="1:10" x14ac:dyDescent="0.35">
      <c r="A2092" t="s">
        <v>8</v>
      </c>
      <c r="B2092" t="s">
        <v>9</v>
      </c>
    </row>
    <row r="2093" spans="1:10" x14ac:dyDescent="0.35">
      <c r="A2093" t="s">
        <v>10</v>
      </c>
      <c r="B2093" t="s">
        <v>406</v>
      </c>
    </row>
    <row r="2094" spans="1:10" x14ac:dyDescent="0.35">
      <c r="A2094" t="s">
        <v>12</v>
      </c>
      <c r="B2094" t="s">
        <v>525</v>
      </c>
    </row>
    <row r="2095" spans="1:10" ht="15.5" x14ac:dyDescent="0.35">
      <c r="A2095" s="1" t="s">
        <v>13</v>
      </c>
    </row>
    <row r="2096" spans="1:10" x14ac:dyDescent="0.35">
      <c r="A2096" t="s">
        <v>14</v>
      </c>
      <c r="B2096" t="s">
        <v>15</v>
      </c>
      <c r="C2096" t="s">
        <v>2</v>
      </c>
      <c r="D2096" t="s">
        <v>8</v>
      </c>
      <c r="E2096" t="s">
        <v>16</v>
      </c>
      <c r="F2096" t="s">
        <v>6</v>
      </c>
      <c r="G2096" t="s">
        <v>351</v>
      </c>
      <c r="H2096" t="s">
        <v>352</v>
      </c>
      <c r="I2096" t="s">
        <v>12</v>
      </c>
      <c r="J2096" t="s">
        <v>5</v>
      </c>
    </row>
    <row r="2097" spans="1:10" x14ac:dyDescent="0.35">
      <c r="A2097" s="38" t="s">
        <v>589</v>
      </c>
      <c r="B2097" s="38">
        <v>1</v>
      </c>
      <c r="C2097" t="s">
        <v>3</v>
      </c>
      <c r="D2097" s="38" t="s">
        <v>9</v>
      </c>
      <c r="E2097" s="38"/>
      <c r="F2097" s="38" t="s">
        <v>18</v>
      </c>
      <c r="G2097" s="38"/>
      <c r="H2097" s="38"/>
      <c r="I2097" s="38" t="s">
        <v>19</v>
      </c>
      <c r="J2097" s="38" t="s">
        <v>350</v>
      </c>
    </row>
    <row r="2098" spans="1:10" ht="15.5" x14ac:dyDescent="0.35">
      <c r="A2098" s="2" t="s">
        <v>577</v>
      </c>
      <c r="B2098">
        <v>1.00057</v>
      </c>
      <c r="C2098" t="s">
        <v>3</v>
      </c>
      <c r="D2098" t="s">
        <v>9</v>
      </c>
      <c r="F2098" s="38" t="s">
        <v>21</v>
      </c>
      <c r="G2098" t="s">
        <v>19</v>
      </c>
      <c r="I2098" s="38"/>
      <c r="J2098" s="2" t="s">
        <v>443</v>
      </c>
    </row>
    <row r="2099" spans="1:10" x14ac:dyDescent="0.35">
      <c r="A2099" s="38" t="s">
        <v>30</v>
      </c>
      <c r="B2099" s="38">
        <v>6.7000000000000002E-3</v>
      </c>
      <c r="C2099" t="s">
        <v>3</v>
      </c>
      <c r="D2099" s="38" t="s">
        <v>31</v>
      </c>
      <c r="E2099" s="38"/>
      <c r="F2099" s="38" t="s">
        <v>21</v>
      </c>
      <c r="G2099" s="38"/>
      <c r="H2099" s="38"/>
      <c r="I2099" s="38"/>
      <c r="J2099" s="38" t="s">
        <v>32</v>
      </c>
    </row>
    <row r="2100" spans="1:10" x14ac:dyDescent="0.35">
      <c r="A2100" s="38" t="s">
        <v>353</v>
      </c>
      <c r="B2100" s="38">
        <v>-1.6799999999999999E-4</v>
      </c>
      <c r="C2100" s="38" t="s">
        <v>33</v>
      </c>
      <c r="D2100" s="38" t="s">
        <v>9</v>
      </c>
      <c r="E2100" s="38"/>
      <c r="F2100" s="38" t="s">
        <v>21</v>
      </c>
      <c r="G2100" s="38"/>
      <c r="H2100" s="38"/>
      <c r="I2100" s="38"/>
      <c r="J2100" s="38" t="s">
        <v>354</v>
      </c>
    </row>
    <row r="2101" spans="1:10" x14ac:dyDescent="0.35">
      <c r="A2101" s="38" t="s">
        <v>355</v>
      </c>
      <c r="B2101" s="39">
        <v>5.8399999999999999E-4</v>
      </c>
      <c r="C2101" s="38" t="s">
        <v>33</v>
      </c>
      <c r="D2101" s="38" t="s">
        <v>20</v>
      </c>
      <c r="E2101" s="38"/>
      <c r="F2101" s="38" t="s">
        <v>21</v>
      </c>
      <c r="G2101" s="38"/>
      <c r="H2101" s="38"/>
      <c r="I2101" s="38"/>
      <c r="J2101" s="38" t="s">
        <v>356</v>
      </c>
    </row>
    <row r="2102" spans="1:10" x14ac:dyDescent="0.35">
      <c r="A2102" s="38" t="s">
        <v>357</v>
      </c>
      <c r="B2102" s="39">
        <v>2.5999999999999998E-10</v>
      </c>
      <c r="C2102" s="38" t="s">
        <v>33</v>
      </c>
      <c r="D2102" s="38" t="s">
        <v>8</v>
      </c>
      <c r="E2102" s="38"/>
      <c r="F2102" s="38" t="s">
        <v>21</v>
      </c>
      <c r="G2102" s="38"/>
      <c r="H2102" s="38"/>
      <c r="I2102" s="38"/>
      <c r="J2102" s="38" t="s">
        <v>358</v>
      </c>
    </row>
    <row r="2103" spans="1:10" x14ac:dyDescent="0.35">
      <c r="A2103" s="38" t="s">
        <v>359</v>
      </c>
      <c r="B2103" s="39">
        <v>-6.2700000000000001E-6</v>
      </c>
      <c r="C2103" s="38" t="s">
        <v>33</v>
      </c>
      <c r="D2103" s="38" t="s">
        <v>9</v>
      </c>
      <c r="E2103" s="38"/>
      <c r="F2103" s="38" t="s">
        <v>21</v>
      </c>
      <c r="G2103" s="38"/>
      <c r="H2103" s="38"/>
      <c r="I2103" s="38"/>
      <c r="J2103" s="38" t="s">
        <v>360</v>
      </c>
    </row>
    <row r="2104" spans="1:10" x14ac:dyDescent="0.35">
      <c r="A2104" s="38" t="s">
        <v>361</v>
      </c>
      <c r="B2104" s="39">
        <v>-7.4999999999999993E-5</v>
      </c>
      <c r="C2104" s="38" t="s">
        <v>33</v>
      </c>
      <c r="D2104" s="38" t="s">
        <v>131</v>
      </c>
      <c r="E2104" s="38"/>
      <c r="F2104" s="38" t="s">
        <v>21</v>
      </c>
      <c r="G2104" s="38"/>
      <c r="H2104" s="38"/>
      <c r="I2104" s="38"/>
      <c r="J2104" s="38" t="s">
        <v>362</v>
      </c>
    </row>
    <row r="2105" spans="1:10" x14ac:dyDescent="0.35">
      <c r="A2105" s="38" t="s">
        <v>363</v>
      </c>
      <c r="B2105" s="39">
        <v>6.8900000000000005E-4</v>
      </c>
      <c r="C2105" s="38" t="s">
        <v>33</v>
      </c>
      <c r="D2105" s="38" t="s">
        <v>9</v>
      </c>
      <c r="E2105" s="38"/>
      <c r="F2105" s="38" t="s">
        <v>21</v>
      </c>
      <c r="G2105" s="38"/>
      <c r="H2105" s="38"/>
      <c r="I2105" s="38"/>
      <c r="J2105" s="38" t="s">
        <v>364</v>
      </c>
    </row>
    <row r="2106" spans="1:10" x14ac:dyDescent="0.35">
      <c r="A2106" s="38" t="s">
        <v>108</v>
      </c>
      <c r="B2106" s="38">
        <v>3.3599999999999998E-2</v>
      </c>
      <c r="C2106" s="38" t="s">
        <v>33</v>
      </c>
      <c r="D2106" s="38" t="s">
        <v>45</v>
      </c>
      <c r="E2106" s="38"/>
      <c r="F2106" s="38" t="s">
        <v>21</v>
      </c>
      <c r="G2106" s="38"/>
      <c r="H2106" s="38"/>
      <c r="I2106" s="38"/>
      <c r="J2106" s="38" t="s">
        <v>111</v>
      </c>
    </row>
    <row r="2107" spans="1:10" x14ac:dyDescent="0.35">
      <c r="A2107" s="38" t="s">
        <v>365</v>
      </c>
      <c r="B2107" s="38">
        <v>3.2599999999999997E-2</v>
      </c>
      <c r="C2107" s="38" t="s">
        <v>33</v>
      </c>
      <c r="D2107" s="38" t="s">
        <v>45</v>
      </c>
      <c r="E2107" s="38"/>
      <c r="F2107" s="38" t="s">
        <v>21</v>
      </c>
      <c r="G2107" s="38"/>
      <c r="H2107" s="38"/>
      <c r="I2107" s="38"/>
      <c r="J2107" s="38" t="s">
        <v>366</v>
      </c>
    </row>
    <row r="2108" spans="1:10" x14ac:dyDescent="0.35">
      <c r="A2108" s="38" t="s">
        <v>367</v>
      </c>
      <c r="B2108" s="39">
        <v>-6.8899999999999999E-7</v>
      </c>
      <c r="C2108" s="38" t="s">
        <v>33</v>
      </c>
      <c r="D2108" s="38" t="s">
        <v>131</v>
      </c>
      <c r="E2108" s="38"/>
      <c r="F2108" s="38" t="s">
        <v>21</v>
      </c>
      <c r="G2108" s="38"/>
      <c r="H2108" s="38"/>
      <c r="I2108" s="38"/>
      <c r="J2108" s="38" t="s">
        <v>368</v>
      </c>
    </row>
  </sheetData>
  <hyperlinks>
    <hyperlink ref="G908" r:id="rId1" xr:uid="{00000000-0004-0000-0100-000000000000}"/>
    <hyperlink ref="G907" r:id="rId2" xr:uid="{00000000-0004-0000-0100-000001000000}"/>
    <hyperlink ref="G205" r:id="rId3" location="poplar. Assumes 15% moisture content." xr:uid="{00000000-0004-0000-0100-000002000000}"/>
    <hyperlink ref="G196" r:id="rId4" location="poplar. Assumes 15% moisture content." xr:uid="{00000000-0004-0000-0100-000003000000}"/>
    <hyperlink ref="G23" r:id="rId5" location="switchgrass. Assumes 15% moisture content." xr:uid="{00000000-0004-0000-0100-000004000000}"/>
    <hyperlink ref="G24" r:id="rId6" location="switchgrass. Assumes 15% moisture content." xr:uid="{00000000-0004-0000-0100-00000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34"/>
  <sheetViews>
    <sheetView topLeftCell="A25" workbookViewId="0">
      <selection activeCell="M33" sqref="M33"/>
    </sheetView>
  </sheetViews>
  <sheetFormatPr defaultRowHeight="14.5" x14ac:dyDescent="0.35"/>
  <cols>
    <col min="1" max="1" width="52.54296875" customWidth="1"/>
    <col min="2" max="2" width="12" bestFit="1" customWidth="1"/>
    <col min="4" max="4" width="17.453125" customWidth="1"/>
  </cols>
  <sheetData>
    <row r="1" spans="1:8" ht="15.5" x14ac:dyDescent="0.35">
      <c r="A1" s="1" t="s">
        <v>1</v>
      </c>
      <c r="B1" s="1" t="s">
        <v>80</v>
      </c>
    </row>
    <row r="2" spans="1:8" x14ac:dyDescent="0.35">
      <c r="A2" t="s">
        <v>2</v>
      </c>
      <c r="B2" t="s">
        <v>276</v>
      </c>
    </row>
    <row r="3" spans="1:8" x14ac:dyDescent="0.35">
      <c r="A3" t="s">
        <v>4</v>
      </c>
      <c r="B3">
        <v>1</v>
      </c>
    </row>
    <row r="4" spans="1:8" ht="15.5" x14ac:dyDescent="0.35">
      <c r="A4" t="s">
        <v>5</v>
      </c>
      <c r="B4" s="2" t="s">
        <v>81</v>
      </c>
    </row>
    <row r="5" spans="1:8" x14ac:dyDescent="0.35">
      <c r="A5" t="s">
        <v>6</v>
      </c>
      <c r="B5" t="s">
        <v>7</v>
      </c>
    </row>
    <row r="6" spans="1:8" x14ac:dyDescent="0.35">
      <c r="A6" t="s">
        <v>8</v>
      </c>
      <c r="B6" t="s">
        <v>9</v>
      </c>
    </row>
    <row r="7" spans="1:8" x14ac:dyDescent="0.35">
      <c r="A7" t="s">
        <v>10</v>
      </c>
      <c r="B7" t="s">
        <v>271</v>
      </c>
    </row>
    <row r="8" spans="1:8" x14ac:dyDescent="0.35">
      <c r="A8" t="s">
        <v>28</v>
      </c>
      <c r="B8" t="s">
        <v>280</v>
      </c>
    </row>
    <row r="9" spans="1:8" ht="15.5" x14ac:dyDescent="0.35">
      <c r="A9" s="1" t="s">
        <v>13</v>
      </c>
    </row>
    <row r="10" spans="1:8" x14ac:dyDescent="0.35">
      <c r="A10" t="s">
        <v>14</v>
      </c>
      <c r="B10" t="s">
        <v>15</v>
      </c>
      <c r="C10" t="s">
        <v>2</v>
      </c>
      <c r="D10" t="s">
        <v>8</v>
      </c>
      <c r="E10" t="s">
        <v>16</v>
      </c>
      <c r="F10" t="s">
        <v>6</v>
      </c>
      <c r="G10" t="s">
        <v>12</v>
      </c>
      <c r="H10" t="s">
        <v>5</v>
      </c>
    </row>
    <row r="11" spans="1:8" ht="15.5" x14ac:dyDescent="0.35">
      <c r="A11" s="2" t="s">
        <v>80</v>
      </c>
      <c r="B11">
        <v>1</v>
      </c>
      <c r="C11" t="s">
        <v>276</v>
      </c>
      <c r="D11" t="s">
        <v>9</v>
      </c>
      <c r="F11" t="s">
        <v>18</v>
      </c>
      <c r="G11" t="s">
        <v>19</v>
      </c>
      <c r="H11" s="2" t="s">
        <v>81</v>
      </c>
    </row>
    <row r="12" spans="1:8" x14ac:dyDescent="0.35">
      <c r="A12" t="s">
        <v>46</v>
      </c>
      <c r="B12">
        <f>1.23/1000</f>
        <v>1.23E-3</v>
      </c>
      <c r="C12" t="s">
        <v>276</v>
      </c>
      <c r="D12" t="s">
        <v>9</v>
      </c>
      <c r="F12" t="s">
        <v>21</v>
      </c>
      <c r="G12" t="s">
        <v>272</v>
      </c>
      <c r="H12" t="s">
        <v>47</v>
      </c>
    </row>
    <row r="13" spans="1:8" x14ac:dyDescent="0.35">
      <c r="A13" t="s">
        <v>48</v>
      </c>
      <c r="B13">
        <f>0.14/1000</f>
        <v>1.4000000000000001E-4</v>
      </c>
      <c r="C13" t="s">
        <v>276</v>
      </c>
      <c r="D13" t="s">
        <v>9</v>
      </c>
      <c r="F13" t="s">
        <v>21</v>
      </c>
      <c r="G13" t="s">
        <v>272</v>
      </c>
      <c r="H13" t="s">
        <v>49</v>
      </c>
    </row>
    <row r="14" spans="1:8" x14ac:dyDescent="0.35">
      <c r="A14" t="s">
        <v>50</v>
      </c>
      <c r="B14">
        <f>1.31/1000</f>
        <v>1.31E-3</v>
      </c>
      <c r="C14" t="s">
        <v>276</v>
      </c>
      <c r="D14" t="s">
        <v>9</v>
      </c>
      <c r="F14" t="s">
        <v>21</v>
      </c>
      <c r="G14" t="s">
        <v>272</v>
      </c>
      <c r="H14" t="s">
        <v>51</v>
      </c>
    </row>
    <row r="15" spans="1:8" ht="15" customHeight="1" x14ac:dyDescent="0.35">
      <c r="A15" s="32" t="s">
        <v>52</v>
      </c>
      <c r="B15">
        <f>5/1000</f>
        <v>5.0000000000000001E-3</v>
      </c>
      <c r="C15" t="s">
        <v>27</v>
      </c>
      <c r="D15" t="s">
        <v>9</v>
      </c>
      <c r="F15" t="s">
        <v>21</v>
      </c>
      <c r="G15" t="s">
        <v>273</v>
      </c>
      <c r="H15" s="8" t="s">
        <v>53</v>
      </c>
    </row>
    <row r="16" spans="1:8" x14ac:dyDescent="0.35">
      <c r="A16" t="s">
        <v>113</v>
      </c>
      <c r="B16" s="7">
        <f>0.0167/1000*0.16</f>
        <v>2.672E-6</v>
      </c>
      <c r="C16" t="s">
        <v>27</v>
      </c>
      <c r="D16" t="s">
        <v>9</v>
      </c>
      <c r="F16" t="s">
        <v>21</v>
      </c>
      <c r="G16" t="s">
        <v>56</v>
      </c>
      <c r="H16" t="s">
        <v>114</v>
      </c>
    </row>
    <row r="17" spans="1:8" x14ac:dyDescent="0.35">
      <c r="A17" t="s">
        <v>54</v>
      </c>
      <c r="B17" s="7">
        <f>0.0167/1000*0.84</f>
        <v>1.4027999999999999E-5</v>
      </c>
      <c r="C17" t="s">
        <v>27</v>
      </c>
      <c r="D17" t="s">
        <v>9</v>
      </c>
      <c r="F17" t="s">
        <v>21</v>
      </c>
      <c r="G17" t="s">
        <v>55</v>
      </c>
      <c r="H17" t="s">
        <v>57</v>
      </c>
    </row>
    <row r="18" spans="1:8" x14ac:dyDescent="0.35">
      <c r="A18" t="s">
        <v>23</v>
      </c>
      <c r="B18" s="5">
        <f>67.5/1000</f>
        <v>6.7500000000000004E-2</v>
      </c>
      <c r="C18" t="s">
        <v>27</v>
      </c>
      <c r="D18" t="s">
        <v>20</v>
      </c>
      <c r="F18" t="s">
        <v>21</v>
      </c>
      <c r="G18" t="s">
        <v>274</v>
      </c>
      <c r="H18" t="s">
        <v>24</v>
      </c>
    </row>
    <row r="19" spans="1:8" x14ac:dyDescent="0.35">
      <c r="A19" t="s">
        <v>43</v>
      </c>
      <c r="B19">
        <f>27.3/1000</f>
        <v>2.7300000000000001E-2</v>
      </c>
      <c r="C19" t="s">
        <v>33</v>
      </c>
      <c r="D19" t="s">
        <v>45</v>
      </c>
      <c r="F19" t="s">
        <v>21</v>
      </c>
      <c r="G19" t="s">
        <v>275</v>
      </c>
      <c r="H19" t="s">
        <v>44</v>
      </c>
    </row>
    <row r="20" spans="1:8" x14ac:dyDescent="0.35">
      <c r="A20" t="s">
        <v>330</v>
      </c>
      <c r="B20" s="7">
        <f>1.1604/80000</f>
        <v>1.4505000000000001E-5</v>
      </c>
      <c r="C20" t="s">
        <v>27</v>
      </c>
      <c r="D20" t="s">
        <v>9</v>
      </c>
      <c r="F20" t="s">
        <v>21</v>
      </c>
      <c r="G20" t="s">
        <v>331</v>
      </c>
      <c r="H20" t="s">
        <v>332</v>
      </c>
    </row>
    <row r="21" spans="1:8" x14ac:dyDescent="0.35">
      <c r="A21" t="s">
        <v>333</v>
      </c>
      <c r="B21" s="7">
        <f>0.002/80000</f>
        <v>2.4999999999999999E-8</v>
      </c>
      <c r="C21" t="s">
        <v>27</v>
      </c>
      <c r="D21" t="s">
        <v>125</v>
      </c>
      <c r="F21" t="s">
        <v>21</v>
      </c>
      <c r="G21" t="s">
        <v>331</v>
      </c>
      <c r="H21" t="s">
        <v>334</v>
      </c>
    </row>
    <row r="22" spans="1:8" x14ac:dyDescent="0.35">
      <c r="A22" t="s">
        <v>335</v>
      </c>
      <c r="B22" s="7">
        <f>0.68034/80000</f>
        <v>8.5042499999999991E-6</v>
      </c>
      <c r="C22" t="s">
        <v>27</v>
      </c>
      <c r="D22" t="s">
        <v>9</v>
      </c>
      <c r="F22" t="s">
        <v>21</v>
      </c>
      <c r="G22" t="s">
        <v>331</v>
      </c>
      <c r="H22" t="s">
        <v>336</v>
      </c>
    </row>
    <row r="23" spans="1:8" x14ac:dyDescent="0.35">
      <c r="A23" t="s">
        <v>277</v>
      </c>
      <c r="B23" s="4">
        <f>0.175*0.184*1.316</f>
        <v>4.2375200000000002E-2</v>
      </c>
      <c r="D23" t="s">
        <v>9</v>
      </c>
      <c r="E23" t="s">
        <v>39</v>
      </c>
      <c r="F23" t="s">
        <v>38</v>
      </c>
      <c r="G23" t="s">
        <v>373</v>
      </c>
    </row>
    <row r="24" spans="1:8" x14ac:dyDescent="0.35">
      <c r="A24" t="s">
        <v>340</v>
      </c>
      <c r="B24" s="7">
        <v>5.7330000000000002E-5</v>
      </c>
      <c r="D24" t="s">
        <v>9</v>
      </c>
      <c r="E24" t="s">
        <v>179</v>
      </c>
      <c r="F24" t="s">
        <v>38</v>
      </c>
      <c r="G24" t="s">
        <v>347</v>
      </c>
    </row>
    <row r="25" spans="1:8" x14ac:dyDescent="0.35">
      <c r="A25" t="s">
        <v>165</v>
      </c>
      <c r="B25" s="7">
        <v>3.1E-6</v>
      </c>
      <c r="D25" t="s">
        <v>9</v>
      </c>
      <c r="E25" t="s">
        <v>180</v>
      </c>
      <c r="F25" t="s">
        <v>38</v>
      </c>
      <c r="G25" t="s">
        <v>347</v>
      </c>
    </row>
    <row r="26" spans="1:8" x14ac:dyDescent="0.35">
      <c r="A26" t="s">
        <v>341</v>
      </c>
      <c r="B26">
        <v>9.0073860565664E-3</v>
      </c>
      <c r="D26" t="s">
        <v>125</v>
      </c>
      <c r="E26" t="s">
        <v>124</v>
      </c>
      <c r="F26" t="s">
        <v>38</v>
      </c>
      <c r="G26" t="s">
        <v>347</v>
      </c>
    </row>
    <row r="27" spans="1:8" x14ac:dyDescent="0.35">
      <c r="A27" t="s">
        <v>42</v>
      </c>
      <c r="B27" s="7">
        <v>7.7066565905287499E-5</v>
      </c>
      <c r="D27" t="s">
        <v>9</v>
      </c>
      <c r="E27" t="s">
        <v>179</v>
      </c>
      <c r="F27" t="s">
        <v>38</v>
      </c>
      <c r="G27" t="s">
        <v>347</v>
      </c>
    </row>
    <row r="28" spans="1:8" x14ac:dyDescent="0.35">
      <c r="A28" t="s">
        <v>204</v>
      </c>
      <c r="B28" s="7">
        <v>3.9690000000000001E-5</v>
      </c>
      <c r="D28" t="s">
        <v>9</v>
      </c>
      <c r="E28" t="s">
        <v>179</v>
      </c>
      <c r="F28" t="s">
        <v>38</v>
      </c>
      <c r="G28" t="s">
        <v>347</v>
      </c>
    </row>
    <row r="29" spans="1:8" x14ac:dyDescent="0.35">
      <c r="A29" t="s">
        <v>342</v>
      </c>
      <c r="B29" s="7">
        <v>1.1466E-4</v>
      </c>
      <c r="D29" t="s">
        <v>9</v>
      </c>
      <c r="E29" t="s">
        <v>179</v>
      </c>
      <c r="F29" t="s">
        <v>38</v>
      </c>
      <c r="G29" t="s">
        <v>347</v>
      </c>
    </row>
    <row r="30" spans="1:8" x14ac:dyDescent="0.35">
      <c r="A30" t="s">
        <v>343</v>
      </c>
      <c r="B30" s="7">
        <v>9.7000000000000003E-6</v>
      </c>
      <c r="D30" t="s">
        <v>9</v>
      </c>
      <c r="E30" t="s">
        <v>180</v>
      </c>
      <c r="F30" t="s">
        <v>38</v>
      </c>
      <c r="G30" t="s">
        <v>347</v>
      </c>
    </row>
    <row r="31" spans="1:8" x14ac:dyDescent="0.35">
      <c r="A31" t="s">
        <v>339</v>
      </c>
      <c r="B31" s="7">
        <v>5.8799999999999996E-6</v>
      </c>
      <c r="D31" t="s">
        <v>9</v>
      </c>
      <c r="E31" t="s">
        <v>179</v>
      </c>
      <c r="F31" t="s">
        <v>38</v>
      </c>
      <c r="G31" t="s">
        <v>347</v>
      </c>
    </row>
    <row r="32" spans="1:8" x14ac:dyDescent="0.35">
      <c r="A32" t="s">
        <v>211</v>
      </c>
      <c r="B32" s="7">
        <v>1.1400000000000001E-11</v>
      </c>
      <c r="D32" t="s">
        <v>9</v>
      </c>
      <c r="E32" t="s">
        <v>181</v>
      </c>
      <c r="F32" t="s">
        <v>38</v>
      </c>
      <c r="G32" t="s">
        <v>347</v>
      </c>
    </row>
    <row r="33" spans="1:7" x14ac:dyDescent="0.35">
      <c r="A33" t="s">
        <v>344</v>
      </c>
      <c r="B33">
        <v>0.18014772113132799</v>
      </c>
      <c r="D33" t="s">
        <v>123</v>
      </c>
      <c r="E33" t="s">
        <v>124</v>
      </c>
      <c r="F33" t="s">
        <v>38</v>
      </c>
      <c r="G33" t="s">
        <v>347</v>
      </c>
    </row>
    <row r="34" spans="1:7" x14ac:dyDescent="0.35">
      <c r="A34" t="s">
        <v>338</v>
      </c>
      <c r="B34">
        <v>2.7880000000000001E-3</v>
      </c>
      <c r="D34" t="s">
        <v>9</v>
      </c>
      <c r="E34" t="s">
        <v>179</v>
      </c>
      <c r="F34" t="s">
        <v>38</v>
      </c>
      <c r="G34" t="s">
        <v>347</v>
      </c>
    </row>
    <row r="35" spans="1:7" x14ac:dyDescent="0.35">
      <c r="A35" t="s">
        <v>164</v>
      </c>
      <c r="B35" s="7">
        <v>6.4700000000000001E-7</v>
      </c>
      <c r="D35" t="s">
        <v>9</v>
      </c>
      <c r="E35" t="s">
        <v>180</v>
      </c>
      <c r="F35" t="s">
        <v>38</v>
      </c>
      <c r="G35" t="s">
        <v>347</v>
      </c>
    </row>
    <row r="36" spans="1:7" x14ac:dyDescent="0.35">
      <c r="A36" t="s">
        <v>209</v>
      </c>
      <c r="B36" s="7">
        <v>9.6599999999999992E-13</v>
      </c>
      <c r="D36" t="s">
        <v>9</v>
      </c>
      <c r="E36" t="s">
        <v>181</v>
      </c>
      <c r="F36" t="s">
        <v>38</v>
      </c>
      <c r="G36" t="s">
        <v>347</v>
      </c>
    </row>
    <row r="37" spans="1:7" x14ac:dyDescent="0.35">
      <c r="A37" t="s">
        <v>148</v>
      </c>
      <c r="B37" s="7">
        <v>1.29E-7</v>
      </c>
      <c r="D37" t="s">
        <v>9</v>
      </c>
      <c r="E37" t="s">
        <v>180</v>
      </c>
      <c r="F37" t="s">
        <v>38</v>
      </c>
      <c r="G37" t="s">
        <v>347</v>
      </c>
    </row>
    <row r="38" spans="1:7" x14ac:dyDescent="0.35">
      <c r="A38" t="s">
        <v>202</v>
      </c>
      <c r="B38" s="7">
        <v>1.3523999999999999E-3</v>
      </c>
      <c r="D38" t="s">
        <v>9</v>
      </c>
      <c r="E38" t="s">
        <v>179</v>
      </c>
      <c r="F38" t="s">
        <v>38</v>
      </c>
      <c r="G38" t="s">
        <v>347</v>
      </c>
    </row>
    <row r="39" spans="1:7" x14ac:dyDescent="0.35">
      <c r="A39" t="s">
        <v>137</v>
      </c>
      <c r="B39" s="7">
        <v>6.6735928571428596E-4</v>
      </c>
      <c r="D39" t="s">
        <v>9</v>
      </c>
      <c r="E39" t="s">
        <v>179</v>
      </c>
      <c r="F39" t="s">
        <v>38</v>
      </c>
      <c r="G39" t="s">
        <v>347</v>
      </c>
    </row>
    <row r="40" spans="1:7" x14ac:dyDescent="0.35">
      <c r="A40" t="s">
        <v>183</v>
      </c>
      <c r="B40" s="7">
        <v>4.9021437578814702E-6</v>
      </c>
      <c r="D40" t="s">
        <v>9</v>
      </c>
      <c r="E40" t="s">
        <v>181</v>
      </c>
      <c r="F40" t="s">
        <v>38</v>
      </c>
      <c r="G40" t="s">
        <v>347</v>
      </c>
    </row>
    <row r="41" spans="1:7" x14ac:dyDescent="0.35">
      <c r="A41" t="s">
        <v>210</v>
      </c>
      <c r="B41" s="7">
        <v>1.1900000000000001E-11</v>
      </c>
      <c r="D41" t="s">
        <v>9</v>
      </c>
      <c r="E41" t="s">
        <v>181</v>
      </c>
      <c r="F41" t="s">
        <v>38</v>
      </c>
      <c r="G41" t="s">
        <v>347</v>
      </c>
    </row>
    <row r="42" spans="1:7" x14ac:dyDescent="0.35">
      <c r="A42" t="s">
        <v>337</v>
      </c>
      <c r="B42">
        <v>1.0289999999999999E-4</v>
      </c>
      <c r="D42" t="s">
        <v>9</v>
      </c>
      <c r="E42" t="s">
        <v>179</v>
      </c>
      <c r="F42" t="s">
        <v>38</v>
      </c>
      <c r="G42" t="s">
        <v>347</v>
      </c>
    </row>
    <row r="43" spans="1:7" x14ac:dyDescent="0.35">
      <c r="A43" t="s">
        <v>158</v>
      </c>
      <c r="B43" s="7">
        <v>9.6600000000000001E-9</v>
      </c>
      <c r="D43" t="s">
        <v>9</v>
      </c>
      <c r="E43" t="s">
        <v>180</v>
      </c>
      <c r="F43" t="s">
        <v>38</v>
      </c>
      <c r="G43" t="s">
        <v>347</v>
      </c>
    </row>
    <row r="44" spans="1:7" x14ac:dyDescent="0.35">
      <c r="A44" t="s">
        <v>178</v>
      </c>
      <c r="B44" s="7">
        <v>2.4699999999999998E-7</v>
      </c>
      <c r="D44" t="s">
        <v>9</v>
      </c>
      <c r="E44" t="s">
        <v>180</v>
      </c>
      <c r="F44" t="s">
        <v>38</v>
      </c>
      <c r="G44" t="s">
        <v>347</v>
      </c>
    </row>
    <row r="45" spans="1:7" x14ac:dyDescent="0.35">
      <c r="A45" t="s">
        <v>217</v>
      </c>
      <c r="B45" s="7">
        <v>6.4100000000000004E-11</v>
      </c>
      <c r="D45" t="s">
        <v>9</v>
      </c>
      <c r="E45" t="s">
        <v>181</v>
      </c>
      <c r="F45" t="s">
        <v>38</v>
      </c>
      <c r="G45" t="s">
        <v>347</v>
      </c>
    </row>
    <row r="46" spans="1:7" x14ac:dyDescent="0.35">
      <c r="A46" t="s">
        <v>155</v>
      </c>
      <c r="B46" s="7">
        <v>1.1899999999999999E-7</v>
      </c>
      <c r="D46" t="s">
        <v>9</v>
      </c>
      <c r="E46" t="s">
        <v>180</v>
      </c>
      <c r="F46" t="s">
        <v>38</v>
      </c>
      <c r="G46" t="s">
        <v>347</v>
      </c>
    </row>
    <row r="47" spans="1:7" x14ac:dyDescent="0.35">
      <c r="A47" t="s">
        <v>178</v>
      </c>
      <c r="B47" s="7">
        <v>2.4699999999999999E-11</v>
      </c>
      <c r="D47" t="s">
        <v>9</v>
      </c>
      <c r="E47" t="s">
        <v>181</v>
      </c>
      <c r="F47" t="s">
        <v>38</v>
      </c>
      <c r="G47" t="s">
        <v>347</v>
      </c>
    </row>
    <row r="48" spans="1:7" x14ac:dyDescent="0.35">
      <c r="A48" t="s">
        <v>40</v>
      </c>
      <c r="B48" s="7">
        <v>5.2717888840110397E-5</v>
      </c>
      <c r="D48" t="s">
        <v>9</v>
      </c>
      <c r="E48" t="s">
        <v>179</v>
      </c>
      <c r="F48" t="s">
        <v>38</v>
      </c>
      <c r="G48" t="s">
        <v>347</v>
      </c>
    </row>
    <row r="49" spans="1:7" x14ac:dyDescent="0.35">
      <c r="A49" t="s">
        <v>142</v>
      </c>
      <c r="B49" s="7">
        <v>1.14E-7</v>
      </c>
      <c r="D49" t="s">
        <v>9</v>
      </c>
      <c r="E49" t="s">
        <v>180</v>
      </c>
      <c r="F49" t="s">
        <v>38</v>
      </c>
      <c r="G49" t="s">
        <v>347</v>
      </c>
    </row>
    <row r="50" spans="1:7" x14ac:dyDescent="0.35">
      <c r="A50" t="s">
        <v>345</v>
      </c>
      <c r="B50">
        <v>9.0073860565664E-3</v>
      </c>
      <c r="D50" t="s">
        <v>125</v>
      </c>
      <c r="E50" t="s">
        <v>124</v>
      </c>
      <c r="F50" t="s">
        <v>38</v>
      </c>
      <c r="G50" t="s">
        <v>347</v>
      </c>
    </row>
    <row r="51" spans="1:7" x14ac:dyDescent="0.35">
      <c r="A51" t="s">
        <v>152</v>
      </c>
      <c r="B51" s="7">
        <v>6.4099999999999998E-7</v>
      </c>
      <c r="D51" t="s">
        <v>9</v>
      </c>
      <c r="E51" t="s">
        <v>180</v>
      </c>
      <c r="F51" t="s">
        <v>38</v>
      </c>
      <c r="G51" t="s">
        <v>347</v>
      </c>
    </row>
    <row r="52" spans="1:7" x14ac:dyDescent="0.35">
      <c r="A52" t="s">
        <v>120</v>
      </c>
      <c r="B52">
        <v>0.49888461538461598</v>
      </c>
      <c r="D52" t="s">
        <v>9</v>
      </c>
      <c r="E52" t="s">
        <v>121</v>
      </c>
      <c r="F52" t="s">
        <v>38</v>
      </c>
      <c r="G52" t="s">
        <v>377</v>
      </c>
    </row>
    <row r="53" spans="1:7" x14ac:dyDescent="0.35">
      <c r="A53" t="s">
        <v>213</v>
      </c>
      <c r="B53" s="7">
        <v>1.29E-11</v>
      </c>
      <c r="D53" t="s">
        <v>9</v>
      </c>
      <c r="E53" t="s">
        <v>181</v>
      </c>
      <c r="F53" t="s">
        <v>38</v>
      </c>
      <c r="G53" t="s">
        <v>347</v>
      </c>
    </row>
    <row r="54" spans="1:7" x14ac:dyDescent="0.35">
      <c r="A54" t="s">
        <v>136</v>
      </c>
      <c r="B54" s="7">
        <v>1.44118176905062E-5</v>
      </c>
      <c r="D54" t="s">
        <v>131</v>
      </c>
      <c r="E54" t="s">
        <v>181</v>
      </c>
      <c r="F54" t="s">
        <v>38</v>
      </c>
      <c r="G54" t="s">
        <v>347</v>
      </c>
    </row>
    <row r="55" spans="1:7" x14ac:dyDescent="0.35">
      <c r="A55" t="s">
        <v>116</v>
      </c>
      <c r="B55">
        <v>4.9478</v>
      </c>
      <c r="D55" t="s">
        <v>20</v>
      </c>
      <c r="E55" t="s">
        <v>122</v>
      </c>
      <c r="F55" t="s">
        <v>38</v>
      </c>
      <c r="G55" t="s">
        <v>347</v>
      </c>
    </row>
    <row r="56" spans="1:7" x14ac:dyDescent="0.35">
      <c r="A56" t="s">
        <v>182</v>
      </c>
      <c r="B56">
        <v>4.1773322765366796E-3</v>
      </c>
      <c r="D56" t="s">
        <v>9</v>
      </c>
      <c r="E56" t="s">
        <v>189</v>
      </c>
      <c r="F56" t="s">
        <v>38</v>
      </c>
      <c r="G56" t="s">
        <v>347</v>
      </c>
    </row>
    <row r="57" spans="1:7" x14ac:dyDescent="0.35">
      <c r="A57" t="s">
        <v>346</v>
      </c>
      <c r="B57" s="7">
        <v>3.23E-6</v>
      </c>
      <c r="D57" t="s">
        <v>9</v>
      </c>
      <c r="E57" t="s">
        <v>180</v>
      </c>
      <c r="F57" t="s">
        <v>38</v>
      </c>
      <c r="G57" t="s">
        <v>347</v>
      </c>
    </row>
    <row r="59" spans="1:7" ht="15.5" x14ac:dyDescent="0.35">
      <c r="A59" s="1" t="s">
        <v>1</v>
      </c>
      <c r="B59" s="1" t="s">
        <v>278</v>
      </c>
    </row>
    <row r="60" spans="1:7" x14ac:dyDescent="0.35">
      <c r="A60" t="s">
        <v>2</v>
      </c>
      <c r="B60" t="s">
        <v>276</v>
      </c>
    </row>
    <row r="61" spans="1:7" x14ac:dyDescent="0.35">
      <c r="A61" t="s">
        <v>4</v>
      </c>
      <c r="B61">
        <v>1</v>
      </c>
    </row>
    <row r="62" spans="1:7" ht="15.5" x14ac:dyDescent="0.35">
      <c r="A62" t="s">
        <v>5</v>
      </c>
      <c r="B62" s="2" t="s">
        <v>279</v>
      </c>
    </row>
    <row r="63" spans="1:7" x14ac:dyDescent="0.35">
      <c r="A63" t="s">
        <v>6</v>
      </c>
      <c r="B63" t="s">
        <v>7</v>
      </c>
    </row>
    <row r="64" spans="1:7" x14ac:dyDescent="0.35">
      <c r="A64" t="s">
        <v>8</v>
      </c>
      <c r="B64" t="s">
        <v>9</v>
      </c>
    </row>
    <row r="65" spans="1:8" x14ac:dyDescent="0.35">
      <c r="A65" t="s">
        <v>10</v>
      </c>
      <c r="B65" t="s">
        <v>271</v>
      </c>
    </row>
    <row r="66" spans="1:8" x14ac:dyDescent="0.35">
      <c r="A66" t="s">
        <v>28</v>
      </c>
      <c r="B66" t="s">
        <v>379</v>
      </c>
    </row>
    <row r="67" spans="1:8" ht="15.5" x14ac:dyDescent="0.35">
      <c r="A67" s="1" t="s">
        <v>13</v>
      </c>
    </row>
    <row r="68" spans="1:8" x14ac:dyDescent="0.35">
      <c r="A68" t="s">
        <v>14</v>
      </c>
      <c r="B68" t="s">
        <v>15</v>
      </c>
      <c r="C68" t="s">
        <v>2</v>
      </c>
      <c r="D68" t="s">
        <v>8</v>
      </c>
      <c r="E68" t="s">
        <v>16</v>
      </c>
      <c r="F68" t="s">
        <v>6</v>
      </c>
      <c r="G68" t="s">
        <v>12</v>
      </c>
      <c r="H68" t="s">
        <v>5</v>
      </c>
    </row>
    <row r="69" spans="1:8" ht="15.5" x14ac:dyDescent="0.35">
      <c r="A69" s="2" t="s">
        <v>278</v>
      </c>
      <c r="B69">
        <v>1</v>
      </c>
      <c r="C69" t="s">
        <v>276</v>
      </c>
      <c r="D69" t="s">
        <v>9</v>
      </c>
      <c r="F69" t="s">
        <v>18</v>
      </c>
      <c r="G69" t="s">
        <v>19</v>
      </c>
      <c r="H69" s="2" t="s">
        <v>279</v>
      </c>
    </row>
    <row r="70" spans="1:8" x14ac:dyDescent="0.35">
      <c r="A70" t="s">
        <v>23</v>
      </c>
      <c r="B70" s="5">
        <f>5.53*0.85*42.4/1000</f>
        <v>0.19930119999999998</v>
      </c>
      <c r="C70" t="s">
        <v>27</v>
      </c>
      <c r="D70" t="s">
        <v>20</v>
      </c>
      <c r="F70" t="s">
        <v>21</v>
      </c>
      <c r="G70" t="s">
        <v>281</v>
      </c>
      <c r="H70" t="s">
        <v>24</v>
      </c>
    </row>
    <row r="71" spans="1:8" x14ac:dyDescent="0.35">
      <c r="A71" t="s">
        <v>58</v>
      </c>
      <c r="B71">
        <f>0.49/1000</f>
        <v>4.8999999999999998E-4</v>
      </c>
      <c r="C71" t="s">
        <v>27</v>
      </c>
      <c r="D71" t="s">
        <v>9</v>
      </c>
      <c r="F71" t="s">
        <v>21</v>
      </c>
      <c r="G71" t="s">
        <v>60</v>
      </c>
      <c r="H71" t="s">
        <v>59</v>
      </c>
    </row>
    <row r="72" spans="1:8" x14ac:dyDescent="0.35">
      <c r="A72" t="s">
        <v>43</v>
      </c>
      <c r="B72">
        <f>45/1000</f>
        <v>4.4999999999999998E-2</v>
      </c>
      <c r="C72" t="s">
        <v>33</v>
      </c>
      <c r="D72" t="s">
        <v>45</v>
      </c>
      <c r="F72" t="s">
        <v>21</v>
      </c>
      <c r="G72" t="s">
        <v>275</v>
      </c>
      <c r="H72" t="s">
        <v>44</v>
      </c>
    </row>
    <row r="73" spans="1:8" x14ac:dyDescent="0.35">
      <c r="A73" t="s">
        <v>120</v>
      </c>
      <c r="B73" s="5">
        <f>0.4155*(44/12)*(1-0.06)</f>
        <v>1.4320899999999999</v>
      </c>
      <c r="D73" t="s">
        <v>9</v>
      </c>
      <c r="E73" t="s">
        <v>121</v>
      </c>
      <c r="F73" t="s">
        <v>38</v>
      </c>
      <c r="G73" s="9" t="s">
        <v>496</v>
      </c>
    </row>
    <row r="74" spans="1:8" x14ac:dyDescent="0.35">
      <c r="A74" t="s">
        <v>116</v>
      </c>
      <c r="B74">
        <v>16.77</v>
      </c>
      <c r="D74" t="s">
        <v>20</v>
      </c>
      <c r="E74" t="s">
        <v>122</v>
      </c>
      <c r="F74" t="s">
        <v>38</v>
      </c>
      <c r="G74" s="9" t="s">
        <v>496</v>
      </c>
    </row>
    <row r="75" spans="1:8" x14ac:dyDescent="0.35">
      <c r="A75" t="s">
        <v>205</v>
      </c>
      <c r="B75" s="4">
        <v>1.6930220883534137</v>
      </c>
      <c r="D75" t="s">
        <v>123</v>
      </c>
      <c r="E75" t="s">
        <v>124</v>
      </c>
      <c r="F75" t="s">
        <v>38</v>
      </c>
      <c r="G75" t="s">
        <v>238</v>
      </c>
    </row>
    <row r="76" spans="1:8" x14ac:dyDescent="0.35">
      <c r="A76" t="s">
        <v>206</v>
      </c>
      <c r="B76" s="4">
        <v>3.3860441767068274</v>
      </c>
      <c r="D76" t="s">
        <v>125</v>
      </c>
      <c r="E76" t="s">
        <v>124</v>
      </c>
      <c r="F76" t="s">
        <v>38</v>
      </c>
      <c r="G76" t="s">
        <v>237</v>
      </c>
    </row>
    <row r="77" spans="1:8" x14ac:dyDescent="0.35">
      <c r="A77" t="s">
        <v>207</v>
      </c>
      <c r="B77" s="4">
        <v>3.3860441767068274</v>
      </c>
      <c r="D77" t="s">
        <v>125</v>
      </c>
      <c r="E77" t="s">
        <v>124</v>
      </c>
      <c r="F77" t="s">
        <v>38</v>
      </c>
      <c r="G77" t="s">
        <v>237</v>
      </c>
    </row>
    <row r="79" spans="1:8" ht="15.5" x14ac:dyDescent="0.35">
      <c r="A79" s="1" t="s">
        <v>1</v>
      </c>
      <c r="B79" s="1" t="s">
        <v>300</v>
      </c>
    </row>
    <row r="80" spans="1:8" x14ac:dyDescent="0.35">
      <c r="A80" t="s">
        <v>2</v>
      </c>
      <c r="B80" t="s">
        <v>276</v>
      </c>
    </row>
    <row r="81" spans="1:8" x14ac:dyDescent="0.35">
      <c r="A81" t="s">
        <v>4</v>
      </c>
      <c r="B81">
        <v>1</v>
      </c>
    </row>
    <row r="82" spans="1:8" ht="15.5" x14ac:dyDescent="0.35">
      <c r="A82" t="s">
        <v>5</v>
      </c>
      <c r="B82" s="2" t="s">
        <v>299</v>
      </c>
    </row>
    <row r="83" spans="1:8" x14ac:dyDescent="0.35">
      <c r="A83" t="s">
        <v>6</v>
      </c>
      <c r="B83" t="s">
        <v>7</v>
      </c>
    </row>
    <row r="84" spans="1:8" x14ac:dyDescent="0.35">
      <c r="A84" t="s">
        <v>8</v>
      </c>
      <c r="B84" t="s">
        <v>9</v>
      </c>
    </row>
    <row r="85" spans="1:8" x14ac:dyDescent="0.35">
      <c r="A85" t="s">
        <v>10</v>
      </c>
      <c r="B85" t="s">
        <v>271</v>
      </c>
    </row>
    <row r="86" spans="1:8" x14ac:dyDescent="0.35">
      <c r="A86" t="s">
        <v>28</v>
      </c>
      <c r="B86" t="s">
        <v>310</v>
      </c>
    </row>
    <row r="87" spans="1:8" ht="15.5" x14ac:dyDescent="0.35">
      <c r="A87" s="1" t="s">
        <v>13</v>
      </c>
    </row>
    <row r="88" spans="1:8" x14ac:dyDescent="0.35">
      <c r="A88" t="s">
        <v>14</v>
      </c>
      <c r="B88" t="s">
        <v>15</v>
      </c>
      <c r="C88" t="s">
        <v>2</v>
      </c>
      <c r="D88" t="s">
        <v>8</v>
      </c>
      <c r="E88" t="s">
        <v>16</v>
      </c>
      <c r="F88" t="s">
        <v>6</v>
      </c>
      <c r="G88" t="s">
        <v>12</v>
      </c>
      <c r="H88" t="s">
        <v>5</v>
      </c>
    </row>
    <row r="89" spans="1:8" ht="15.5" x14ac:dyDescent="0.35">
      <c r="A89" s="2" t="s">
        <v>300</v>
      </c>
      <c r="B89">
        <v>1</v>
      </c>
      <c r="C89" t="s">
        <v>276</v>
      </c>
      <c r="D89" t="s">
        <v>9</v>
      </c>
      <c r="F89" t="s">
        <v>18</v>
      </c>
      <c r="G89" t="s">
        <v>19</v>
      </c>
      <c r="H89" s="2" t="s">
        <v>299</v>
      </c>
    </row>
    <row r="90" spans="1:8" x14ac:dyDescent="0.35">
      <c r="A90" t="s">
        <v>319</v>
      </c>
      <c r="B90" s="7">
        <f>1/(90000000*20)</f>
        <v>5.5555555555555553E-10</v>
      </c>
      <c r="C90" t="s">
        <v>27</v>
      </c>
      <c r="D90" t="s">
        <v>8</v>
      </c>
      <c r="F90" t="s">
        <v>21</v>
      </c>
      <c r="G90" t="s">
        <v>321</v>
      </c>
      <c r="H90" t="s">
        <v>320</v>
      </c>
    </row>
    <row r="91" spans="1:8" ht="15.5" x14ac:dyDescent="0.35">
      <c r="A91" s="2" t="s">
        <v>80</v>
      </c>
      <c r="B91" s="5">
        <f>1/(Allocation!C79*Allocation!B10/1000*Allocation!F85)</f>
        <v>16.407888792403554</v>
      </c>
      <c r="C91" t="s">
        <v>276</v>
      </c>
      <c r="D91" t="s">
        <v>9</v>
      </c>
      <c r="F91" t="s">
        <v>21</v>
      </c>
      <c r="G91" t="s">
        <v>301</v>
      </c>
      <c r="H91" s="2" t="s">
        <v>81</v>
      </c>
    </row>
    <row r="92" spans="1:8" ht="15.5" x14ac:dyDescent="0.35">
      <c r="A92" s="2" t="s">
        <v>263</v>
      </c>
      <c r="B92" s="5">
        <f>0.00494/Allocation!B10*Allocation!F85</f>
        <v>5.6765000221071045E-3</v>
      </c>
      <c r="C92" t="s">
        <v>33</v>
      </c>
      <c r="D92" t="s">
        <v>9</v>
      </c>
      <c r="F92" t="s">
        <v>21</v>
      </c>
      <c r="G92" t="s">
        <v>302</v>
      </c>
      <c r="H92" s="2" t="s">
        <v>264</v>
      </c>
    </row>
    <row r="93" spans="1:8" x14ac:dyDescent="0.35">
      <c r="A93" t="s">
        <v>225</v>
      </c>
      <c r="B93" s="5">
        <f>0.00748/Allocation!B10*Allocation!F85</f>
        <v>8.5951862682917303E-3</v>
      </c>
      <c r="C93" t="s">
        <v>33</v>
      </c>
      <c r="D93" t="s">
        <v>9</v>
      </c>
      <c r="F93" t="s">
        <v>21</v>
      </c>
      <c r="G93" t="s">
        <v>303</v>
      </c>
      <c r="H93" t="s">
        <v>226</v>
      </c>
    </row>
    <row r="94" spans="1:8" ht="15.5" x14ac:dyDescent="0.35">
      <c r="A94" s="2" t="s">
        <v>304</v>
      </c>
      <c r="B94" s="37">
        <f>0.00071/Allocation!B10*Allocation!F85</f>
        <v>8.1585324204373364E-4</v>
      </c>
      <c r="C94" t="s">
        <v>27</v>
      </c>
      <c r="D94" t="s">
        <v>9</v>
      </c>
      <c r="F94" t="s">
        <v>21</v>
      </c>
      <c r="G94" t="s">
        <v>306</v>
      </c>
      <c r="H94" s="2" t="s">
        <v>305</v>
      </c>
    </row>
    <row r="95" spans="1:8" ht="15.5" x14ac:dyDescent="0.35">
      <c r="A95" s="2" t="s">
        <v>307</v>
      </c>
      <c r="B95" s="7">
        <f>0.047/1000/Allocation!B10*Allocation!F85</f>
        <v>5.4007186445148559E-5</v>
      </c>
      <c r="C95" t="s">
        <v>33</v>
      </c>
      <c r="D95" t="s">
        <v>9</v>
      </c>
      <c r="F95" t="s">
        <v>21</v>
      </c>
      <c r="G95" t="s">
        <v>309</v>
      </c>
      <c r="H95" s="2" t="s">
        <v>308</v>
      </c>
    </row>
    <row r="96" spans="1:8" ht="15.5" x14ac:dyDescent="0.35">
      <c r="A96" s="2" t="s">
        <v>311</v>
      </c>
      <c r="B96" s="7">
        <f>0.044/1000/Allocation!B10*Allocation!F85</f>
        <v>5.0559919225245463E-5</v>
      </c>
      <c r="C96" t="s">
        <v>27</v>
      </c>
      <c r="D96" t="s">
        <v>9</v>
      </c>
      <c r="F96" t="s">
        <v>21</v>
      </c>
      <c r="G96" t="s">
        <v>313</v>
      </c>
      <c r="H96" s="2" t="s">
        <v>312</v>
      </c>
    </row>
    <row r="97" spans="1:8" x14ac:dyDescent="0.35">
      <c r="A97" t="s">
        <v>201</v>
      </c>
      <c r="B97" s="6">
        <f>(B52*B91)-Allocation!$B$13</f>
        <v>6.2716432894717986</v>
      </c>
      <c r="D97" t="s">
        <v>9</v>
      </c>
      <c r="E97" t="s">
        <v>39</v>
      </c>
      <c r="F97" t="s">
        <v>38</v>
      </c>
      <c r="G97" t="s">
        <v>441</v>
      </c>
    </row>
    <row r="99" spans="1:8" ht="15.5" x14ac:dyDescent="0.35">
      <c r="A99" s="1" t="s">
        <v>1</v>
      </c>
      <c r="B99" s="1" t="s">
        <v>314</v>
      </c>
    </row>
    <row r="100" spans="1:8" x14ac:dyDescent="0.35">
      <c r="A100" t="s">
        <v>2</v>
      </c>
      <c r="B100" t="s">
        <v>276</v>
      </c>
    </row>
    <row r="101" spans="1:8" x14ac:dyDescent="0.35">
      <c r="A101" t="s">
        <v>4</v>
      </c>
      <c r="B101">
        <v>1</v>
      </c>
    </row>
    <row r="102" spans="1:8" ht="15.5" x14ac:dyDescent="0.35">
      <c r="A102" t="s">
        <v>5</v>
      </c>
      <c r="B102" s="2" t="s">
        <v>299</v>
      </c>
    </row>
    <row r="103" spans="1:8" x14ac:dyDescent="0.35">
      <c r="A103" t="s">
        <v>6</v>
      </c>
      <c r="B103" t="s">
        <v>7</v>
      </c>
    </row>
    <row r="104" spans="1:8" x14ac:dyDescent="0.35">
      <c r="A104" t="s">
        <v>8</v>
      </c>
      <c r="B104" t="s">
        <v>9</v>
      </c>
    </row>
    <row r="105" spans="1:8" x14ac:dyDescent="0.35">
      <c r="A105" t="s">
        <v>10</v>
      </c>
      <c r="B105" t="s">
        <v>271</v>
      </c>
    </row>
    <row r="106" spans="1:8" x14ac:dyDescent="0.35">
      <c r="A106" t="s">
        <v>28</v>
      </c>
      <c r="B106" t="s">
        <v>315</v>
      </c>
    </row>
    <row r="107" spans="1:8" ht="15.5" x14ac:dyDescent="0.35">
      <c r="A107" s="1" t="s">
        <v>13</v>
      </c>
    </row>
    <row r="108" spans="1:8" x14ac:dyDescent="0.35">
      <c r="A108" t="s">
        <v>14</v>
      </c>
      <c r="B108" t="s">
        <v>15</v>
      </c>
      <c r="C108" t="s">
        <v>2</v>
      </c>
      <c r="D108" t="s">
        <v>8</v>
      </c>
      <c r="E108" t="s">
        <v>16</v>
      </c>
      <c r="F108" t="s">
        <v>6</v>
      </c>
      <c r="G108" t="s">
        <v>12</v>
      </c>
      <c r="H108" t="s">
        <v>5</v>
      </c>
    </row>
    <row r="109" spans="1:8" ht="15.5" x14ac:dyDescent="0.35">
      <c r="A109" s="2" t="s">
        <v>314</v>
      </c>
      <c r="B109">
        <v>1</v>
      </c>
      <c r="C109" t="s">
        <v>276</v>
      </c>
      <c r="D109" t="s">
        <v>9</v>
      </c>
      <c r="F109" t="s">
        <v>18</v>
      </c>
      <c r="G109" t="s">
        <v>19</v>
      </c>
      <c r="H109" s="2" t="s">
        <v>299</v>
      </c>
    </row>
    <row r="110" spans="1:8" x14ac:dyDescent="0.35">
      <c r="A110" t="s">
        <v>319</v>
      </c>
      <c r="B110" s="7">
        <f>1/(90000000*20)</f>
        <v>5.5555555555555553E-10</v>
      </c>
      <c r="C110" t="s">
        <v>27</v>
      </c>
      <c r="D110" t="s">
        <v>8</v>
      </c>
      <c r="F110" t="s">
        <v>21</v>
      </c>
      <c r="G110" t="s">
        <v>321</v>
      </c>
      <c r="H110" t="s">
        <v>320</v>
      </c>
    </row>
    <row r="111" spans="1:8" ht="15.5" x14ac:dyDescent="0.35">
      <c r="A111" s="2" t="s">
        <v>80</v>
      </c>
      <c r="B111" s="5">
        <f>1/(Allocation!C79*Allocation!B10/1000*Allocation!G85)</f>
        <v>15.575994374364498</v>
      </c>
      <c r="C111" t="s">
        <v>276</v>
      </c>
      <c r="D111" t="s">
        <v>9</v>
      </c>
      <c r="F111" t="s">
        <v>21</v>
      </c>
      <c r="G111" t="s">
        <v>301</v>
      </c>
      <c r="H111" s="2" t="s">
        <v>81</v>
      </c>
    </row>
    <row r="112" spans="1:8" ht="15.5" x14ac:dyDescent="0.35">
      <c r="A112" s="2" t="s">
        <v>263</v>
      </c>
      <c r="B112" s="5">
        <f>0.00494/Allocation!B10*Allocation!G85</f>
        <v>5.9796748030483144E-3</v>
      </c>
      <c r="C112" t="s">
        <v>33</v>
      </c>
      <c r="D112" t="s">
        <v>9</v>
      </c>
      <c r="F112" t="s">
        <v>21</v>
      </c>
      <c r="G112" t="s">
        <v>302</v>
      </c>
      <c r="H112" s="2" t="s">
        <v>264</v>
      </c>
    </row>
    <row r="113" spans="1:8" x14ac:dyDescent="0.35">
      <c r="A113" t="s">
        <v>225</v>
      </c>
      <c r="B113" s="5">
        <f>0.00748/Allocation!B10*Allocation!G85</f>
        <v>9.0542444386237653E-3</v>
      </c>
      <c r="C113" t="s">
        <v>33</v>
      </c>
      <c r="D113" t="s">
        <v>9</v>
      </c>
      <c r="F113" t="s">
        <v>21</v>
      </c>
      <c r="G113" t="s">
        <v>303</v>
      </c>
      <c r="H113" t="s">
        <v>226</v>
      </c>
    </row>
    <row r="114" spans="1:8" ht="15.5" x14ac:dyDescent="0.35">
      <c r="A114" s="2" t="s">
        <v>304</v>
      </c>
      <c r="B114" s="37">
        <f>0.00071/Allocation!B10*Allocation!G85</f>
        <v>8.5942694537738938E-4</v>
      </c>
      <c r="C114" t="s">
        <v>27</v>
      </c>
      <c r="D114" t="s">
        <v>9</v>
      </c>
      <c r="F114" t="s">
        <v>21</v>
      </c>
      <c r="G114" t="s">
        <v>306</v>
      </c>
      <c r="H114" s="2" t="s">
        <v>305</v>
      </c>
    </row>
    <row r="115" spans="1:8" ht="15.5" x14ac:dyDescent="0.35">
      <c r="A115" s="2" t="s">
        <v>307</v>
      </c>
      <c r="B115" s="7">
        <f>0.047/1000/Allocation!B10*Allocation!G85</f>
        <v>5.6891642863010276E-5</v>
      </c>
      <c r="C115" t="s">
        <v>33</v>
      </c>
      <c r="D115" t="s">
        <v>9</v>
      </c>
      <c r="F115" t="s">
        <v>21</v>
      </c>
      <c r="G115" t="s">
        <v>309</v>
      </c>
      <c r="H115" s="2" t="s">
        <v>308</v>
      </c>
    </row>
    <row r="116" spans="1:8" ht="15.5" x14ac:dyDescent="0.35">
      <c r="A116" s="2" t="s">
        <v>311</v>
      </c>
      <c r="B116" s="7">
        <f>0.044/1000/Allocation!B10*Allocation!G85</f>
        <v>5.32602614036692E-5</v>
      </c>
      <c r="C116" t="s">
        <v>27</v>
      </c>
      <c r="D116" t="s">
        <v>9</v>
      </c>
      <c r="F116" t="s">
        <v>21</v>
      </c>
      <c r="G116" t="s">
        <v>313</v>
      </c>
      <c r="H116" s="2" t="s">
        <v>312</v>
      </c>
    </row>
    <row r="117" spans="1:8" x14ac:dyDescent="0.35">
      <c r="A117" t="s">
        <v>201</v>
      </c>
      <c r="B117" s="6">
        <f>(B52*B111)-Allocation!$B$13</f>
        <v>5.8566239626877756</v>
      </c>
      <c r="D117" t="s">
        <v>9</v>
      </c>
      <c r="E117" t="s">
        <v>39</v>
      </c>
      <c r="F117" t="s">
        <v>38</v>
      </c>
      <c r="G117" t="s">
        <v>441</v>
      </c>
    </row>
    <row r="119" spans="1:8" ht="15.5" x14ac:dyDescent="0.35">
      <c r="A119" s="1" t="s">
        <v>1</v>
      </c>
      <c r="B119" s="1" t="s">
        <v>536</v>
      </c>
    </row>
    <row r="120" spans="1:8" x14ac:dyDescent="0.35">
      <c r="A120" t="s">
        <v>2</v>
      </c>
      <c r="B120" t="s">
        <v>276</v>
      </c>
    </row>
    <row r="121" spans="1:8" x14ac:dyDescent="0.35">
      <c r="A121" t="s">
        <v>4</v>
      </c>
      <c r="B121">
        <v>1</v>
      </c>
    </row>
    <row r="122" spans="1:8" ht="15.5" x14ac:dyDescent="0.35">
      <c r="A122" t="s">
        <v>5</v>
      </c>
      <c r="B122" s="2" t="s">
        <v>299</v>
      </c>
    </row>
    <row r="123" spans="1:8" x14ac:dyDescent="0.35">
      <c r="A123" t="s">
        <v>6</v>
      </c>
      <c r="B123" t="s">
        <v>7</v>
      </c>
    </row>
    <row r="124" spans="1:8" x14ac:dyDescent="0.35">
      <c r="A124" t="s">
        <v>8</v>
      </c>
      <c r="B124" t="s">
        <v>9</v>
      </c>
    </row>
    <row r="125" spans="1:8" x14ac:dyDescent="0.35">
      <c r="A125" t="s">
        <v>10</v>
      </c>
      <c r="B125" t="s">
        <v>271</v>
      </c>
    </row>
    <row r="126" spans="1:8" x14ac:dyDescent="0.35">
      <c r="A126" t="s">
        <v>28</v>
      </c>
      <c r="B126" t="s">
        <v>554</v>
      </c>
    </row>
    <row r="127" spans="1:8" ht="15.5" x14ac:dyDescent="0.35">
      <c r="A127" s="1" t="s">
        <v>13</v>
      </c>
    </row>
    <row r="128" spans="1:8" x14ac:dyDescent="0.35">
      <c r="A128" t="s">
        <v>14</v>
      </c>
      <c r="B128" t="s">
        <v>15</v>
      </c>
      <c r="C128" t="s">
        <v>2</v>
      </c>
      <c r="D128" t="s">
        <v>8</v>
      </c>
      <c r="E128" t="s">
        <v>16</v>
      </c>
      <c r="F128" t="s">
        <v>6</v>
      </c>
      <c r="G128" t="s">
        <v>12</v>
      </c>
      <c r="H128" t="s">
        <v>5</v>
      </c>
    </row>
    <row r="129" spans="1:8" ht="15.5" x14ac:dyDescent="0.35">
      <c r="A129" s="2" t="s">
        <v>536</v>
      </c>
      <c r="B129">
        <v>1</v>
      </c>
      <c r="C129" t="s">
        <v>276</v>
      </c>
      <c r="D129" t="s">
        <v>9</v>
      </c>
      <c r="F129" t="s">
        <v>18</v>
      </c>
      <c r="G129" t="s">
        <v>19</v>
      </c>
      <c r="H129" s="2" t="s">
        <v>299</v>
      </c>
    </row>
    <row r="130" spans="1:8" x14ac:dyDescent="0.35">
      <c r="A130" t="s">
        <v>319</v>
      </c>
      <c r="B130" s="7">
        <f>1/(90000000*20)</f>
        <v>5.5555555555555553E-10</v>
      </c>
      <c r="C130" t="s">
        <v>27</v>
      </c>
      <c r="D130" t="s">
        <v>8</v>
      </c>
      <c r="F130" t="s">
        <v>21</v>
      </c>
      <c r="G130" t="s">
        <v>321</v>
      </c>
      <c r="H130" t="s">
        <v>320</v>
      </c>
    </row>
    <row r="131" spans="1:8" ht="15.5" x14ac:dyDescent="0.35">
      <c r="A131" s="2" t="s">
        <v>80</v>
      </c>
      <c r="B131" s="5">
        <f>1/(Allocation!C79*Allocation!B10/1000)</f>
        <v>14.875905198831346</v>
      </c>
      <c r="C131" t="s">
        <v>276</v>
      </c>
      <c r="D131" t="s">
        <v>9</v>
      </c>
      <c r="F131" t="s">
        <v>21</v>
      </c>
      <c r="G131" t="s">
        <v>301</v>
      </c>
      <c r="H131" s="2" t="s">
        <v>81</v>
      </c>
    </row>
    <row r="132" spans="1:8" ht="15.5" x14ac:dyDescent="0.35">
      <c r="A132" s="2" t="s">
        <v>263</v>
      </c>
      <c r="B132" s="5">
        <f>0.00494/Allocation!B30</f>
        <v>1.2539746635000003E-3</v>
      </c>
      <c r="C132" t="s">
        <v>33</v>
      </c>
      <c r="D132" t="s">
        <v>9</v>
      </c>
      <c r="F132" t="s">
        <v>21</v>
      </c>
      <c r="G132" t="s">
        <v>302</v>
      </c>
      <c r="H132" s="2" t="s">
        <v>264</v>
      </c>
    </row>
    <row r="133" spans="1:8" x14ac:dyDescent="0.35">
      <c r="A133" t="s">
        <v>225</v>
      </c>
      <c r="B133" s="5">
        <f>0.00748/Allocation!B30</f>
        <v>1.8987308670000002E-3</v>
      </c>
      <c r="C133" t="s">
        <v>33</v>
      </c>
      <c r="D133" t="s">
        <v>9</v>
      </c>
      <c r="F133" t="s">
        <v>21</v>
      </c>
      <c r="G133" t="s">
        <v>303</v>
      </c>
      <c r="H133" t="s">
        <v>226</v>
      </c>
    </row>
    <row r="134" spans="1:8" ht="15.5" x14ac:dyDescent="0.35">
      <c r="A134" s="2" t="s">
        <v>304</v>
      </c>
      <c r="B134" s="37">
        <f>0.00071/Allocation!B30</f>
        <v>1.8022712775000004E-4</v>
      </c>
      <c r="C134" t="s">
        <v>27</v>
      </c>
      <c r="D134" t="s">
        <v>9</v>
      </c>
      <c r="F134" t="s">
        <v>21</v>
      </c>
      <c r="G134" t="s">
        <v>306</v>
      </c>
      <c r="H134" s="2" t="s">
        <v>305</v>
      </c>
    </row>
    <row r="135" spans="1:8" ht="15.5" x14ac:dyDescent="0.35">
      <c r="A135" s="2" t="s">
        <v>307</v>
      </c>
      <c r="B135" s="7">
        <f>0.047/1000/Allocation!B30</f>
        <v>1.1930528175000002E-5</v>
      </c>
      <c r="C135" t="s">
        <v>33</v>
      </c>
      <c r="D135" t="s">
        <v>9</v>
      </c>
      <c r="F135" t="s">
        <v>21</v>
      </c>
      <c r="G135" t="s">
        <v>309</v>
      </c>
      <c r="H135" s="2" t="s">
        <v>308</v>
      </c>
    </row>
    <row r="136" spans="1:8" ht="15.5" x14ac:dyDescent="0.35">
      <c r="A136" s="2" t="s">
        <v>311</v>
      </c>
      <c r="B136" s="7">
        <f>0.044/1000/Allocation!B30</f>
        <v>1.1169005100000001E-5</v>
      </c>
      <c r="C136" t="s">
        <v>27</v>
      </c>
      <c r="D136" t="s">
        <v>9</v>
      </c>
      <c r="F136" t="s">
        <v>21</v>
      </c>
      <c r="G136" t="s">
        <v>313</v>
      </c>
      <c r="H136" s="2" t="s">
        <v>312</v>
      </c>
    </row>
    <row r="137" spans="1:8" x14ac:dyDescent="0.35">
      <c r="A137" t="s">
        <v>201</v>
      </c>
      <c r="B137" s="6">
        <f>(B52*B131)-Allocation!$B$13</f>
        <v>5.5073602436169855</v>
      </c>
      <c r="D137" t="s">
        <v>9</v>
      </c>
      <c r="E137" t="s">
        <v>39</v>
      </c>
      <c r="F137" t="s">
        <v>38</v>
      </c>
      <c r="G137" t="s">
        <v>441</v>
      </c>
    </row>
    <row r="138" spans="1:8" ht="15.5" x14ac:dyDescent="0.35">
      <c r="A138" s="2" t="s">
        <v>30</v>
      </c>
      <c r="B138" s="4">
        <f>26.1*B131/1000*-1</f>
        <v>-0.38826112568949817</v>
      </c>
      <c r="C138" t="s">
        <v>276</v>
      </c>
      <c r="D138" t="s">
        <v>31</v>
      </c>
      <c r="F138" t="s">
        <v>21</v>
      </c>
      <c r="G138" t="s">
        <v>555</v>
      </c>
      <c r="H138" s="2" t="s">
        <v>32</v>
      </c>
    </row>
    <row r="140" spans="1:8" ht="15.5" x14ac:dyDescent="0.35">
      <c r="A140" s="1" t="s">
        <v>1</v>
      </c>
      <c r="B140" s="1" t="s">
        <v>316</v>
      </c>
    </row>
    <row r="141" spans="1:8" x14ac:dyDescent="0.35">
      <c r="A141" t="s">
        <v>2</v>
      </c>
      <c r="B141" t="s">
        <v>276</v>
      </c>
    </row>
    <row r="142" spans="1:8" x14ac:dyDescent="0.35">
      <c r="A142" t="s">
        <v>4</v>
      </c>
      <c r="B142">
        <v>1</v>
      </c>
    </row>
    <row r="143" spans="1:8" ht="15.5" x14ac:dyDescent="0.35">
      <c r="A143" t="s">
        <v>5</v>
      </c>
      <c r="B143" s="2" t="s">
        <v>317</v>
      </c>
    </row>
    <row r="144" spans="1:8" x14ac:dyDescent="0.35">
      <c r="A144" t="s">
        <v>6</v>
      </c>
      <c r="B144" t="s">
        <v>7</v>
      </c>
    </row>
    <row r="145" spans="1:8" x14ac:dyDescent="0.35">
      <c r="A145" t="s">
        <v>8</v>
      </c>
      <c r="B145" t="s">
        <v>9</v>
      </c>
    </row>
    <row r="146" spans="1:8" x14ac:dyDescent="0.35">
      <c r="A146" t="s">
        <v>10</v>
      </c>
      <c r="B146" t="s">
        <v>271</v>
      </c>
    </row>
    <row r="147" spans="1:8" x14ac:dyDescent="0.35">
      <c r="A147" t="s">
        <v>28</v>
      </c>
      <c r="B147" t="s">
        <v>318</v>
      </c>
    </row>
    <row r="148" spans="1:8" ht="15.5" x14ac:dyDescent="0.35">
      <c r="A148" s="1" t="s">
        <v>13</v>
      </c>
    </row>
    <row r="149" spans="1:8" x14ac:dyDescent="0.35">
      <c r="A149" t="s">
        <v>14</v>
      </c>
      <c r="B149" t="s">
        <v>15</v>
      </c>
      <c r="C149" t="s">
        <v>2</v>
      </c>
      <c r="D149" t="s">
        <v>8</v>
      </c>
      <c r="E149" t="s">
        <v>16</v>
      </c>
      <c r="F149" t="s">
        <v>6</v>
      </c>
      <c r="G149" t="s">
        <v>12</v>
      </c>
      <c r="H149" t="s">
        <v>5</v>
      </c>
    </row>
    <row r="150" spans="1:8" ht="15.5" x14ac:dyDescent="0.35">
      <c r="A150" s="2" t="s">
        <v>316</v>
      </c>
      <c r="B150">
        <v>1</v>
      </c>
      <c r="C150" t="s">
        <v>276</v>
      </c>
      <c r="D150" t="s">
        <v>9</v>
      </c>
      <c r="F150" t="s">
        <v>18</v>
      </c>
      <c r="G150" t="s">
        <v>19</v>
      </c>
      <c r="H150" s="2" t="s">
        <v>317</v>
      </c>
    </row>
    <row r="151" spans="1:8" ht="15.5" x14ac:dyDescent="0.35">
      <c r="A151" s="2" t="s">
        <v>278</v>
      </c>
      <c r="B151" s="6">
        <f>0.15*Allocation!B5*Allocation!F93</f>
        <v>3.2744078855022276</v>
      </c>
      <c r="C151" t="s">
        <v>276</v>
      </c>
      <c r="D151" t="s">
        <v>9</v>
      </c>
      <c r="F151" t="s">
        <v>21</v>
      </c>
      <c r="G151" t="s">
        <v>520</v>
      </c>
      <c r="H151" s="2" t="s">
        <v>279</v>
      </c>
    </row>
    <row r="152" spans="1:8" x14ac:dyDescent="0.35">
      <c r="A152" t="s">
        <v>319</v>
      </c>
      <c r="B152" s="7">
        <f>1/(90000000*20)</f>
        <v>5.5555555555555553E-10</v>
      </c>
      <c r="C152" t="s">
        <v>27</v>
      </c>
      <c r="D152" t="s">
        <v>8</v>
      </c>
      <c r="F152" t="s">
        <v>21</v>
      </c>
      <c r="G152" t="s">
        <v>321</v>
      </c>
      <c r="H152" t="s">
        <v>320</v>
      </c>
    </row>
    <row r="153" spans="1:8" ht="15.5" x14ac:dyDescent="0.35">
      <c r="A153" s="2" t="s">
        <v>307</v>
      </c>
      <c r="B153" s="7">
        <f>0.01/1000*Allocation!B5*Allocation!F93</f>
        <v>2.1829385903348185E-4</v>
      </c>
      <c r="C153" t="s">
        <v>33</v>
      </c>
      <c r="D153" t="s">
        <v>9</v>
      </c>
      <c r="F153" t="s">
        <v>21</v>
      </c>
      <c r="G153" t="s">
        <v>324</v>
      </c>
      <c r="H153" s="2" t="s">
        <v>308</v>
      </c>
    </row>
    <row r="154" spans="1:8" ht="15.5" x14ac:dyDescent="0.35">
      <c r="A154" s="2" t="s">
        <v>263</v>
      </c>
      <c r="B154" s="5">
        <f>0.13/1000*Allocation!B5*Allocation!F93</f>
        <v>2.837820167435264E-3</v>
      </c>
      <c r="C154" t="s">
        <v>33</v>
      </c>
      <c r="D154" t="s">
        <v>9</v>
      </c>
      <c r="F154" t="s">
        <v>21</v>
      </c>
      <c r="G154" t="s">
        <v>325</v>
      </c>
      <c r="H154" s="2" t="s">
        <v>264</v>
      </c>
    </row>
    <row r="155" spans="1:8" ht="15.5" x14ac:dyDescent="0.35">
      <c r="A155" s="2" t="s">
        <v>322</v>
      </c>
      <c r="B155" s="4">
        <f>68.68/1000000*Allocation!B5*Allocation!F93</f>
        <v>1.4992422238419535E-3</v>
      </c>
      <c r="C155" t="s">
        <v>33</v>
      </c>
      <c r="D155" t="s">
        <v>9</v>
      </c>
      <c r="F155" t="s">
        <v>21</v>
      </c>
      <c r="G155" t="s">
        <v>326</v>
      </c>
      <c r="H155" s="2" t="s">
        <v>323</v>
      </c>
    </row>
    <row r="156" spans="1:8" ht="15.5" x14ac:dyDescent="0.35">
      <c r="A156" s="2" t="s">
        <v>328</v>
      </c>
      <c r="B156" s="4">
        <f>0.85/1000*Allocation!B5*Allocation!F93</f>
        <v>1.8554978017845954E-2</v>
      </c>
      <c r="C156" t="s">
        <v>33</v>
      </c>
      <c r="D156" t="s">
        <v>9</v>
      </c>
      <c r="F156" t="s">
        <v>21</v>
      </c>
      <c r="G156" t="s">
        <v>327</v>
      </c>
      <c r="H156" s="2" t="s">
        <v>329</v>
      </c>
    </row>
    <row r="157" spans="1:8" x14ac:dyDescent="0.35">
      <c r="A157" t="s">
        <v>201</v>
      </c>
      <c r="B157" s="6">
        <f>(B73*B151)-Allocation!$B$13</f>
        <v>2.775246788748885</v>
      </c>
      <c r="D157" t="s">
        <v>9</v>
      </c>
      <c r="E157" t="s">
        <v>39</v>
      </c>
      <c r="F157" t="s">
        <v>38</v>
      </c>
      <c r="G157" t="s">
        <v>441</v>
      </c>
    </row>
    <row r="159" spans="1:8" ht="15.5" x14ac:dyDescent="0.35">
      <c r="A159" s="1" t="s">
        <v>1</v>
      </c>
      <c r="B159" s="1" t="s">
        <v>348</v>
      </c>
    </row>
    <row r="160" spans="1:8" x14ac:dyDescent="0.35">
      <c r="A160" t="s">
        <v>2</v>
      </c>
      <c r="B160" t="s">
        <v>276</v>
      </c>
    </row>
    <row r="161" spans="1:8" x14ac:dyDescent="0.35">
      <c r="A161" t="s">
        <v>4</v>
      </c>
      <c r="B161">
        <v>1</v>
      </c>
    </row>
    <row r="162" spans="1:8" ht="15.5" x14ac:dyDescent="0.35">
      <c r="A162" t="s">
        <v>5</v>
      </c>
      <c r="B162" s="2" t="s">
        <v>317</v>
      </c>
    </row>
    <row r="163" spans="1:8" x14ac:dyDescent="0.35">
      <c r="A163" t="s">
        <v>6</v>
      </c>
      <c r="B163" t="s">
        <v>7</v>
      </c>
    </row>
    <row r="164" spans="1:8" x14ac:dyDescent="0.35">
      <c r="A164" t="s">
        <v>8</v>
      </c>
      <c r="B164" t="s">
        <v>9</v>
      </c>
    </row>
    <row r="165" spans="1:8" x14ac:dyDescent="0.35">
      <c r="A165" t="s">
        <v>10</v>
      </c>
      <c r="B165" t="s">
        <v>271</v>
      </c>
    </row>
    <row r="166" spans="1:8" x14ac:dyDescent="0.35">
      <c r="A166" t="s">
        <v>28</v>
      </c>
      <c r="B166" t="s">
        <v>349</v>
      </c>
    </row>
    <row r="167" spans="1:8" ht="15.5" x14ac:dyDescent="0.35">
      <c r="A167" s="1" t="s">
        <v>13</v>
      </c>
    </row>
    <row r="168" spans="1:8" x14ac:dyDescent="0.35">
      <c r="A168" t="s">
        <v>14</v>
      </c>
      <c r="B168" t="s">
        <v>15</v>
      </c>
      <c r="C168" t="s">
        <v>2</v>
      </c>
      <c r="D168" t="s">
        <v>8</v>
      </c>
      <c r="E168" t="s">
        <v>16</v>
      </c>
      <c r="F168" t="s">
        <v>6</v>
      </c>
      <c r="G168" t="s">
        <v>12</v>
      </c>
      <c r="H168" t="s">
        <v>5</v>
      </c>
    </row>
    <row r="169" spans="1:8" ht="15.5" x14ac:dyDescent="0.35">
      <c r="A169" s="2" t="s">
        <v>348</v>
      </c>
      <c r="B169">
        <v>1</v>
      </c>
      <c r="C169" t="s">
        <v>276</v>
      </c>
      <c r="D169" t="s">
        <v>9</v>
      </c>
      <c r="F169" t="s">
        <v>18</v>
      </c>
      <c r="G169" t="s">
        <v>19</v>
      </c>
      <c r="H169" s="2" t="s">
        <v>317</v>
      </c>
    </row>
    <row r="170" spans="1:8" ht="15.5" x14ac:dyDescent="0.35">
      <c r="A170" s="2" t="s">
        <v>278</v>
      </c>
      <c r="B170" s="6">
        <f>0.15*Allocation!B5*Allocation!G93</f>
        <v>3.8248041349292712</v>
      </c>
      <c r="C170" t="s">
        <v>276</v>
      </c>
      <c r="D170" t="s">
        <v>9</v>
      </c>
      <c r="F170" t="s">
        <v>21</v>
      </c>
      <c r="G170" t="s">
        <v>19</v>
      </c>
      <c r="H170" s="2" t="s">
        <v>279</v>
      </c>
    </row>
    <row r="171" spans="1:8" x14ac:dyDescent="0.35">
      <c r="A171" t="s">
        <v>319</v>
      </c>
      <c r="B171" s="7">
        <f>1/(90000000*20)</f>
        <v>5.5555555555555553E-10</v>
      </c>
      <c r="C171" t="s">
        <v>27</v>
      </c>
      <c r="D171" t="s">
        <v>8</v>
      </c>
      <c r="F171" t="s">
        <v>21</v>
      </c>
      <c r="G171" t="s">
        <v>321</v>
      </c>
      <c r="H171" t="s">
        <v>320</v>
      </c>
    </row>
    <row r="172" spans="1:8" ht="15.5" x14ac:dyDescent="0.35">
      <c r="A172" s="2" t="s">
        <v>307</v>
      </c>
      <c r="B172" s="7">
        <f>0.01/1000*Allocation!B5*Allocation!G93</f>
        <v>2.5498694232861809E-4</v>
      </c>
      <c r="C172" t="s">
        <v>33</v>
      </c>
      <c r="D172" t="s">
        <v>9</v>
      </c>
      <c r="F172" t="s">
        <v>21</v>
      </c>
      <c r="G172" t="s">
        <v>324</v>
      </c>
      <c r="H172" s="2" t="s">
        <v>308</v>
      </c>
    </row>
    <row r="173" spans="1:8" ht="15.5" x14ac:dyDescent="0.35">
      <c r="A173" s="2" t="s">
        <v>263</v>
      </c>
      <c r="B173" s="5">
        <f>0.13/1000*Allocation!B5*Allocation!G93</f>
        <v>3.3148302502720352E-3</v>
      </c>
      <c r="C173" t="s">
        <v>33</v>
      </c>
      <c r="D173" t="s">
        <v>9</v>
      </c>
      <c r="F173" t="s">
        <v>21</v>
      </c>
      <c r="G173" t="s">
        <v>325</v>
      </c>
      <c r="H173" s="2" t="s">
        <v>264</v>
      </c>
    </row>
    <row r="174" spans="1:8" ht="15.5" x14ac:dyDescent="0.35">
      <c r="A174" s="2" t="s">
        <v>322</v>
      </c>
      <c r="B174" s="4">
        <f>68.68/1000000*Allocation!B5*Allocation!G93</f>
        <v>1.7512503199129492E-3</v>
      </c>
      <c r="C174" t="s">
        <v>33</v>
      </c>
      <c r="D174" t="s">
        <v>9</v>
      </c>
      <c r="F174" t="s">
        <v>21</v>
      </c>
      <c r="G174" t="s">
        <v>326</v>
      </c>
      <c r="H174" s="2" t="s">
        <v>323</v>
      </c>
    </row>
    <row r="175" spans="1:8" ht="15.5" x14ac:dyDescent="0.35">
      <c r="A175" s="2" t="s">
        <v>328</v>
      </c>
      <c r="B175" s="4">
        <f>0.85/1000*Allocation!B5*Allocation!G93</f>
        <v>2.1673890097932535E-2</v>
      </c>
      <c r="C175" t="s">
        <v>33</v>
      </c>
      <c r="D175" t="s">
        <v>9</v>
      </c>
      <c r="F175" t="s">
        <v>21</v>
      </c>
      <c r="G175" t="s">
        <v>327</v>
      </c>
      <c r="H175" s="2" t="s">
        <v>329</v>
      </c>
    </row>
    <row r="176" spans="1:8" x14ac:dyDescent="0.35">
      <c r="A176" t="s">
        <v>201</v>
      </c>
      <c r="B176" s="6">
        <f>(B73*B170)-Allocation!$B$13</f>
        <v>3.5634637535908595</v>
      </c>
      <c r="D176" t="s">
        <v>9</v>
      </c>
      <c r="E176" t="s">
        <v>39</v>
      </c>
      <c r="F176" t="s">
        <v>38</v>
      </c>
      <c r="G176" t="s">
        <v>441</v>
      </c>
    </row>
    <row r="178" spans="1:8" ht="15.5" x14ac:dyDescent="0.35">
      <c r="A178" s="1" t="s">
        <v>1</v>
      </c>
      <c r="B178" s="1" t="s">
        <v>556</v>
      </c>
    </row>
    <row r="179" spans="1:8" x14ac:dyDescent="0.35">
      <c r="A179" t="s">
        <v>2</v>
      </c>
      <c r="B179" t="s">
        <v>276</v>
      </c>
    </row>
    <row r="180" spans="1:8" x14ac:dyDescent="0.35">
      <c r="A180" t="s">
        <v>4</v>
      </c>
      <c r="B180">
        <v>1</v>
      </c>
    </row>
    <row r="181" spans="1:8" ht="15.5" x14ac:dyDescent="0.35">
      <c r="A181" t="s">
        <v>5</v>
      </c>
      <c r="B181" s="2" t="s">
        <v>317</v>
      </c>
    </row>
    <row r="182" spans="1:8" x14ac:dyDescent="0.35">
      <c r="A182" t="s">
        <v>6</v>
      </c>
      <c r="B182" t="s">
        <v>7</v>
      </c>
    </row>
    <row r="183" spans="1:8" x14ac:dyDescent="0.35">
      <c r="A183" t="s">
        <v>8</v>
      </c>
      <c r="B183" t="s">
        <v>9</v>
      </c>
    </row>
    <row r="184" spans="1:8" x14ac:dyDescent="0.35">
      <c r="A184" t="s">
        <v>10</v>
      </c>
      <c r="B184" t="s">
        <v>271</v>
      </c>
    </row>
    <row r="185" spans="1:8" x14ac:dyDescent="0.35">
      <c r="A185" t="s">
        <v>28</v>
      </c>
      <c r="B185" t="s">
        <v>557</v>
      </c>
    </row>
    <row r="186" spans="1:8" ht="15.5" x14ac:dyDescent="0.35">
      <c r="A186" s="1" t="s">
        <v>13</v>
      </c>
    </row>
    <row r="187" spans="1:8" x14ac:dyDescent="0.35">
      <c r="A187" t="s">
        <v>14</v>
      </c>
      <c r="B187" t="s">
        <v>15</v>
      </c>
      <c r="C187" t="s">
        <v>2</v>
      </c>
      <c r="D187" t="s">
        <v>8</v>
      </c>
      <c r="E187" t="s">
        <v>16</v>
      </c>
      <c r="F187" t="s">
        <v>6</v>
      </c>
      <c r="G187" t="s">
        <v>12</v>
      </c>
      <c r="H187" t="s">
        <v>5</v>
      </c>
    </row>
    <row r="188" spans="1:8" ht="15.5" x14ac:dyDescent="0.35">
      <c r="A188" s="2" t="s">
        <v>556</v>
      </c>
      <c r="B188">
        <v>1</v>
      </c>
      <c r="C188" t="s">
        <v>276</v>
      </c>
      <c r="D188" t="s">
        <v>9</v>
      </c>
      <c r="F188" t="s">
        <v>18</v>
      </c>
      <c r="G188" t="s">
        <v>19</v>
      </c>
      <c r="H188" s="2" t="s">
        <v>317</v>
      </c>
    </row>
    <row r="189" spans="1:8" ht="15.5" x14ac:dyDescent="0.35">
      <c r="A189" s="2" t="s">
        <v>278</v>
      </c>
      <c r="B189" s="6">
        <f>0.15*Allocation!B5</f>
        <v>4.4550000000000001</v>
      </c>
      <c r="C189" t="s">
        <v>276</v>
      </c>
      <c r="D189" t="s">
        <v>9</v>
      </c>
      <c r="F189" t="s">
        <v>21</v>
      </c>
      <c r="G189" t="s">
        <v>19</v>
      </c>
      <c r="H189" s="2" t="s">
        <v>279</v>
      </c>
    </row>
    <row r="190" spans="1:8" x14ac:dyDescent="0.35">
      <c r="A190" t="s">
        <v>319</v>
      </c>
      <c r="B190" s="7">
        <f>1/(90000000*20)</f>
        <v>5.5555555555555553E-10</v>
      </c>
      <c r="C190" t="s">
        <v>27</v>
      </c>
      <c r="D190" t="s">
        <v>8</v>
      </c>
      <c r="F190" t="s">
        <v>21</v>
      </c>
      <c r="G190" t="s">
        <v>321</v>
      </c>
      <c r="H190" t="s">
        <v>320</v>
      </c>
    </row>
    <row r="191" spans="1:8" ht="15.5" x14ac:dyDescent="0.35">
      <c r="A191" s="2" t="s">
        <v>307</v>
      </c>
      <c r="B191" s="7">
        <f>0.01/1000*Allocation!B24*Allocation!G112</f>
        <v>0</v>
      </c>
      <c r="C191" t="s">
        <v>33</v>
      </c>
      <c r="D191" t="s">
        <v>9</v>
      </c>
      <c r="F191" t="s">
        <v>21</v>
      </c>
      <c r="G191" t="s">
        <v>324</v>
      </c>
      <c r="H191" s="2" t="s">
        <v>308</v>
      </c>
    </row>
    <row r="192" spans="1:8" ht="15.5" x14ac:dyDescent="0.35">
      <c r="A192" s="2" t="s">
        <v>263</v>
      </c>
      <c r="B192" s="5">
        <f>0.13/1000*Allocation!B24*Allocation!G112</f>
        <v>0</v>
      </c>
      <c r="C192" t="s">
        <v>33</v>
      </c>
      <c r="D192" t="s">
        <v>9</v>
      </c>
      <c r="F192" t="s">
        <v>21</v>
      </c>
      <c r="G192" t="s">
        <v>325</v>
      </c>
      <c r="H192" s="2" t="s">
        <v>264</v>
      </c>
    </row>
    <row r="193" spans="1:10" ht="15.5" x14ac:dyDescent="0.35">
      <c r="A193" s="2" t="s">
        <v>322</v>
      </c>
      <c r="B193" s="4">
        <f>68.68/1000000*Allocation!B24*Allocation!G112</f>
        <v>0</v>
      </c>
      <c r="C193" t="s">
        <v>33</v>
      </c>
      <c r="D193" t="s">
        <v>9</v>
      </c>
      <c r="F193" t="s">
        <v>21</v>
      </c>
      <c r="G193" t="s">
        <v>326</v>
      </c>
      <c r="H193" s="2" t="s">
        <v>323</v>
      </c>
    </row>
    <row r="194" spans="1:10" ht="15.5" x14ac:dyDescent="0.35">
      <c r="A194" s="2" t="s">
        <v>328</v>
      </c>
      <c r="B194" s="4">
        <f>0.85/1000*Allocation!B24*Allocation!G112</f>
        <v>0</v>
      </c>
      <c r="C194" t="s">
        <v>33</v>
      </c>
      <c r="D194" t="s">
        <v>9</v>
      </c>
      <c r="F194" t="s">
        <v>21</v>
      </c>
      <c r="G194" t="s">
        <v>327</v>
      </c>
      <c r="H194" s="2" t="s">
        <v>329</v>
      </c>
    </row>
    <row r="195" spans="1:10" x14ac:dyDescent="0.35">
      <c r="A195" t="s">
        <v>201</v>
      </c>
      <c r="B195" s="6">
        <f>(B73*B189)-Allocation!$B$13</f>
        <v>4.4659609499999995</v>
      </c>
      <c r="D195" t="s">
        <v>9</v>
      </c>
      <c r="E195" t="s">
        <v>39</v>
      </c>
      <c r="F195" t="s">
        <v>38</v>
      </c>
      <c r="G195" t="s">
        <v>441</v>
      </c>
    </row>
    <row r="196" spans="1:10" ht="15.5" x14ac:dyDescent="0.35">
      <c r="A196" s="2" t="s">
        <v>30</v>
      </c>
      <c r="B196" s="4">
        <f>0.13*Allocation!B5/3.6*-1</f>
        <v>-1.0725</v>
      </c>
      <c r="C196" t="s">
        <v>276</v>
      </c>
      <c r="D196" t="s">
        <v>31</v>
      </c>
      <c r="F196" t="s">
        <v>21</v>
      </c>
      <c r="G196" t="s">
        <v>558</v>
      </c>
      <c r="H196" s="2" t="s">
        <v>32</v>
      </c>
    </row>
    <row r="198" spans="1:10" ht="15.5" x14ac:dyDescent="0.35">
      <c r="A198" s="1" t="s">
        <v>1</v>
      </c>
      <c r="B198" s="1" t="s">
        <v>369</v>
      </c>
    </row>
    <row r="199" spans="1:10" x14ac:dyDescent="0.35">
      <c r="A199" t="s">
        <v>2</v>
      </c>
      <c r="B199" t="s">
        <v>276</v>
      </c>
    </row>
    <row r="200" spans="1:10" x14ac:dyDescent="0.35">
      <c r="A200" t="s">
        <v>4</v>
      </c>
      <c r="B200">
        <v>1</v>
      </c>
    </row>
    <row r="201" spans="1:10" ht="15.5" x14ac:dyDescent="0.35">
      <c r="A201" t="s">
        <v>5</v>
      </c>
      <c r="B201" s="2" t="s">
        <v>350</v>
      </c>
    </row>
    <row r="202" spans="1:10" x14ac:dyDescent="0.35">
      <c r="A202" t="s">
        <v>6</v>
      </c>
      <c r="B202" t="s">
        <v>7</v>
      </c>
    </row>
    <row r="203" spans="1:10" x14ac:dyDescent="0.35">
      <c r="A203" t="s">
        <v>8</v>
      </c>
      <c r="B203" t="s">
        <v>9</v>
      </c>
    </row>
    <row r="204" spans="1:10" x14ac:dyDescent="0.35">
      <c r="A204" t="s">
        <v>10</v>
      </c>
      <c r="B204" t="s">
        <v>271</v>
      </c>
    </row>
    <row r="205" spans="1:10" x14ac:dyDescent="0.35">
      <c r="A205" t="s">
        <v>12</v>
      </c>
      <c r="B205" t="s">
        <v>375</v>
      </c>
    </row>
    <row r="206" spans="1:10" ht="15.5" x14ac:dyDescent="0.35">
      <c r="A206" s="1" t="s">
        <v>13</v>
      </c>
    </row>
    <row r="207" spans="1:10" x14ac:dyDescent="0.35">
      <c r="A207" t="s">
        <v>14</v>
      </c>
      <c r="B207" t="s">
        <v>15</v>
      </c>
      <c r="C207" t="s">
        <v>2</v>
      </c>
      <c r="D207" t="s">
        <v>8</v>
      </c>
      <c r="E207" t="s">
        <v>16</v>
      </c>
      <c r="F207" t="s">
        <v>6</v>
      </c>
      <c r="G207" t="s">
        <v>351</v>
      </c>
      <c r="H207" t="s">
        <v>352</v>
      </c>
      <c r="I207" t="s">
        <v>12</v>
      </c>
      <c r="J207" t="s">
        <v>5</v>
      </c>
    </row>
    <row r="208" spans="1:10" x14ac:dyDescent="0.35">
      <c r="A208" s="38" t="s">
        <v>369</v>
      </c>
      <c r="B208" s="38">
        <v>1</v>
      </c>
      <c r="C208" t="s">
        <v>276</v>
      </c>
      <c r="D208" s="38" t="s">
        <v>9</v>
      </c>
      <c r="E208" s="38"/>
      <c r="F208" s="38" t="s">
        <v>18</v>
      </c>
      <c r="G208" s="38"/>
      <c r="H208" s="38"/>
      <c r="I208" s="38" t="s">
        <v>19</v>
      </c>
      <c r="J208" s="38" t="s">
        <v>350</v>
      </c>
    </row>
    <row r="209" spans="1:10" ht="15.5" x14ac:dyDescent="0.35">
      <c r="A209" s="2" t="s">
        <v>300</v>
      </c>
      <c r="B209">
        <v>1.00057</v>
      </c>
      <c r="C209" t="s">
        <v>276</v>
      </c>
      <c r="D209" t="s">
        <v>9</v>
      </c>
      <c r="F209" s="38" t="s">
        <v>21</v>
      </c>
      <c r="G209" t="s">
        <v>19</v>
      </c>
      <c r="I209" s="38"/>
      <c r="J209" s="2" t="s">
        <v>299</v>
      </c>
    </row>
    <row r="210" spans="1:10" x14ac:dyDescent="0.35">
      <c r="A210" s="38" t="s">
        <v>30</v>
      </c>
      <c r="B210" s="38">
        <v>6.7000000000000002E-3</v>
      </c>
      <c r="C210" t="s">
        <v>276</v>
      </c>
      <c r="D210" s="38" t="s">
        <v>31</v>
      </c>
      <c r="E210" s="38"/>
      <c r="F210" s="38" t="s">
        <v>21</v>
      </c>
      <c r="G210" s="38"/>
      <c r="H210" s="38"/>
      <c r="I210" s="38"/>
      <c r="J210" s="38" t="s">
        <v>32</v>
      </c>
    </row>
    <row r="211" spans="1:10" x14ac:dyDescent="0.35">
      <c r="A211" s="38" t="s">
        <v>353</v>
      </c>
      <c r="B211" s="38">
        <v>-1.6799999999999999E-4</v>
      </c>
      <c r="C211" s="38" t="s">
        <v>33</v>
      </c>
      <c r="D211" s="38" t="s">
        <v>9</v>
      </c>
      <c r="E211" s="38"/>
      <c r="F211" s="38" t="s">
        <v>21</v>
      </c>
      <c r="G211" s="38"/>
      <c r="H211" s="38"/>
      <c r="I211" s="38"/>
      <c r="J211" s="38" t="s">
        <v>354</v>
      </c>
    </row>
    <row r="212" spans="1:10" x14ac:dyDescent="0.35">
      <c r="A212" s="38" t="s">
        <v>355</v>
      </c>
      <c r="B212" s="39">
        <v>5.8399999999999999E-4</v>
      </c>
      <c r="C212" s="38" t="s">
        <v>33</v>
      </c>
      <c r="D212" s="38" t="s">
        <v>20</v>
      </c>
      <c r="E212" s="38"/>
      <c r="F212" s="38" t="s">
        <v>21</v>
      </c>
      <c r="G212" s="38"/>
      <c r="H212" s="38"/>
      <c r="I212" s="38"/>
      <c r="J212" s="38" t="s">
        <v>356</v>
      </c>
    </row>
    <row r="213" spans="1:10" x14ac:dyDescent="0.35">
      <c r="A213" s="38" t="s">
        <v>357</v>
      </c>
      <c r="B213" s="39">
        <v>2.5999999999999998E-10</v>
      </c>
      <c r="C213" s="38" t="s">
        <v>33</v>
      </c>
      <c r="D213" s="38" t="s">
        <v>8</v>
      </c>
      <c r="E213" s="38"/>
      <c r="F213" s="38" t="s">
        <v>21</v>
      </c>
      <c r="G213" s="38"/>
      <c r="H213" s="38"/>
      <c r="I213" s="38"/>
      <c r="J213" s="38" t="s">
        <v>358</v>
      </c>
    </row>
    <row r="214" spans="1:10" x14ac:dyDescent="0.35">
      <c r="A214" s="38" t="s">
        <v>359</v>
      </c>
      <c r="B214" s="39">
        <v>-6.2700000000000001E-6</v>
      </c>
      <c r="C214" s="38" t="s">
        <v>33</v>
      </c>
      <c r="D214" s="38" t="s">
        <v>9</v>
      </c>
      <c r="E214" s="38"/>
      <c r="F214" s="38" t="s">
        <v>21</v>
      </c>
      <c r="G214" s="38"/>
      <c r="H214" s="38"/>
      <c r="I214" s="38"/>
      <c r="J214" s="38" t="s">
        <v>360</v>
      </c>
    </row>
    <row r="215" spans="1:10" x14ac:dyDescent="0.35">
      <c r="A215" s="38" t="s">
        <v>361</v>
      </c>
      <c r="B215" s="39">
        <v>-7.4999999999999993E-5</v>
      </c>
      <c r="C215" s="38" t="s">
        <v>33</v>
      </c>
      <c r="D215" s="38" t="s">
        <v>131</v>
      </c>
      <c r="E215" s="38"/>
      <c r="F215" s="38" t="s">
        <v>21</v>
      </c>
      <c r="G215" s="38"/>
      <c r="H215" s="38"/>
      <c r="I215" s="38"/>
      <c r="J215" s="38" t="s">
        <v>362</v>
      </c>
    </row>
    <row r="216" spans="1:10" x14ac:dyDescent="0.35">
      <c r="A216" s="38" t="s">
        <v>363</v>
      </c>
      <c r="B216" s="39">
        <v>6.8900000000000005E-4</v>
      </c>
      <c r="C216" s="38" t="s">
        <v>276</v>
      </c>
      <c r="D216" s="38" t="s">
        <v>9</v>
      </c>
      <c r="E216" s="38"/>
      <c r="F216" s="38" t="s">
        <v>21</v>
      </c>
      <c r="G216" s="38"/>
      <c r="H216" s="38"/>
      <c r="I216" s="38"/>
      <c r="J216" s="38" t="s">
        <v>364</v>
      </c>
    </row>
    <row r="217" spans="1:10" x14ac:dyDescent="0.35">
      <c r="A217" s="38" t="s">
        <v>108</v>
      </c>
      <c r="B217" s="38">
        <v>3.3599999999999998E-2</v>
      </c>
      <c r="C217" s="38" t="s">
        <v>33</v>
      </c>
      <c r="D217" s="38" t="s">
        <v>45</v>
      </c>
      <c r="E217" s="38"/>
      <c r="F217" s="38" t="s">
        <v>21</v>
      </c>
      <c r="G217" s="38"/>
      <c r="H217" s="38"/>
      <c r="I217" s="38"/>
      <c r="J217" s="38" t="s">
        <v>111</v>
      </c>
    </row>
    <row r="218" spans="1:10" x14ac:dyDescent="0.35">
      <c r="A218" s="38" t="s">
        <v>365</v>
      </c>
      <c r="B218" s="38">
        <v>3.2599999999999997E-2</v>
      </c>
      <c r="C218" s="38" t="s">
        <v>33</v>
      </c>
      <c r="D218" s="38" t="s">
        <v>45</v>
      </c>
      <c r="E218" s="38"/>
      <c r="F218" s="38" t="s">
        <v>21</v>
      </c>
      <c r="G218" s="38"/>
      <c r="H218" s="38"/>
      <c r="I218" s="38"/>
      <c r="J218" s="38" t="s">
        <v>366</v>
      </c>
    </row>
    <row r="219" spans="1:10" x14ac:dyDescent="0.35">
      <c r="A219" s="38" t="s">
        <v>367</v>
      </c>
      <c r="B219" s="39">
        <v>-6.8899999999999999E-7</v>
      </c>
      <c r="C219" s="38" t="s">
        <v>33</v>
      </c>
      <c r="D219" s="38" t="s">
        <v>131</v>
      </c>
      <c r="E219" s="38"/>
      <c r="F219" s="38" t="s">
        <v>21</v>
      </c>
      <c r="G219" s="38"/>
      <c r="H219" s="38"/>
      <c r="I219" s="38"/>
      <c r="J219" s="38" t="s">
        <v>368</v>
      </c>
    </row>
    <row r="221" spans="1:10" ht="15.5" x14ac:dyDescent="0.35">
      <c r="A221" s="1" t="s">
        <v>1</v>
      </c>
      <c r="B221" s="1" t="s">
        <v>370</v>
      </c>
    </row>
    <row r="222" spans="1:10" x14ac:dyDescent="0.35">
      <c r="A222" t="s">
        <v>2</v>
      </c>
      <c r="B222" t="s">
        <v>276</v>
      </c>
    </row>
    <row r="223" spans="1:10" x14ac:dyDescent="0.35">
      <c r="A223" t="s">
        <v>4</v>
      </c>
      <c r="B223">
        <v>1</v>
      </c>
    </row>
    <row r="224" spans="1:10" ht="15.5" x14ac:dyDescent="0.35">
      <c r="A224" t="s">
        <v>5</v>
      </c>
      <c r="B224" s="2" t="s">
        <v>350</v>
      </c>
    </row>
    <row r="225" spans="1:10" x14ac:dyDescent="0.35">
      <c r="A225" t="s">
        <v>6</v>
      </c>
      <c r="B225" t="s">
        <v>7</v>
      </c>
    </row>
    <row r="226" spans="1:10" x14ac:dyDescent="0.35">
      <c r="A226" t="s">
        <v>8</v>
      </c>
      <c r="B226" t="s">
        <v>9</v>
      </c>
    </row>
    <row r="227" spans="1:10" x14ac:dyDescent="0.35">
      <c r="A227" t="s">
        <v>10</v>
      </c>
      <c r="B227" t="s">
        <v>271</v>
      </c>
    </row>
    <row r="228" spans="1:10" x14ac:dyDescent="0.35">
      <c r="A228" t="s">
        <v>12</v>
      </c>
      <c r="B228" t="s">
        <v>374</v>
      </c>
    </row>
    <row r="229" spans="1:10" ht="15.5" x14ac:dyDescent="0.35">
      <c r="A229" s="1" t="s">
        <v>13</v>
      </c>
    </row>
    <row r="230" spans="1:10" x14ac:dyDescent="0.35">
      <c r="A230" t="s">
        <v>14</v>
      </c>
      <c r="B230" t="s">
        <v>15</v>
      </c>
      <c r="C230" t="s">
        <v>2</v>
      </c>
      <c r="D230" t="s">
        <v>8</v>
      </c>
      <c r="E230" t="s">
        <v>16</v>
      </c>
      <c r="F230" t="s">
        <v>6</v>
      </c>
      <c r="G230" t="s">
        <v>351</v>
      </c>
      <c r="H230" t="s">
        <v>352</v>
      </c>
      <c r="I230" t="s">
        <v>12</v>
      </c>
      <c r="J230" t="s">
        <v>5</v>
      </c>
    </row>
    <row r="231" spans="1:10" x14ac:dyDescent="0.35">
      <c r="A231" s="38" t="s">
        <v>370</v>
      </c>
      <c r="B231" s="38">
        <v>1</v>
      </c>
      <c r="C231" t="s">
        <v>276</v>
      </c>
      <c r="D231" s="38" t="s">
        <v>9</v>
      </c>
      <c r="E231" s="38"/>
      <c r="F231" s="38" t="s">
        <v>18</v>
      </c>
      <c r="G231" s="38"/>
      <c r="H231" s="38"/>
      <c r="I231" s="38" t="s">
        <v>19</v>
      </c>
      <c r="J231" s="38" t="s">
        <v>350</v>
      </c>
    </row>
    <row r="232" spans="1:10" ht="15.5" x14ac:dyDescent="0.35">
      <c r="A232" s="2" t="s">
        <v>314</v>
      </c>
      <c r="B232">
        <v>1.00057</v>
      </c>
      <c r="C232" t="s">
        <v>276</v>
      </c>
      <c r="D232" t="s">
        <v>9</v>
      </c>
      <c r="F232" s="38" t="s">
        <v>21</v>
      </c>
      <c r="G232" t="s">
        <v>19</v>
      </c>
      <c r="I232" s="38"/>
      <c r="J232" s="2" t="s">
        <v>299</v>
      </c>
    </row>
    <row r="233" spans="1:10" x14ac:dyDescent="0.35">
      <c r="A233" s="38" t="s">
        <v>30</v>
      </c>
      <c r="B233" s="38">
        <v>6.7000000000000002E-3</v>
      </c>
      <c r="C233" t="s">
        <v>276</v>
      </c>
      <c r="D233" s="38" t="s">
        <v>31</v>
      </c>
      <c r="E233" s="38"/>
      <c r="F233" s="38" t="s">
        <v>21</v>
      </c>
      <c r="G233" s="38"/>
      <c r="H233" s="38"/>
      <c r="I233" s="38"/>
      <c r="J233" s="38" t="s">
        <v>32</v>
      </c>
    </row>
    <row r="234" spans="1:10" x14ac:dyDescent="0.35">
      <c r="A234" s="38" t="s">
        <v>353</v>
      </c>
      <c r="B234" s="38">
        <v>-1.6799999999999999E-4</v>
      </c>
      <c r="C234" s="38" t="s">
        <v>33</v>
      </c>
      <c r="D234" s="38" t="s">
        <v>9</v>
      </c>
      <c r="E234" s="38"/>
      <c r="F234" s="38" t="s">
        <v>21</v>
      </c>
      <c r="G234" s="38"/>
      <c r="H234" s="38"/>
      <c r="I234" s="38"/>
      <c r="J234" s="38" t="s">
        <v>354</v>
      </c>
    </row>
    <row r="235" spans="1:10" x14ac:dyDescent="0.35">
      <c r="A235" s="38" t="s">
        <v>355</v>
      </c>
      <c r="B235" s="39">
        <v>5.8399999999999999E-4</v>
      </c>
      <c r="C235" s="38" t="s">
        <v>33</v>
      </c>
      <c r="D235" s="38" t="s">
        <v>20</v>
      </c>
      <c r="E235" s="38"/>
      <c r="F235" s="38" t="s">
        <v>21</v>
      </c>
      <c r="G235" s="38"/>
      <c r="H235" s="38"/>
      <c r="I235" s="38"/>
      <c r="J235" s="38" t="s">
        <v>356</v>
      </c>
    </row>
    <row r="236" spans="1:10" x14ac:dyDescent="0.35">
      <c r="A236" s="38" t="s">
        <v>357</v>
      </c>
      <c r="B236" s="39">
        <v>2.5999999999999998E-10</v>
      </c>
      <c r="C236" s="38" t="s">
        <v>33</v>
      </c>
      <c r="D236" s="38" t="s">
        <v>8</v>
      </c>
      <c r="E236" s="38"/>
      <c r="F236" s="38" t="s">
        <v>21</v>
      </c>
      <c r="G236" s="38"/>
      <c r="H236" s="38"/>
      <c r="I236" s="38"/>
      <c r="J236" s="38" t="s">
        <v>358</v>
      </c>
    </row>
    <row r="237" spans="1:10" x14ac:dyDescent="0.35">
      <c r="A237" s="38" t="s">
        <v>359</v>
      </c>
      <c r="B237" s="39">
        <v>-6.2700000000000001E-6</v>
      </c>
      <c r="C237" s="38" t="s">
        <v>33</v>
      </c>
      <c r="D237" s="38" t="s">
        <v>9</v>
      </c>
      <c r="E237" s="38"/>
      <c r="F237" s="38" t="s">
        <v>21</v>
      </c>
      <c r="G237" s="38"/>
      <c r="H237" s="38"/>
      <c r="I237" s="38"/>
      <c r="J237" s="38" t="s">
        <v>360</v>
      </c>
    </row>
    <row r="238" spans="1:10" x14ac:dyDescent="0.35">
      <c r="A238" s="38" t="s">
        <v>361</v>
      </c>
      <c r="B238" s="39">
        <v>-7.4999999999999993E-5</v>
      </c>
      <c r="C238" s="38" t="s">
        <v>33</v>
      </c>
      <c r="D238" s="38" t="s">
        <v>131</v>
      </c>
      <c r="E238" s="38"/>
      <c r="F238" s="38" t="s">
        <v>21</v>
      </c>
      <c r="G238" s="38"/>
      <c r="H238" s="38"/>
      <c r="I238" s="38"/>
      <c r="J238" s="38" t="s">
        <v>362</v>
      </c>
    </row>
    <row r="239" spans="1:10" x14ac:dyDescent="0.35">
      <c r="A239" s="38" t="s">
        <v>363</v>
      </c>
      <c r="B239" s="39">
        <v>6.8900000000000005E-4</v>
      </c>
      <c r="C239" s="38" t="s">
        <v>276</v>
      </c>
      <c r="D239" s="38" t="s">
        <v>9</v>
      </c>
      <c r="E239" s="38"/>
      <c r="F239" s="38" t="s">
        <v>21</v>
      </c>
      <c r="G239" s="38"/>
      <c r="H239" s="38"/>
      <c r="I239" s="38"/>
      <c r="J239" s="38" t="s">
        <v>364</v>
      </c>
    </row>
    <row r="240" spans="1:10" x14ac:dyDescent="0.35">
      <c r="A240" s="38" t="s">
        <v>108</v>
      </c>
      <c r="B240" s="38">
        <v>3.3599999999999998E-2</v>
      </c>
      <c r="C240" s="38" t="s">
        <v>33</v>
      </c>
      <c r="D240" s="38" t="s">
        <v>45</v>
      </c>
      <c r="E240" s="38"/>
      <c r="F240" s="38" t="s">
        <v>21</v>
      </c>
      <c r="G240" s="38"/>
      <c r="H240" s="38"/>
      <c r="I240" s="38"/>
      <c r="J240" s="38" t="s">
        <v>111</v>
      </c>
    </row>
    <row r="241" spans="1:10" x14ac:dyDescent="0.35">
      <c r="A241" s="38" t="s">
        <v>365</v>
      </c>
      <c r="B241" s="38">
        <v>3.2599999999999997E-2</v>
      </c>
      <c r="C241" s="38" t="s">
        <v>33</v>
      </c>
      <c r="D241" s="38" t="s">
        <v>45</v>
      </c>
      <c r="E241" s="38"/>
      <c r="F241" s="38" t="s">
        <v>21</v>
      </c>
      <c r="G241" s="38"/>
      <c r="H241" s="38"/>
      <c r="I241" s="38"/>
      <c r="J241" s="38" t="s">
        <v>366</v>
      </c>
    </row>
    <row r="242" spans="1:10" x14ac:dyDescent="0.35">
      <c r="A242" s="38" t="s">
        <v>367</v>
      </c>
      <c r="B242" s="39">
        <v>-6.8899999999999999E-7</v>
      </c>
      <c r="C242" s="38" t="s">
        <v>33</v>
      </c>
      <c r="D242" s="38" t="s">
        <v>131</v>
      </c>
      <c r="E242" s="38"/>
      <c r="F242" s="38" t="s">
        <v>21</v>
      </c>
      <c r="G242" s="38"/>
      <c r="H242" s="38"/>
      <c r="I242" s="38"/>
      <c r="J242" s="38" t="s">
        <v>368</v>
      </c>
    </row>
    <row r="244" spans="1:10" ht="15.5" x14ac:dyDescent="0.35">
      <c r="A244" s="1" t="s">
        <v>1</v>
      </c>
      <c r="B244" s="1" t="s">
        <v>537</v>
      </c>
    </row>
    <row r="245" spans="1:10" x14ac:dyDescent="0.35">
      <c r="A245" t="s">
        <v>2</v>
      </c>
      <c r="B245" t="s">
        <v>276</v>
      </c>
    </row>
    <row r="246" spans="1:10" x14ac:dyDescent="0.35">
      <c r="A246" t="s">
        <v>4</v>
      </c>
      <c r="B246">
        <v>1</v>
      </c>
    </row>
    <row r="247" spans="1:10" ht="15.5" x14ac:dyDescent="0.35">
      <c r="A247" t="s">
        <v>5</v>
      </c>
      <c r="B247" s="2" t="s">
        <v>350</v>
      </c>
    </row>
    <row r="248" spans="1:10" x14ac:dyDescent="0.35">
      <c r="A248" t="s">
        <v>6</v>
      </c>
      <c r="B248" t="s">
        <v>7</v>
      </c>
    </row>
    <row r="249" spans="1:10" x14ac:dyDescent="0.35">
      <c r="A249" t="s">
        <v>8</v>
      </c>
      <c r="B249" t="s">
        <v>9</v>
      </c>
    </row>
    <row r="250" spans="1:10" x14ac:dyDescent="0.35">
      <c r="A250" t="s">
        <v>10</v>
      </c>
      <c r="B250" t="s">
        <v>271</v>
      </c>
    </row>
    <row r="251" spans="1:10" x14ac:dyDescent="0.35">
      <c r="A251" t="s">
        <v>12</v>
      </c>
      <c r="B251" t="s">
        <v>525</v>
      </c>
    </row>
    <row r="252" spans="1:10" ht="15.5" x14ac:dyDescent="0.35">
      <c r="A252" s="1" t="s">
        <v>13</v>
      </c>
    </row>
    <row r="253" spans="1:10" x14ac:dyDescent="0.35">
      <c r="A253" t="s">
        <v>14</v>
      </c>
      <c r="B253" t="s">
        <v>15</v>
      </c>
      <c r="C253" t="s">
        <v>2</v>
      </c>
      <c r="D253" t="s">
        <v>8</v>
      </c>
      <c r="E253" t="s">
        <v>16</v>
      </c>
      <c r="F253" t="s">
        <v>6</v>
      </c>
      <c r="G253" t="s">
        <v>351</v>
      </c>
      <c r="H253" t="s">
        <v>352</v>
      </c>
      <c r="I253" t="s">
        <v>12</v>
      </c>
      <c r="J253" t="s">
        <v>5</v>
      </c>
    </row>
    <row r="254" spans="1:10" x14ac:dyDescent="0.35">
      <c r="A254" s="38" t="s">
        <v>537</v>
      </c>
      <c r="B254" s="38">
        <v>1</v>
      </c>
      <c r="C254" t="s">
        <v>276</v>
      </c>
      <c r="D254" s="38" t="s">
        <v>9</v>
      </c>
      <c r="E254" s="38"/>
      <c r="F254" s="38" t="s">
        <v>18</v>
      </c>
      <c r="G254" s="38"/>
      <c r="H254" s="38"/>
      <c r="I254" s="38" t="s">
        <v>19</v>
      </c>
      <c r="J254" s="38" t="s">
        <v>350</v>
      </c>
    </row>
    <row r="255" spans="1:10" ht="15.5" x14ac:dyDescent="0.35">
      <c r="A255" s="2" t="s">
        <v>536</v>
      </c>
      <c r="B255">
        <v>1.00057</v>
      </c>
      <c r="C255" t="s">
        <v>276</v>
      </c>
      <c r="D255" t="s">
        <v>9</v>
      </c>
      <c r="F255" s="38" t="s">
        <v>21</v>
      </c>
      <c r="G255" t="s">
        <v>19</v>
      </c>
      <c r="I255" s="38"/>
      <c r="J255" s="2" t="s">
        <v>299</v>
      </c>
    </row>
    <row r="256" spans="1:10" x14ac:dyDescent="0.35">
      <c r="A256" s="38" t="s">
        <v>30</v>
      </c>
      <c r="B256" s="38">
        <v>6.7000000000000002E-3</v>
      </c>
      <c r="C256" t="s">
        <v>276</v>
      </c>
      <c r="D256" s="38" t="s">
        <v>31</v>
      </c>
      <c r="E256" s="38"/>
      <c r="F256" s="38" t="s">
        <v>21</v>
      </c>
      <c r="G256" s="38"/>
      <c r="H256" s="38"/>
      <c r="I256" s="38"/>
      <c r="J256" s="38" t="s">
        <v>32</v>
      </c>
    </row>
    <row r="257" spans="1:10" x14ac:dyDescent="0.35">
      <c r="A257" s="38" t="s">
        <v>353</v>
      </c>
      <c r="B257" s="38">
        <v>-1.6799999999999999E-4</v>
      </c>
      <c r="C257" s="38" t="s">
        <v>33</v>
      </c>
      <c r="D257" s="38" t="s">
        <v>9</v>
      </c>
      <c r="E257" s="38"/>
      <c r="F257" s="38" t="s">
        <v>21</v>
      </c>
      <c r="G257" s="38"/>
      <c r="H257" s="38"/>
      <c r="I257" s="38"/>
      <c r="J257" s="38" t="s">
        <v>354</v>
      </c>
    </row>
    <row r="258" spans="1:10" x14ac:dyDescent="0.35">
      <c r="A258" s="38" t="s">
        <v>355</v>
      </c>
      <c r="B258" s="39">
        <v>5.8399999999999999E-4</v>
      </c>
      <c r="C258" s="38" t="s">
        <v>33</v>
      </c>
      <c r="D258" s="38" t="s">
        <v>20</v>
      </c>
      <c r="E258" s="38"/>
      <c r="F258" s="38" t="s">
        <v>21</v>
      </c>
      <c r="G258" s="38"/>
      <c r="H258" s="38"/>
      <c r="I258" s="38"/>
      <c r="J258" s="38" t="s">
        <v>356</v>
      </c>
    </row>
    <row r="259" spans="1:10" x14ac:dyDescent="0.35">
      <c r="A259" s="38" t="s">
        <v>357</v>
      </c>
      <c r="B259" s="39">
        <v>2.5999999999999998E-10</v>
      </c>
      <c r="C259" s="38" t="s">
        <v>33</v>
      </c>
      <c r="D259" s="38" t="s">
        <v>8</v>
      </c>
      <c r="E259" s="38"/>
      <c r="F259" s="38" t="s">
        <v>21</v>
      </c>
      <c r="G259" s="38"/>
      <c r="H259" s="38"/>
      <c r="I259" s="38"/>
      <c r="J259" s="38" t="s">
        <v>358</v>
      </c>
    </row>
    <row r="260" spans="1:10" x14ac:dyDescent="0.35">
      <c r="A260" s="38" t="s">
        <v>359</v>
      </c>
      <c r="B260" s="39">
        <v>-6.2700000000000001E-6</v>
      </c>
      <c r="C260" s="38" t="s">
        <v>33</v>
      </c>
      <c r="D260" s="38" t="s">
        <v>9</v>
      </c>
      <c r="E260" s="38"/>
      <c r="F260" s="38" t="s">
        <v>21</v>
      </c>
      <c r="G260" s="38"/>
      <c r="H260" s="38"/>
      <c r="I260" s="38"/>
      <c r="J260" s="38" t="s">
        <v>360</v>
      </c>
    </row>
    <row r="261" spans="1:10" x14ac:dyDescent="0.35">
      <c r="A261" s="38" t="s">
        <v>361</v>
      </c>
      <c r="B261" s="39">
        <v>-7.4999999999999993E-5</v>
      </c>
      <c r="C261" s="38" t="s">
        <v>33</v>
      </c>
      <c r="D261" s="38" t="s">
        <v>131</v>
      </c>
      <c r="E261" s="38"/>
      <c r="F261" s="38" t="s">
        <v>21</v>
      </c>
      <c r="G261" s="38"/>
      <c r="H261" s="38"/>
      <c r="I261" s="38"/>
      <c r="J261" s="38" t="s">
        <v>362</v>
      </c>
    </row>
    <row r="262" spans="1:10" x14ac:dyDescent="0.35">
      <c r="A262" s="38" t="s">
        <v>363</v>
      </c>
      <c r="B262" s="39">
        <v>6.8900000000000005E-4</v>
      </c>
      <c r="C262" s="38" t="s">
        <v>276</v>
      </c>
      <c r="D262" s="38" t="s">
        <v>9</v>
      </c>
      <c r="E262" s="38"/>
      <c r="F262" s="38" t="s">
        <v>21</v>
      </c>
      <c r="G262" s="38"/>
      <c r="H262" s="38"/>
      <c r="I262" s="38"/>
      <c r="J262" s="38" t="s">
        <v>364</v>
      </c>
    </row>
    <row r="263" spans="1:10" x14ac:dyDescent="0.35">
      <c r="A263" s="38" t="s">
        <v>108</v>
      </c>
      <c r="B263" s="38">
        <v>3.3599999999999998E-2</v>
      </c>
      <c r="C263" s="38" t="s">
        <v>33</v>
      </c>
      <c r="D263" s="38" t="s">
        <v>45</v>
      </c>
      <c r="E263" s="38"/>
      <c r="F263" s="38" t="s">
        <v>21</v>
      </c>
      <c r="G263" s="38"/>
      <c r="H263" s="38"/>
      <c r="I263" s="38"/>
      <c r="J263" s="38" t="s">
        <v>111</v>
      </c>
    </row>
    <row r="264" spans="1:10" x14ac:dyDescent="0.35">
      <c r="A264" s="38" t="s">
        <v>365</v>
      </c>
      <c r="B264" s="38">
        <v>3.2599999999999997E-2</v>
      </c>
      <c r="C264" s="38" t="s">
        <v>33</v>
      </c>
      <c r="D264" s="38" t="s">
        <v>45</v>
      </c>
      <c r="E264" s="38"/>
      <c r="F264" s="38" t="s">
        <v>21</v>
      </c>
      <c r="G264" s="38"/>
      <c r="H264" s="38"/>
      <c r="I264" s="38"/>
      <c r="J264" s="38" t="s">
        <v>366</v>
      </c>
    </row>
    <row r="265" spans="1:10" x14ac:dyDescent="0.35">
      <c r="A265" s="38" t="s">
        <v>367</v>
      </c>
      <c r="B265" s="39">
        <v>-6.8899999999999999E-7</v>
      </c>
      <c r="C265" s="38" t="s">
        <v>33</v>
      </c>
      <c r="D265" s="38" t="s">
        <v>131</v>
      </c>
      <c r="E265" s="38"/>
      <c r="F265" s="38" t="s">
        <v>21</v>
      </c>
      <c r="G265" s="38"/>
      <c r="H265" s="38"/>
      <c r="I265" s="38"/>
      <c r="J265" s="38" t="s">
        <v>368</v>
      </c>
    </row>
    <row r="267" spans="1:10" ht="15.5" x14ac:dyDescent="0.35">
      <c r="A267" s="1" t="s">
        <v>1</v>
      </c>
      <c r="B267" s="1" t="s">
        <v>371</v>
      </c>
    </row>
    <row r="268" spans="1:10" x14ac:dyDescent="0.35">
      <c r="A268" t="s">
        <v>2</v>
      </c>
      <c r="B268" t="s">
        <v>276</v>
      </c>
    </row>
    <row r="269" spans="1:10" x14ac:dyDescent="0.35">
      <c r="A269" t="s">
        <v>4</v>
      </c>
      <c r="B269">
        <v>1</v>
      </c>
    </row>
    <row r="270" spans="1:10" ht="15.5" x14ac:dyDescent="0.35">
      <c r="A270" t="s">
        <v>5</v>
      </c>
      <c r="B270" s="2" t="s">
        <v>350</v>
      </c>
    </row>
    <row r="271" spans="1:10" x14ac:dyDescent="0.35">
      <c r="A271" t="s">
        <v>6</v>
      </c>
      <c r="B271" t="s">
        <v>7</v>
      </c>
    </row>
    <row r="272" spans="1:10" x14ac:dyDescent="0.35">
      <c r="A272" t="s">
        <v>8</v>
      </c>
      <c r="B272" t="s">
        <v>9</v>
      </c>
    </row>
    <row r="273" spans="1:10" x14ac:dyDescent="0.35">
      <c r="A273" t="s">
        <v>10</v>
      </c>
      <c r="B273" t="s">
        <v>271</v>
      </c>
    </row>
    <row r="274" spans="1:10" x14ac:dyDescent="0.35">
      <c r="A274" t="s">
        <v>12</v>
      </c>
      <c r="B274" t="s">
        <v>375</v>
      </c>
    </row>
    <row r="275" spans="1:10" ht="15.5" x14ac:dyDescent="0.35">
      <c r="A275" s="1" t="s">
        <v>13</v>
      </c>
    </row>
    <row r="276" spans="1:10" x14ac:dyDescent="0.35">
      <c r="A276" t="s">
        <v>14</v>
      </c>
      <c r="B276" t="s">
        <v>15</v>
      </c>
      <c r="C276" t="s">
        <v>2</v>
      </c>
      <c r="D276" t="s">
        <v>8</v>
      </c>
      <c r="E276" t="s">
        <v>16</v>
      </c>
      <c r="F276" t="s">
        <v>6</v>
      </c>
      <c r="G276" t="s">
        <v>351</v>
      </c>
      <c r="H276" t="s">
        <v>352</v>
      </c>
      <c r="I276" t="s">
        <v>12</v>
      </c>
      <c r="J276" t="s">
        <v>5</v>
      </c>
    </row>
    <row r="277" spans="1:10" x14ac:dyDescent="0.35">
      <c r="A277" s="38" t="s">
        <v>371</v>
      </c>
      <c r="B277" s="38">
        <v>1</v>
      </c>
      <c r="C277" t="s">
        <v>276</v>
      </c>
      <c r="D277" s="38" t="s">
        <v>9</v>
      </c>
      <c r="E277" s="38"/>
      <c r="F277" s="38" t="s">
        <v>18</v>
      </c>
      <c r="G277" s="38"/>
      <c r="H277" s="38"/>
      <c r="I277" s="38" t="s">
        <v>19</v>
      </c>
      <c r="J277" s="38" t="s">
        <v>350</v>
      </c>
    </row>
    <row r="278" spans="1:10" ht="15.5" x14ac:dyDescent="0.35">
      <c r="A278" s="2" t="s">
        <v>316</v>
      </c>
      <c r="B278">
        <v>1.00057</v>
      </c>
      <c r="C278" t="s">
        <v>276</v>
      </c>
      <c r="D278" t="s">
        <v>9</v>
      </c>
      <c r="F278" s="38" t="s">
        <v>21</v>
      </c>
      <c r="G278" t="s">
        <v>19</v>
      </c>
      <c r="I278" s="38"/>
      <c r="J278" s="2" t="s">
        <v>317</v>
      </c>
    </row>
    <row r="279" spans="1:10" x14ac:dyDescent="0.35">
      <c r="A279" s="38" t="s">
        <v>30</v>
      </c>
      <c r="B279" s="38">
        <v>6.7000000000000002E-3</v>
      </c>
      <c r="C279" t="s">
        <v>276</v>
      </c>
      <c r="D279" s="38" t="s">
        <v>31</v>
      </c>
      <c r="E279" s="38"/>
      <c r="F279" s="38" t="s">
        <v>21</v>
      </c>
      <c r="G279" s="38"/>
      <c r="H279" s="38"/>
      <c r="I279" s="38"/>
      <c r="J279" s="38" t="s">
        <v>32</v>
      </c>
    </row>
    <row r="280" spans="1:10" x14ac:dyDescent="0.35">
      <c r="A280" s="38" t="s">
        <v>353</v>
      </c>
      <c r="B280" s="38">
        <v>-1.6799999999999999E-4</v>
      </c>
      <c r="C280" s="38" t="s">
        <v>33</v>
      </c>
      <c r="D280" s="38" t="s">
        <v>9</v>
      </c>
      <c r="E280" s="38"/>
      <c r="F280" s="38" t="s">
        <v>21</v>
      </c>
      <c r="G280" s="38"/>
      <c r="H280" s="38"/>
      <c r="I280" s="38"/>
      <c r="J280" s="38" t="s">
        <v>354</v>
      </c>
    </row>
    <row r="281" spans="1:10" x14ac:dyDescent="0.35">
      <c r="A281" s="38" t="s">
        <v>355</v>
      </c>
      <c r="B281" s="39">
        <v>5.8399999999999999E-4</v>
      </c>
      <c r="C281" s="38" t="s">
        <v>33</v>
      </c>
      <c r="D281" s="38" t="s">
        <v>20</v>
      </c>
      <c r="E281" s="38"/>
      <c r="F281" s="38" t="s">
        <v>21</v>
      </c>
      <c r="G281" s="38"/>
      <c r="H281" s="38"/>
      <c r="I281" s="38"/>
      <c r="J281" s="38" t="s">
        <v>356</v>
      </c>
    </row>
    <row r="282" spans="1:10" x14ac:dyDescent="0.35">
      <c r="A282" s="38" t="s">
        <v>357</v>
      </c>
      <c r="B282" s="39">
        <v>2.5999999999999998E-10</v>
      </c>
      <c r="C282" s="38" t="s">
        <v>33</v>
      </c>
      <c r="D282" s="38" t="s">
        <v>8</v>
      </c>
      <c r="E282" s="38"/>
      <c r="F282" s="38" t="s">
        <v>21</v>
      </c>
      <c r="G282" s="38"/>
      <c r="H282" s="38"/>
      <c r="I282" s="38"/>
      <c r="J282" s="38" t="s">
        <v>358</v>
      </c>
    </row>
    <row r="283" spans="1:10" x14ac:dyDescent="0.35">
      <c r="A283" s="38" t="s">
        <v>359</v>
      </c>
      <c r="B283" s="39">
        <v>-6.2700000000000001E-6</v>
      </c>
      <c r="C283" s="38" t="s">
        <v>33</v>
      </c>
      <c r="D283" s="38" t="s">
        <v>9</v>
      </c>
      <c r="E283" s="38"/>
      <c r="F283" s="38" t="s">
        <v>21</v>
      </c>
      <c r="G283" s="38"/>
      <c r="H283" s="38"/>
      <c r="I283" s="38"/>
      <c r="J283" s="38" t="s">
        <v>360</v>
      </c>
    </row>
    <row r="284" spans="1:10" x14ac:dyDescent="0.35">
      <c r="A284" s="38" t="s">
        <v>361</v>
      </c>
      <c r="B284" s="39">
        <v>-7.4999999999999993E-5</v>
      </c>
      <c r="C284" s="38" t="s">
        <v>33</v>
      </c>
      <c r="D284" s="38" t="s">
        <v>131</v>
      </c>
      <c r="E284" s="38"/>
      <c r="F284" s="38" t="s">
        <v>21</v>
      </c>
      <c r="G284" s="38"/>
      <c r="H284" s="38"/>
      <c r="I284" s="38"/>
      <c r="J284" s="38" t="s">
        <v>362</v>
      </c>
    </row>
    <row r="285" spans="1:10" x14ac:dyDescent="0.35">
      <c r="A285" s="38" t="s">
        <v>363</v>
      </c>
      <c r="B285" s="39">
        <v>6.8900000000000005E-4</v>
      </c>
      <c r="C285" s="38" t="s">
        <v>276</v>
      </c>
      <c r="D285" s="38" t="s">
        <v>9</v>
      </c>
      <c r="E285" s="38"/>
      <c r="F285" s="38" t="s">
        <v>21</v>
      </c>
      <c r="G285" s="38"/>
      <c r="H285" s="38"/>
      <c r="I285" s="38"/>
      <c r="J285" s="38" t="s">
        <v>364</v>
      </c>
    </row>
    <row r="286" spans="1:10" x14ac:dyDescent="0.35">
      <c r="A286" s="38" t="s">
        <v>108</v>
      </c>
      <c r="B286" s="38">
        <v>3.3599999999999998E-2</v>
      </c>
      <c r="C286" s="38" t="s">
        <v>33</v>
      </c>
      <c r="D286" s="38" t="s">
        <v>45</v>
      </c>
      <c r="E286" s="38"/>
      <c r="F286" s="38" t="s">
        <v>21</v>
      </c>
      <c r="G286" s="38"/>
      <c r="H286" s="38"/>
      <c r="I286" s="38"/>
      <c r="J286" s="38" t="s">
        <v>111</v>
      </c>
    </row>
    <row r="287" spans="1:10" x14ac:dyDescent="0.35">
      <c r="A287" s="38" t="s">
        <v>365</v>
      </c>
      <c r="B287" s="38">
        <v>3.2599999999999997E-2</v>
      </c>
      <c r="C287" s="38" t="s">
        <v>33</v>
      </c>
      <c r="D287" s="38" t="s">
        <v>45</v>
      </c>
      <c r="E287" s="38"/>
      <c r="F287" s="38" t="s">
        <v>21</v>
      </c>
      <c r="G287" s="38"/>
      <c r="H287" s="38"/>
      <c r="I287" s="38"/>
      <c r="J287" s="38" t="s">
        <v>366</v>
      </c>
    </row>
    <row r="288" spans="1:10" x14ac:dyDescent="0.35">
      <c r="A288" s="38" t="s">
        <v>367</v>
      </c>
      <c r="B288" s="39">
        <v>-6.8899999999999999E-7</v>
      </c>
      <c r="C288" s="38" t="s">
        <v>33</v>
      </c>
      <c r="D288" s="38" t="s">
        <v>131</v>
      </c>
      <c r="E288" s="38"/>
      <c r="F288" s="38" t="s">
        <v>21</v>
      </c>
      <c r="G288" s="38"/>
      <c r="H288" s="38"/>
      <c r="I288" s="38"/>
      <c r="J288" s="38" t="s">
        <v>368</v>
      </c>
    </row>
    <row r="290" spans="1:10" ht="15.5" x14ac:dyDescent="0.35">
      <c r="A290" s="1" t="s">
        <v>1</v>
      </c>
      <c r="B290" s="1" t="s">
        <v>372</v>
      </c>
    </row>
    <row r="291" spans="1:10" x14ac:dyDescent="0.35">
      <c r="A291" t="s">
        <v>2</v>
      </c>
      <c r="B291" t="s">
        <v>276</v>
      </c>
    </row>
    <row r="292" spans="1:10" x14ac:dyDescent="0.35">
      <c r="A292" t="s">
        <v>4</v>
      </c>
      <c r="B292">
        <v>1</v>
      </c>
    </row>
    <row r="293" spans="1:10" ht="15.5" x14ac:dyDescent="0.35">
      <c r="A293" t="s">
        <v>5</v>
      </c>
      <c r="B293" s="2" t="s">
        <v>350</v>
      </c>
    </row>
    <row r="294" spans="1:10" x14ac:dyDescent="0.35">
      <c r="A294" t="s">
        <v>6</v>
      </c>
      <c r="B294" t="s">
        <v>7</v>
      </c>
    </row>
    <row r="295" spans="1:10" x14ac:dyDescent="0.35">
      <c r="A295" t="s">
        <v>8</v>
      </c>
      <c r="B295" t="s">
        <v>9</v>
      </c>
    </row>
    <row r="296" spans="1:10" x14ac:dyDescent="0.35">
      <c r="A296" t="s">
        <v>10</v>
      </c>
      <c r="B296" t="s">
        <v>271</v>
      </c>
    </row>
    <row r="297" spans="1:10" x14ac:dyDescent="0.35">
      <c r="A297" t="s">
        <v>12</v>
      </c>
      <c r="B297" t="s">
        <v>374</v>
      </c>
    </row>
    <row r="298" spans="1:10" ht="15.5" x14ac:dyDescent="0.35">
      <c r="A298" s="1" t="s">
        <v>13</v>
      </c>
    </row>
    <row r="299" spans="1:10" x14ac:dyDescent="0.35">
      <c r="A299" t="s">
        <v>14</v>
      </c>
      <c r="B299" t="s">
        <v>15</v>
      </c>
      <c r="C299" t="s">
        <v>2</v>
      </c>
      <c r="D299" t="s">
        <v>8</v>
      </c>
      <c r="E299" t="s">
        <v>16</v>
      </c>
      <c r="F299" t="s">
        <v>6</v>
      </c>
      <c r="G299" t="s">
        <v>351</v>
      </c>
      <c r="H299" t="s">
        <v>352</v>
      </c>
      <c r="I299" t="s">
        <v>12</v>
      </c>
      <c r="J299" t="s">
        <v>5</v>
      </c>
    </row>
    <row r="300" spans="1:10" x14ac:dyDescent="0.35">
      <c r="A300" s="38" t="s">
        <v>372</v>
      </c>
      <c r="B300" s="38">
        <v>1</v>
      </c>
      <c r="C300" t="s">
        <v>276</v>
      </c>
      <c r="D300" s="38" t="s">
        <v>9</v>
      </c>
      <c r="E300" s="38"/>
      <c r="F300" s="38" t="s">
        <v>18</v>
      </c>
      <c r="G300" s="38"/>
      <c r="H300" s="38"/>
      <c r="I300" s="38" t="s">
        <v>19</v>
      </c>
      <c r="J300" s="38" t="s">
        <v>350</v>
      </c>
    </row>
    <row r="301" spans="1:10" ht="15.5" x14ac:dyDescent="0.35">
      <c r="A301" s="2" t="s">
        <v>348</v>
      </c>
      <c r="B301">
        <v>1.00057</v>
      </c>
      <c r="C301" t="s">
        <v>276</v>
      </c>
      <c r="D301" t="s">
        <v>9</v>
      </c>
      <c r="F301" s="38" t="s">
        <v>21</v>
      </c>
      <c r="G301" t="s">
        <v>19</v>
      </c>
      <c r="I301" s="38"/>
      <c r="J301" s="2" t="s">
        <v>317</v>
      </c>
    </row>
    <row r="302" spans="1:10" x14ac:dyDescent="0.35">
      <c r="A302" s="38" t="s">
        <v>30</v>
      </c>
      <c r="B302" s="38">
        <v>6.7000000000000002E-3</v>
      </c>
      <c r="C302" t="s">
        <v>276</v>
      </c>
      <c r="D302" s="38" t="s">
        <v>31</v>
      </c>
      <c r="E302" s="38"/>
      <c r="F302" s="38" t="s">
        <v>21</v>
      </c>
      <c r="G302" s="38"/>
      <c r="H302" s="38"/>
      <c r="I302" s="38"/>
      <c r="J302" s="38" t="s">
        <v>32</v>
      </c>
    </row>
    <row r="303" spans="1:10" x14ac:dyDescent="0.35">
      <c r="A303" s="38" t="s">
        <v>353</v>
      </c>
      <c r="B303" s="38">
        <v>-1.6799999999999999E-4</v>
      </c>
      <c r="C303" s="38" t="s">
        <v>33</v>
      </c>
      <c r="D303" s="38" t="s">
        <v>9</v>
      </c>
      <c r="E303" s="38"/>
      <c r="F303" s="38" t="s">
        <v>21</v>
      </c>
      <c r="G303" s="38"/>
      <c r="H303" s="38"/>
      <c r="I303" s="38"/>
      <c r="J303" s="38" t="s">
        <v>354</v>
      </c>
    </row>
    <row r="304" spans="1:10" x14ac:dyDescent="0.35">
      <c r="A304" s="38" t="s">
        <v>355</v>
      </c>
      <c r="B304" s="39">
        <v>5.8399999999999999E-4</v>
      </c>
      <c r="C304" s="38" t="s">
        <v>33</v>
      </c>
      <c r="D304" s="38" t="s">
        <v>20</v>
      </c>
      <c r="E304" s="38"/>
      <c r="F304" s="38" t="s">
        <v>21</v>
      </c>
      <c r="G304" s="38"/>
      <c r="H304" s="38"/>
      <c r="I304" s="38"/>
      <c r="J304" s="38" t="s">
        <v>356</v>
      </c>
    </row>
    <row r="305" spans="1:10" x14ac:dyDescent="0.35">
      <c r="A305" s="38" t="s">
        <v>357</v>
      </c>
      <c r="B305" s="39">
        <v>2.5999999999999998E-10</v>
      </c>
      <c r="C305" s="38" t="s">
        <v>33</v>
      </c>
      <c r="D305" s="38" t="s">
        <v>8</v>
      </c>
      <c r="E305" s="38"/>
      <c r="F305" s="38" t="s">
        <v>21</v>
      </c>
      <c r="G305" s="38"/>
      <c r="H305" s="38"/>
      <c r="I305" s="38"/>
      <c r="J305" s="38" t="s">
        <v>358</v>
      </c>
    </row>
    <row r="306" spans="1:10" x14ac:dyDescent="0.35">
      <c r="A306" s="38" t="s">
        <v>359</v>
      </c>
      <c r="B306" s="39">
        <v>-6.2700000000000001E-6</v>
      </c>
      <c r="C306" s="38" t="s">
        <v>33</v>
      </c>
      <c r="D306" s="38" t="s">
        <v>9</v>
      </c>
      <c r="E306" s="38"/>
      <c r="F306" s="38" t="s">
        <v>21</v>
      </c>
      <c r="G306" s="38"/>
      <c r="H306" s="38"/>
      <c r="I306" s="38"/>
      <c r="J306" s="38" t="s">
        <v>360</v>
      </c>
    </row>
    <row r="307" spans="1:10" x14ac:dyDescent="0.35">
      <c r="A307" s="38" t="s">
        <v>361</v>
      </c>
      <c r="B307" s="39">
        <v>-7.4999999999999993E-5</v>
      </c>
      <c r="C307" s="38" t="s">
        <v>33</v>
      </c>
      <c r="D307" s="38" t="s">
        <v>131</v>
      </c>
      <c r="E307" s="38"/>
      <c r="F307" s="38" t="s">
        <v>21</v>
      </c>
      <c r="G307" s="38"/>
      <c r="H307" s="38"/>
      <c r="I307" s="38"/>
      <c r="J307" s="38" t="s">
        <v>362</v>
      </c>
    </row>
    <row r="308" spans="1:10" x14ac:dyDescent="0.35">
      <c r="A308" s="38" t="s">
        <v>363</v>
      </c>
      <c r="B308" s="39">
        <v>6.8900000000000005E-4</v>
      </c>
      <c r="C308" s="38" t="s">
        <v>276</v>
      </c>
      <c r="D308" s="38" t="s">
        <v>9</v>
      </c>
      <c r="E308" s="38"/>
      <c r="F308" s="38" t="s">
        <v>21</v>
      </c>
      <c r="G308" s="38"/>
      <c r="H308" s="38"/>
      <c r="I308" s="38"/>
      <c r="J308" s="38" t="s">
        <v>364</v>
      </c>
    </row>
    <row r="309" spans="1:10" x14ac:dyDescent="0.35">
      <c r="A309" s="38" t="s">
        <v>108</v>
      </c>
      <c r="B309" s="38">
        <v>3.3599999999999998E-2</v>
      </c>
      <c r="C309" s="38" t="s">
        <v>33</v>
      </c>
      <c r="D309" s="38" t="s">
        <v>45</v>
      </c>
      <c r="E309" s="38"/>
      <c r="F309" s="38" t="s">
        <v>21</v>
      </c>
      <c r="G309" s="38"/>
      <c r="H309" s="38"/>
      <c r="I309" s="38"/>
      <c r="J309" s="38" t="s">
        <v>111</v>
      </c>
    </row>
    <row r="310" spans="1:10" x14ac:dyDescent="0.35">
      <c r="A310" s="38" t="s">
        <v>365</v>
      </c>
      <c r="B310" s="38">
        <v>3.2599999999999997E-2</v>
      </c>
      <c r="C310" s="38" t="s">
        <v>33</v>
      </c>
      <c r="D310" s="38" t="s">
        <v>45</v>
      </c>
      <c r="E310" s="38"/>
      <c r="F310" s="38" t="s">
        <v>21</v>
      </c>
      <c r="G310" s="38"/>
      <c r="H310" s="38"/>
      <c r="I310" s="38"/>
      <c r="J310" s="38" t="s">
        <v>366</v>
      </c>
    </row>
    <row r="311" spans="1:10" x14ac:dyDescent="0.35">
      <c r="A311" s="38" t="s">
        <v>367</v>
      </c>
      <c r="B311" s="39">
        <v>-6.8899999999999999E-7</v>
      </c>
      <c r="C311" s="38" t="s">
        <v>33</v>
      </c>
      <c r="D311" s="38" t="s">
        <v>131</v>
      </c>
      <c r="E311" s="38"/>
      <c r="F311" s="38" t="s">
        <v>21</v>
      </c>
      <c r="G311" s="38"/>
      <c r="H311" s="38"/>
      <c r="I311" s="38"/>
      <c r="J311" s="38" t="s">
        <v>368</v>
      </c>
    </row>
    <row r="313" spans="1:10" ht="15.5" x14ac:dyDescent="0.35">
      <c r="A313" s="1" t="s">
        <v>1</v>
      </c>
      <c r="B313" s="1" t="s">
        <v>559</v>
      </c>
    </row>
    <row r="314" spans="1:10" x14ac:dyDescent="0.35">
      <c r="A314" t="s">
        <v>2</v>
      </c>
      <c r="B314" t="s">
        <v>276</v>
      </c>
    </row>
    <row r="315" spans="1:10" x14ac:dyDescent="0.35">
      <c r="A315" t="s">
        <v>4</v>
      </c>
      <c r="B315">
        <v>1</v>
      </c>
    </row>
    <row r="316" spans="1:10" ht="15.5" x14ac:dyDescent="0.35">
      <c r="A316" t="s">
        <v>5</v>
      </c>
      <c r="B316" s="2" t="s">
        <v>350</v>
      </c>
    </row>
    <row r="317" spans="1:10" x14ac:dyDescent="0.35">
      <c r="A317" t="s">
        <v>6</v>
      </c>
      <c r="B317" t="s">
        <v>7</v>
      </c>
    </row>
    <row r="318" spans="1:10" x14ac:dyDescent="0.35">
      <c r="A318" t="s">
        <v>8</v>
      </c>
      <c r="B318" t="s">
        <v>9</v>
      </c>
    </row>
    <row r="319" spans="1:10" x14ac:dyDescent="0.35">
      <c r="A319" t="s">
        <v>10</v>
      </c>
      <c r="B319" t="s">
        <v>271</v>
      </c>
    </row>
    <row r="320" spans="1:10" x14ac:dyDescent="0.35">
      <c r="A320" t="s">
        <v>12</v>
      </c>
      <c r="B320" t="s">
        <v>525</v>
      </c>
    </row>
    <row r="321" spans="1:10" ht="15.5" x14ac:dyDescent="0.35">
      <c r="A321" s="1" t="s">
        <v>13</v>
      </c>
    </row>
    <row r="322" spans="1:10" x14ac:dyDescent="0.35">
      <c r="A322" t="s">
        <v>14</v>
      </c>
      <c r="B322" t="s">
        <v>15</v>
      </c>
      <c r="C322" t="s">
        <v>2</v>
      </c>
      <c r="D322" t="s">
        <v>8</v>
      </c>
      <c r="E322" t="s">
        <v>16</v>
      </c>
      <c r="F322" t="s">
        <v>6</v>
      </c>
      <c r="G322" t="s">
        <v>351</v>
      </c>
      <c r="H322" t="s">
        <v>352</v>
      </c>
      <c r="I322" t="s">
        <v>12</v>
      </c>
      <c r="J322" t="s">
        <v>5</v>
      </c>
    </row>
    <row r="323" spans="1:10" x14ac:dyDescent="0.35">
      <c r="A323" s="38" t="s">
        <v>559</v>
      </c>
      <c r="B323" s="38">
        <v>1</v>
      </c>
      <c r="C323" t="s">
        <v>276</v>
      </c>
      <c r="D323" s="38" t="s">
        <v>9</v>
      </c>
      <c r="E323" s="38"/>
      <c r="F323" s="38" t="s">
        <v>18</v>
      </c>
      <c r="G323" s="38"/>
      <c r="H323" s="38"/>
      <c r="I323" s="38" t="s">
        <v>19</v>
      </c>
      <c r="J323" s="38" t="s">
        <v>350</v>
      </c>
    </row>
    <row r="324" spans="1:10" ht="15.5" x14ac:dyDescent="0.35">
      <c r="A324" s="2" t="s">
        <v>556</v>
      </c>
      <c r="B324">
        <v>1.00057</v>
      </c>
      <c r="C324" t="s">
        <v>276</v>
      </c>
      <c r="D324" t="s">
        <v>9</v>
      </c>
      <c r="F324" s="38" t="s">
        <v>21</v>
      </c>
      <c r="G324" t="s">
        <v>19</v>
      </c>
      <c r="I324" s="38"/>
      <c r="J324" s="2" t="s">
        <v>317</v>
      </c>
    </row>
    <row r="325" spans="1:10" x14ac:dyDescent="0.35">
      <c r="A325" s="38" t="s">
        <v>30</v>
      </c>
      <c r="B325" s="38">
        <v>6.7000000000000002E-3</v>
      </c>
      <c r="C325" t="s">
        <v>276</v>
      </c>
      <c r="D325" s="38" t="s">
        <v>31</v>
      </c>
      <c r="E325" s="38"/>
      <c r="F325" s="38" t="s">
        <v>21</v>
      </c>
      <c r="G325" s="38"/>
      <c r="H325" s="38"/>
      <c r="I325" s="38"/>
      <c r="J325" s="38" t="s">
        <v>32</v>
      </c>
    </row>
    <row r="326" spans="1:10" x14ac:dyDescent="0.35">
      <c r="A326" s="38" t="s">
        <v>353</v>
      </c>
      <c r="B326" s="38">
        <v>-1.6799999999999999E-4</v>
      </c>
      <c r="C326" s="38" t="s">
        <v>33</v>
      </c>
      <c r="D326" s="38" t="s">
        <v>9</v>
      </c>
      <c r="E326" s="38"/>
      <c r="F326" s="38" t="s">
        <v>21</v>
      </c>
      <c r="G326" s="38"/>
      <c r="H326" s="38"/>
      <c r="I326" s="38"/>
      <c r="J326" s="38" t="s">
        <v>354</v>
      </c>
    </row>
    <row r="327" spans="1:10" x14ac:dyDescent="0.35">
      <c r="A327" s="38" t="s">
        <v>355</v>
      </c>
      <c r="B327" s="39">
        <v>5.8399999999999999E-4</v>
      </c>
      <c r="C327" s="38" t="s">
        <v>33</v>
      </c>
      <c r="D327" s="38" t="s">
        <v>20</v>
      </c>
      <c r="E327" s="38"/>
      <c r="F327" s="38" t="s">
        <v>21</v>
      </c>
      <c r="G327" s="38"/>
      <c r="H327" s="38"/>
      <c r="I327" s="38"/>
      <c r="J327" s="38" t="s">
        <v>356</v>
      </c>
    </row>
    <row r="328" spans="1:10" x14ac:dyDescent="0.35">
      <c r="A328" s="38" t="s">
        <v>357</v>
      </c>
      <c r="B328" s="39">
        <v>2.5999999999999998E-10</v>
      </c>
      <c r="C328" s="38" t="s">
        <v>33</v>
      </c>
      <c r="D328" s="38" t="s">
        <v>8</v>
      </c>
      <c r="E328" s="38"/>
      <c r="F328" s="38" t="s">
        <v>21</v>
      </c>
      <c r="G328" s="38"/>
      <c r="H328" s="38"/>
      <c r="I328" s="38"/>
      <c r="J328" s="38" t="s">
        <v>358</v>
      </c>
    </row>
    <row r="329" spans="1:10" x14ac:dyDescent="0.35">
      <c r="A329" s="38" t="s">
        <v>359</v>
      </c>
      <c r="B329" s="39">
        <v>-6.2700000000000001E-6</v>
      </c>
      <c r="C329" s="38" t="s">
        <v>33</v>
      </c>
      <c r="D329" s="38" t="s">
        <v>9</v>
      </c>
      <c r="E329" s="38"/>
      <c r="F329" s="38" t="s">
        <v>21</v>
      </c>
      <c r="G329" s="38"/>
      <c r="H329" s="38"/>
      <c r="I329" s="38"/>
      <c r="J329" s="38" t="s">
        <v>360</v>
      </c>
    </row>
    <row r="330" spans="1:10" x14ac:dyDescent="0.35">
      <c r="A330" s="38" t="s">
        <v>361</v>
      </c>
      <c r="B330" s="39">
        <v>-7.4999999999999993E-5</v>
      </c>
      <c r="C330" s="38" t="s">
        <v>33</v>
      </c>
      <c r="D330" s="38" t="s">
        <v>131</v>
      </c>
      <c r="E330" s="38"/>
      <c r="F330" s="38" t="s">
        <v>21</v>
      </c>
      <c r="G330" s="38"/>
      <c r="H330" s="38"/>
      <c r="I330" s="38"/>
      <c r="J330" s="38" t="s">
        <v>362</v>
      </c>
    </row>
    <row r="331" spans="1:10" x14ac:dyDescent="0.35">
      <c r="A331" s="38" t="s">
        <v>363</v>
      </c>
      <c r="B331" s="39">
        <v>6.8900000000000005E-4</v>
      </c>
      <c r="C331" s="38" t="s">
        <v>276</v>
      </c>
      <c r="D331" s="38" t="s">
        <v>9</v>
      </c>
      <c r="E331" s="38"/>
      <c r="F331" s="38" t="s">
        <v>21</v>
      </c>
      <c r="G331" s="38"/>
      <c r="H331" s="38"/>
      <c r="I331" s="38"/>
      <c r="J331" s="38" t="s">
        <v>364</v>
      </c>
    </row>
    <row r="332" spans="1:10" x14ac:dyDescent="0.35">
      <c r="A332" s="38" t="s">
        <v>108</v>
      </c>
      <c r="B332" s="38">
        <v>3.3599999999999998E-2</v>
      </c>
      <c r="C332" s="38" t="s">
        <v>33</v>
      </c>
      <c r="D332" s="38" t="s">
        <v>45</v>
      </c>
      <c r="E332" s="38"/>
      <c r="F332" s="38" t="s">
        <v>21</v>
      </c>
      <c r="G332" s="38"/>
      <c r="H332" s="38"/>
      <c r="I332" s="38"/>
      <c r="J332" s="38" t="s">
        <v>111</v>
      </c>
    </row>
    <row r="333" spans="1:10" x14ac:dyDescent="0.35">
      <c r="A333" s="38" t="s">
        <v>365</v>
      </c>
      <c r="B333" s="38">
        <v>3.2599999999999997E-2</v>
      </c>
      <c r="C333" s="38" t="s">
        <v>33</v>
      </c>
      <c r="D333" s="38" t="s">
        <v>45</v>
      </c>
      <c r="E333" s="38"/>
      <c r="F333" s="38" t="s">
        <v>21</v>
      </c>
      <c r="G333" s="38"/>
      <c r="H333" s="38"/>
      <c r="I333" s="38"/>
      <c r="J333" s="38" t="s">
        <v>366</v>
      </c>
    </row>
    <row r="334" spans="1:10" x14ac:dyDescent="0.35">
      <c r="A334" s="38" t="s">
        <v>367</v>
      </c>
      <c r="B334" s="39">
        <v>-6.8899999999999999E-7</v>
      </c>
      <c r="C334" s="38" t="s">
        <v>33</v>
      </c>
      <c r="D334" s="38" t="s">
        <v>131</v>
      </c>
      <c r="E334" s="38"/>
      <c r="F334" s="38" t="s">
        <v>21</v>
      </c>
      <c r="G334" s="38"/>
      <c r="H334" s="38"/>
      <c r="I334" s="38"/>
      <c r="J334" s="38" t="s">
        <v>368</v>
      </c>
    </row>
  </sheetData>
  <hyperlinks>
    <hyperlink ref="G74" r:id="rId1" xr:uid="{00000000-0004-0000-0200-000000000000}"/>
    <hyperlink ref="G73"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7892B-CCC3-442C-9530-3B60A691DC55}">
  <dimension ref="A1:J111"/>
  <sheetViews>
    <sheetView workbookViewId="0">
      <selection activeCell="G27" sqref="G27"/>
    </sheetView>
  </sheetViews>
  <sheetFormatPr defaultRowHeight="14.5" x14ac:dyDescent="0.35"/>
  <cols>
    <col min="1" max="1" width="50.7265625" bestFit="1" customWidth="1"/>
    <col min="2" max="2" width="12.36328125" bestFit="1" customWidth="1"/>
    <col min="7" max="7" width="35" customWidth="1"/>
  </cols>
  <sheetData>
    <row r="1" spans="1:8" ht="15.5" x14ac:dyDescent="0.35">
      <c r="A1" s="1" t="s">
        <v>1</v>
      </c>
      <c r="B1" s="1" t="s">
        <v>595</v>
      </c>
    </row>
    <row r="2" spans="1:8" x14ac:dyDescent="0.35">
      <c r="A2" t="s">
        <v>2</v>
      </c>
      <c r="B2" t="s">
        <v>596</v>
      </c>
    </row>
    <row r="3" spans="1:8" x14ac:dyDescent="0.35">
      <c r="A3" t="s">
        <v>4</v>
      </c>
      <c r="B3">
        <v>1</v>
      </c>
    </row>
    <row r="4" spans="1:8" ht="15.5" x14ac:dyDescent="0.35">
      <c r="A4" t="s">
        <v>5</v>
      </c>
      <c r="B4" s="2" t="s">
        <v>597</v>
      </c>
    </row>
    <row r="5" spans="1:8" x14ac:dyDescent="0.35">
      <c r="A5" t="s">
        <v>6</v>
      </c>
      <c r="B5" t="s">
        <v>7</v>
      </c>
    </row>
    <row r="6" spans="1:8" x14ac:dyDescent="0.35">
      <c r="A6" t="s">
        <v>8</v>
      </c>
      <c r="B6" t="s">
        <v>9</v>
      </c>
    </row>
    <row r="7" spans="1:8" x14ac:dyDescent="0.35">
      <c r="A7" t="s">
        <v>10</v>
      </c>
      <c r="B7" t="s">
        <v>598</v>
      </c>
    </row>
    <row r="8" spans="1:8" x14ac:dyDescent="0.35">
      <c r="A8" t="s">
        <v>28</v>
      </c>
      <c r="B8" t="s">
        <v>653</v>
      </c>
    </row>
    <row r="9" spans="1:8" x14ac:dyDescent="0.35">
      <c r="A9" t="s">
        <v>611</v>
      </c>
      <c r="B9">
        <v>18.850000000000001</v>
      </c>
    </row>
    <row r="10" spans="1:8" x14ac:dyDescent="0.35">
      <c r="A10" t="s">
        <v>606</v>
      </c>
      <c r="B10">
        <v>549</v>
      </c>
    </row>
    <row r="11" spans="1:8" x14ac:dyDescent="0.35">
      <c r="A11" t="s">
        <v>609</v>
      </c>
      <c r="B11">
        <v>5.2</v>
      </c>
    </row>
    <row r="12" spans="1:8" ht="15.5" x14ac:dyDescent="0.35">
      <c r="A12" s="1" t="s">
        <v>13</v>
      </c>
    </row>
    <row r="13" spans="1:8" x14ac:dyDescent="0.35">
      <c r="A13" t="s">
        <v>14</v>
      </c>
      <c r="B13" t="s">
        <v>15</v>
      </c>
      <c r="C13" t="s">
        <v>2</v>
      </c>
      <c r="D13" t="s">
        <v>8</v>
      </c>
      <c r="E13" t="s">
        <v>16</v>
      </c>
      <c r="F13" t="s">
        <v>6</v>
      </c>
      <c r="G13" t="s">
        <v>12</v>
      </c>
      <c r="H13" t="s">
        <v>5</v>
      </c>
    </row>
    <row r="14" spans="1:8" ht="15.5" x14ac:dyDescent="0.35">
      <c r="A14" s="2" t="s">
        <v>595</v>
      </c>
      <c r="B14">
        <v>1</v>
      </c>
      <c r="C14" t="s">
        <v>596</v>
      </c>
      <c r="D14" t="s">
        <v>9</v>
      </c>
      <c r="F14" t="s">
        <v>18</v>
      </c>
      <c r="G14" t="s">
        <v>604</v>
      </c>
      <c r="H14" s="2" t="s">
        <v>597</v>
      </c>
    </row>
    <row r="15" spans="1:8" ht="15.5" x14ac:dyDescent="0.35">
      <c r="A15" s="2" t="s">
        <v>595</v>
      </c>
      <c r="B15">
        <v>0.14000000000000001</v>
      </c>
      <c r="C15" t="s">
        <v>596</v>
      </c>
      <c r="D15" t="s">
        <v>9</v>
      </c>
      <c r="F15" t="s">
        <v>21</v>
      </c>
      <c r="G15" t="s">
        <v>938</v>
      </c>
      <c r="H15" s="2" t="s">
        <v>597</v>
      </c>
    </row>
    <row r="16" spans="1:8" x14ac:dyDescent="0.35">
      <c r="A16" t="s">
        <v>23</v>
      </c>
      <c r="B16" s="5">
        <f>16.6/1000*43</f>
        <v>0.71379999999999999</v>
      </c>
      <c r="C16" t="s">
        <v>27</v>
      </c>
      <c r="D16" t="s">
        <v>20</v>
      </c>
      <c r="F16" t="s">
        <v>21</v>
      </c>
      <c r="G16" t="s">
        <v>599</v>
      </c>
      <c r="H16" t="s">
        <v>24</v>
      </c>
    </row>
    <row r="17" spans="1:8" x14ac:dyDescent="0.35">
      <c r="A17" t="s">
        <v>30</v>
      </c>
      <c r="B17" s="5">
        <f>4858*Allocation!$B$3/1000/3.6</f>
        <v>1.4237393228333332E-3</v>
      </c>
      <c r="C17" t="s">
        <v>600</v>
      </c>
      <c r="D17" t="s">
        <v>31</v>
      </c>
      <c r="F17" t="s">
        <v>21</v>
      </c>
      <c r="G17" t="s">
        <v>601</v>
      </c>
      <c r="H17" t="s">
        <v>32</v>
      </c>
    </row>
    <row r="18" spans="1:8" x14ac:dyDescent="0.35">
      <c r="A18" t="s">
        <v>43</v>
      </c>
      <c r="B18">
        <f>50/1000</f>
        <v>0.05</v>
      </c>
      <c r="C18" t="s">
        <v>600</v>
      </c>
      <c r="D18" t="s">
        <v>45</v>
      </c>
      <c r="F18" t="s">
        <v>21</v>
      </c>
      <c r="G18" t="s">
        <v>603</v>
      </c>
      <c r="H18" t="s">
        <v>44</v>
      </c>
    </row>
    <row r="19" spans="1:8" x14ac:dyDescent="0.35">
      <c r="A19" t="s">
        <v>46</v>
      </c>
      <c r="B19">
        <f>1.06/1000</f>
        <v>1.06E-3</v>
      </c>
      <c r="C19" t="s">
        <v>600</v>
      </c>
      <c r="D19" t="s">
        <v>9</v>
      </c>
      <c r="F19" t="s">
        <v>21</v>
      </c>
      <c r="H19" t="s">
        <v>47</v>
      </c>
    </row>
    <row r="20" spans="1:8" x14ac:dyDescent="0.35">
      <c r="A20" t="s">
        <v>48</v>
      </c>
      <c r="B20">
        <f>1.79/1000</f>
        <v>1.7900000000000001E-3</v>
      </c>
      <c r="C20" t="s">
        <v>600</v>
      </c>
      <c r="D20" t="s">
        <v>9</v>
      </c>
      <c r="F20" t="s">
        <v>21</v>
      </c>
      <c r="H20" t="s">
        <v>49</v>
      </c>
    </row>
    <row r="21" spans="1:8" x14ac:dyDescent="0.35">
      <c r="A21" t="s">
        <v>50</v>
      </c>
      <c r="B21">
        <f>1.42/1000</f>
        <v>1.4199999999999998E-3</v>
      </c>
      <c r="C21" t="s">
        <v>600</v>
      </c>
      <c r="D21" t="s">
        <v>9</v>
      </c>
      <c r="F21" t="s">
        <v>21</v>
      </c>
      <c r="H21" t="s">
        <v>51</v>
      </c>
    </row>
    <row r="22" spans="1:8" x14ac:dyDescent="0.35">
      <c r="A22" t="s">
        <v>613</v>
      </c>
      <c r="B22">
        <f>346.2/1000000</f>
        <v>3.4620000000000001E-4</v>
      </c>
      <c r="C22" t="s">
        <v>27</v>
      </c>
      <c r="D22" t="s">
        <v>9</v>
      </c>
      <c r="F22" t="s">
        <v>21</v>
      </c>
      <c r="G22" t="s">
        <v>615</v>
      </c>
      <c r="H22" t="s">
        <v>614</v>
      </c>
    </row>
    <row r="23" spans="1:8" x14ac:dyDescent="0.35">
      <c r="A23" t="s">
        <v>58</v>
      </c>
      <c r="B23">
        <f>0.744/1000*Allocation!$B$6</f>
        <v>3.3747839999999997E-4</v>
      </c>
      <c r="C23" t="s">
        <v>27</v>
      </c>
      <c r="D23" t="s">
        <v>9</v>
      </c>
      <c r="F23" t="s">
        <v>21</v>
      </c>
      <c r="G23" t="s">
        <v>602</v>
      </c>
      <c r="H23" t="s">
        <v>59</v>
      </c>
    </row>
    <row r="24" spans="1:8" x14ac:dyDescent="0.35">
      <c r="A24" t="s">
        <v>120</v>
      </c>
      <c r="B24">
        <f>1.83*(1-0.4)</f>
        <v>1.0980000000000001</v>
      </c>
      <c r="D24" t="s">
        <v>9</v>
      </c>
      <c r="E24" t="s">
        <v>121</v>
      </c>
      <c r="F24" t="s">
        <v>38</v>
      </c>
      <c r="G24" s="73" t="s">
        <v>605</v>
      </c>
    </row>
    <row r="25" spans="1:8" x14ac:dyDescent="0.35">
      <c r="A25" t="s">
        <v>116</v>
      </c>
      <c r="B25">
        <f>B9*(1-0.4)</f>
        <v>11.31</v>
      </c>
      <c r="D25" t="s">
        <v>20</v>
      </c>
      <c r="E25" t="s">
        <v>122</v>
      </c>
      <c r="F25" t="s">
        <v>38</v>
      </c>
      <c r="G25" s="9" t="s">
        <v>612</v>
      </c>
    </row>
    <row r="26" spans="1:8" x14ac:dyDescent="0.35">
      <c r="A26" t="s">
        <v>205</v>
      </c>
      <c r="B26" s="4">
        <f>(1/(B11*1000/(1-0.4)/10000))*5</f>
        <v>5.7692307692307683</v>
      </c>
      <c r="D26" t="s">
        <v>123</v>
      </c>
      <c r="E26" t="s">
        <v>124</v>
      </c>
      <c r="F26" t="s">
        <v>38</v>
      </c>
      <c r="G26" t="s">
        <v>945</v>
      </c>
    </row>
    <row r="27" spans="1:8" x14ac:dyDescent="0.35">
      <c r="A27" t="s">
        <v>206</v>
      </c>
      <c r="B27" s="4">
        <f>1/(B11*1000/(1-0.4)/10000)</f>
        <v>1.1538461538461537</v>
      </c>
      <c r="D27" t="s">
        <v>125</v>
      </c>
      <c r="E27" t="s">
        <v>124</v>
      </c>
      <c r="F27" t="s">
        <v>38</v>
      </c>
      <c r="G27" t="s">
        <v>610</v>
      </c>
    </row>
    <row r="28" spans="1:8" x14ac:dyDescent="0.35">
      <c r="A28" t="s">
        <v>207</v>
      </c>
      <c r="B28" s="4">
        <f>1/(B11*1000/(1-0.4)/10000)</f>
        <v>1.1538461538461537</v>
      </c>
      <c r="D28" t="s">
        <v>125</v>
      </c>
      <c r="E28" t="s">
        <v>124</v>
      </c>
      <c r="F28" t="s">
        <v>38</v>
      </c>
      <c r="G28" t="s">
        <v>610</v>
      </c>
    </row>
    <row r="29" spans="1:8" x14ac:dyDescent="0.35">
      <c r="A29" t="s">
        <v>363</v>
      </c>
      <c r="B29">
        <v>7.7879884897428794E-2</v>
      </c>
      <c r="C29" t="s">
        <v>276</v>
      </c>
      <c r="D29" s="7" t="s">
        <v>9</v>
      </c>
      <c r="F29" t="s">
        <v>21</v>
      </c>
      <c r="G29" t="s">
        <v>644</v>
      </c>
      <c r="H29" t="s">
        <v>364</v>
      </c>
    </row>
    <row r="30" spans="1:8" x14ac:dyDescent="0.35">
      <c r="A30" t="s">
        <v>225</v>
      </c>
      <c r="B30">
        <v>1.6877209859665999E-2</v>
      </c>
      <c r="C30" t="s">
        <v>33</v>
      </c>
      <c r="D30" s="7" t="s">
        <v>9</v>
      </c>
      <c r="F30" t="s">
        <v>21</v>
      </c>
      <c r="G30" t="s">
        <v>644</v>
      </c>
      <c r="H30" t="s">
        <v>226</v>
      </c>
    </row>
    <row r="31" spans="1:8" x14ac:dyDescent="0.35">
      <c r="A31" t="s">
        <v>618</v>
      </c>
      <c r="B31">
        <v>5.9070234508830999E-3</v>
      </c>
      <c r="C31" t="s">
        <v>27</v>
      </c>
      <c r="D31" s="7" t="s">
        <v>8</v>
      </c>
      <c r="F31" t="s">
        <v>21</v>
      </c>
      <c r="G31" t="s">
        <v>644</v>
      </c>
      <c r="H31" t="s">
        <v>617</v>
      </c>
    </row>
    <row r="32" spans="1:8" x14ac:dyDescent="0.35">
      <c r="A32" t="s">
        <v>620</v>
      </c>
      <c r="B32">
        <v>2.5315814789498999E-3</v>
      </c>
      <c r="C32" t="s">
        <v>33</v>
      </c>
      <c r="D32" s="7" t="s">
        <v>9</v>
      </c>
      <c r="F32" t="s">
        <v>21</v>
      </c>
      <c r="G32" t="s">
        <v>644</v>
      </c>
      <c r="H32" t="s">
        <v>619</v>
      </c>
    </row>
    <row r="33" spans="1:8" x14ac:dyDescent="0.35">
      <c r="A33" t="s">
        <v>628</v>
      </c>
      <c r="B33" s="7">
        <v>4.8184434149346402E-5</v>
      </c>
      <c r="C33" t="s">
        <v>27</v>
      </c>
      <c r="D33" s="7" t="s">
        <v>9</v>
      </c>
      <c r="F33" t="s">
        <v>21</v>
      </c>
      <c r="G33" t="s">
        <v>644</v>
      </c>
      <c r="H33" t="s">
        <v>627</v>
      </c>
    </row>
    <row r="34" spans="1:8" x14ac:dyDescent="0.35">
      <c r="A34" t="s">
        <v>631</v>
      </c>
      <c r="B34" s="7">
        <v>4.0299999999999997E-5</v>
      </c>
      <c r="C34" t="s">
        <v>27</v>
      </c>
      <c r="D34" s="7" t="s">
        <v>629</v>
      </c>
      <c r="F34" t="s">
        <v>21</v>
      </c>
      <c r="G34" t="s">
        <v>644</v>
      </c>
      <c r="H34" t="s">
        <v>630</v>
      </c>
    </row>
    <row r="35" spans="1:8" x14ac:dyDescent="0.35">
      <c r="A35" t="s">
        <v>633</v>
      </c>
      <c r="B35" s="7">
        <v>3.6699999999999998E-5</v>
      </c>
      <c r="C35" t="s">
        <v>27</v>
      </c>
      <c r="D35" s="7" t="s">
        <v>129</v>
      </c>
      <c r="F35" t="s">
        <v>21</v>
      </c>
      <c r="G35" t="s">
        <v>644</v>
      </c>
      <c r="H35" t="s">
        <v>632</v>
      </c>
    </row>
    <row r="36" spans="1:8" x14ac:dyDescent="0.35">
      <c r="A36" t="s">
        <v>196</v>
      </c>
      <c r="B36" s="7">
        <v>2.6299999999999999E-5</v>
      </c>
      <c r="C36" t="s">
        <v>276</v>
      </c>
      <c r="D36" s="7" t="s">
        <v>129</v>
      </c>
      <c r="F36" t="s">
        <v>21</v>
      </c>
      <c r="G36" t="s">
        <v>644</v>
      </c>
      <c r="H36" t="s">
        <v>196</v>
      </c>
    </row>
    <row r="37" spans="1:8" x14ac:dyDescent="0.35">
      <c r="A37" t="s">
        <v>613</v>
      </c>
      <c r="B37" s="7">
        <v>2.6117482257833102E-5</v>
      </c>
      <c r="C37" t="s">
        <v>27</v>
      </c>
      <c r="D37" s="7" t="s">
        <v>9</v>
      </c>
      <c r="F37" t="s">
        <v>21</v>
      </c>
      <c r="G37" t="s">
        <v>644</v>
      </c>
      <c r="H37" t="s">
        <v>614</v>
      </c>
    </row>
    <row r="38" spans="1:8" x14ac:dyDescent="0.35">
      <c r="A38" t="s">
        <v>635</v>
      </c>
      <c r="B38" s="7">
        <v>1.3839312084926099E-5</v>
      </c>
      <c r="C38" t="s">
        <v>27</v>
      </c>
      <c r="D38" s="7" t="s">
        <v>9</v>
      </c>
      <c r="F38" t="s">
        <v>21</v>
      </c>
      <c r="G38" t="s">
        <v>644</v>
      </c>
      <c r="H38" t="s">
        <v>634</v>
      </c>
    </row>
    <row r="39" spans="1:8" x14ac:dyDescent="0.35">
      <c r="A39" t="s">
        <v>637</v>
      </c>
      <c r="B39" s="7">
        <v>8.7761491270263204E-6</v>
      </c>
      <c r="C39" t="s">
        <v>27</v>
      </c>
      <c r="D39" s="7" t="s">
        <v>9</v>
      </c>
      <c r="F39" t="s">
        <v>21</v>
      </c>
      <c r="G39" t="s">
        <v>644</v>
      </c>
      <c r="H39" t="s">
        <v>636</v>
      </c>
    </row>
    <row r="40" spans="1:8" x14ac:dyDescent="0.35">
      <c r="A40" t="s">
        <v>639</v>
      </c>
      <c r="B40" s="7">
        <v>1.7799999999999999E-6</v>
      </c>
      <c r="C40" t="s">
        <v>27</v>
      </c>
      <c r="D40" s="7" t="s">
        <v>129</v>
      </c>
      <c r="F40" t="s">
        <v>21</v>
      </c>
      <c r="G40" t="s">
        <v>644</v>
      </c>
      <c r="H40" t="s">
        <v>638</v>
      </c>
    </row>
    <row r="41" spans="1:8" x14ac:dyDescent="0.35">
      <c r="A41" t="s">
        <v>641</v>
      </c>
      <c r="B41" s="7">
        <v>1.0899999999999999E-6</v>
      </c>
      <c r="C41" t="s">
        <v>27</v>
      </c>
      <c r="D41" s="7" t="s">
        <v>129</v>
      </c>
      <c r="F41" t="s">
        <v>21</v>
      </c>
      <c r="G41" t="s">
        <v>644</v>
      </c>
      <c r="H41" t="s">
        <v>640</v>
      </c>
    </row>
    <row r="42" spans="1:8" x14ac:dyDescent="0.35">
      <c r="A42" t="s">
        <v>137</v>
      </c>
      <c r="B42" s="7">
        <f>48.7/1000000</f>
        <v>4.8700000000000005E-5</v>
      </c>
      <c r="D42" t="s">
        <v>9</v>
      </c>
      <c r="E42" t="s">
        <v>179</v>
      </c>
      <c r="F42" t="s">
        <v>38</v>
      </c>
      <c r="G42" t="s">
        <v>616</v>
      </c>
    </row>
    <row r="43" spans="1:8" x14ac:dyDescent="0.35">
      <c r="A43" t="s">
        <v>42</v>
      </c>
      <c r="B43" s="7">
        <f>17.9/1000000</f>
        <v>1.7899999999999998E-5</v>
      </c>
      <c r="D43" t="s">
        <v>9</v>
      </c>
      <c r="E43" t="s">
        <v>179</v>
      </c>
      <c r="F43" t="s">
        <v>38</v>
      </c>
      <c r="G43" t="s">
        <v>616</v>
      </c>
    </row>
    <row r="44" spans="1:8" x14ac:dyDescent="0.35">
      <c r="A44" t="s">
        <v>40</v>
      </c>
      <c r="B44" s="7">
        <f>2.56/1000000</f>
        <v>2.5600000000000001E-6</v>
      </c>
      <c r="D44" t="s">
        <v>9</v>
      </c>
      <c r="E44" t="s">
        <v>179</v>
      </c>
      <c r="F44" t="s">
        <v>38</v>
      </c>
      <c r="G44" t="s">
        <v>616</v>
      </c>
    </row>
    <row r="45" spans="1:8" x14ac:dyDescent="0.35">
      <c r="A45" t="s">
        <v>338</v>
      </c>
      <c r="B45">
        <v>8.2726189772973392E-3</v>
      </c>
      <c r="D45" t="s">
        <v>9</v>
      </c>
      <c r="E45" t="s">
        <v>645</v>
      </c>
      <c r="G45" t="s">
        <v>644</v>
      </c>
    </row>
    <row r="46" spans="1:8" x14ac:dyDescent="0.35">
      <c r="A46" t="s">
        <v>182</v>
      </c>
      <c r="B46">
        <v>5.0339325658422195E-4</v>
      </c>
      <c r="D46" t="s">
        <v>9</v>
      </c>
      <c r="E46" t="s">
        <v>646</v>
      </c>
      <c r="G46" t="s">
        <v>644</v>
      </c>
    </row>
    <row r="47" spans="1:8" x14ac:dyDescent="0.35">
      <c r="A47" t="s">
        <v>136</v>
      </c>
      <c r="B47" s="7">
        <v>7.7879884897428801E-5</v>
      </c>
      <c r="D47" t="s">
        <v>131</v>
      </c>
      <c r="E47" t="s">
        <v>645</v>
      </c>
      <c r="G47" t="s">
        <v>644</v>
      </c>
    </row>
    <row r="48" spans="1:8" x14ac:dyDescent="0.35">
      <c r="A48" t="s">
        <v>165</v>
      </c>
      <c r="B48" s="7">
        <v>2.6117482257833102E-5</v>
      </c>
      <c r="D48" t="s">
        <v>9</v>
      </c>
      <c r="E48" t="s">
        <v>647</v>
      </c>
      <c r="G48" t="s">
        <v>644</v>
      </c>
    </row>
    <row r="49" spans="1:7" x14ac:dyDescent="0.35">
      <c r="A49" t="s">
        <v>183</v>
      </c>
      <c r="B49" s="7">
        <v>8.0579124579124596E-6</v>
      </c>
      <c r="D49" t="s">
        <v>9</v>
      </c>
      <c r="E49" t="s">
        <v>648</v>
      </c>
      <c r="G49" t="s">
        <v>644</v>
      </c>
    </row>
    <row r="50" spans="1:7" x14ac:dyDescent="0.35">
      <c r="A50" t="s">
        <v>178</v>
      </c>
      <c r="B50" s="7">
        <v>5.1053559825489697E-7</v>
      </c>
      <c r="D50" t="s">
        <v>9</v>
      </c>
      <c r="E50" t="s">
        <v>649</v>
      </c>
      <c r="G50" t="s">
        <v>644</v>
      </c>
    </row>
    <row r="51" spans="1:7" x14ac:dyDescent="0.35">
      <c r="A51" t="s">
        <v>650</v>
      </c>
      <c r="B51" s="7">
        <v>4.2193024649165002E-7</v>
      </c>
      <c r="D51" t="s">
        <v>9</v>
      </c>
      <c r="E51" t="s">
        <v>647</v>
      </c>
      <c r="G51" t="s">
        <v>644</v>
      </c>
    </row>
    <row r="52" spans="1:7" x14ac:dyDescent="0.35">
      <c r="A52" t="s">
        <v>155</v>
      </c>
      <c r="B52" s="7">
        <v>3.7045475641966902E-7</v>
      </c>
      <c r="D52" t="s">
        <v>9</v>
      </c>
      <c r="E52" t="s">
        <v>649</v>
      </c>
      <c r="G52" t="s">
        <v>644</v>
      </c>
    </row>
    <row r="53" spans="1:7" x14ac:dyDescent="0.35">
      <c r="A53" t="s">
        <v>346</v>
      </c>
      <c r="B53" s="7">
        <v>3.6496966321527698E-7</v>
      </c>
      <c r="D53" t="s">
        <v>9</v>
      </c>
      <c r="E53" t="s">
        <v>647</v>
      </c>
      <c r="G53" t="s">
        <v>644</v>
      </c>
    </row>
    <row r="54" spans="1:7" x14ac:dyDescent="0.35">
      <c r="A54" t="s">
        <v>148</v>
      </c>
      <c r="B54" s="7">
        <v>7.1728141903580497E-8</v>
      </c>
      <c r="D54" t="s">
        <v>9</v>
      </c>
      <c r="E54" t="s">
        <v>649</v>
      </c>
      <c r="G54" t="s">
        <v>644</v>
      </c>
    </row>
    <row r="55" spans="1:7" x14ac:dyDescent="0.35">
      <c r="A55" t="s">
        <v>158</v>
      </c>
      <c r="B55" s="7">
        <v>2.0969933250635001E-8</v>
      </c>
      <c r="D55" t="s">
        <v>9</v>
      </c>
      <c r="E55" t="s">
        <v>649</v>
      </c>
      <c r="G55" t="s">
        <v>644</v>
      </c>
    </row>
    <row r="56" spans="1:7" x14ac:dyDescent="0.35">
      <c r="A56" t="s">
        <v>178</v>
      </c>
      <c r="B56" s="7">
        <v>5.1053559825489597E-11</v>
      </c>
      <c r="D56" t="s">
        <v>9</v>
      </c>
      <c r="E56" t="s">
        <v>648</v>
      </c>
      <c r="G56" t="s">
        <v>644</v>
      </c>
    </row>
    <row r="57" spans="1:7" x14ac:dyDescent="0.35">
      <c r="A57" t="s">
        <v>210</v>
      </c>
      <c r="B57" s="7">
        <v>3.7045475641966901E-11</v>
      </c>
      <c r="D57" t="s">
        <v>9</v>
      </c>
      <c r="E57" t="s">
        <v>648</v>
      </c>
      <c r="G57" t="s">
        <v>644</v>
      </c>
    </row>
    <row r="58" spans="1:7" x14ac:dyDescent="0.35">
      <c r="A58" t="s">
        <v>213</v>
      </c>
      <c r="B58" s="7">
        <v>7.1728141903580504E-12</v>
      </c>
      <c r="D58" t="s">
        <v>9</v>
      </c>
      <c r="E58" t="s">
        <v>648</v>
      </c>
      <c r="G58" t="s">
        <v>644</v>
      </c>
    </row>
    <row r="59" spans="1:7" x14ac:dyDescent="0.35">
      <c r="A59" t="s">
        <v>209</v>
      </c>
      <c r="B59" s="7">
        <v>2.0969933250635001E-12</v>
      </c>
      <c r="D59" t="s">
        <v>9</v>
      </c>
      <c r="E59" t="s">
        <v>648</v>
      </c>
      <c r="G59" t="s">
        <v>644</v>
      </c>
    </row>
    <row r="60" spans="1:7" x14ac:dyDescent="0.35">
      <c r="A60" t="s">
        <v>211</v>
      </c>
      <c r="B60" s="7">
        <v>-9.704395669307951E-10</v>
      </c>
      <c r="D60" t="s">
        <v>9</v>
      </c>
      <c r="E60" t="s">
        <v>648</v>
      </c>
      <c r="G60" t="s">
        <v>644</v>
      </c>
    </row>
    <row r="61" spans="1:7" x14ac:dyDescent="0.35">
      <c r="A61" t="s">
        <v>217</v>
      </c>
      <c r="B61" s="7">
        <v>-4.4724606128114898E-9</v>
      </c>
      <c r="D61" t="s">
        <v>9</v>
      </c>
      <c r="E61" t="s">
        <v>648</v>
      </c>
      <c r="G61" t="s">
        <v>644</v>
      </c>
    </row>
    <row r="62" spans="1:7" x14ac:dyDescent="0.35">
      <c r="A62" t="s">
        <v>142</v>
      </c>
      <c r="B62" s="7">
        <v>-9.7043956693079499E-6</v>
      </c>
      <c r="D62" t="s">
        <v>9</v>
      </c>
      <c r="E62" t="s">
        <v>649</v>
      </c>
      <c r="G62" t="s">
        <v>644</v>
      </c>
    </row>
    <row r="63" spans="1:7" x14ac:dyDescent="0.35">
      <c r="A63" t="s">
        <v>152</v>
      </c>
      <c r="B63" s="7">
        <v>-4.4724606128114897E-5</v>
      </c>
      <c r="D63" t="s">
        <v>9</v>
      </c>
      <c r="E63" t="s">
        <v>649</v>
      </c>
      <c r="G63" t="s">
        <v>644</v>
      </c>
    </row>
    <row r="65" spans="1:8" ht="15.5" x14ac:dyDescent="0.35">
      <c r="A65" s="1" t="s">
        <v>1</v>
      </c>
      <c r="B65" s="1" t="s">
        <v>651</v>
      </c>
    </row>
    <row r="66" spans="1:8" x14ac:dyDescent="0.35">
      <c r="A66" t="s">
        <v>2</v>
      </c>
      <c r="B66" t="s">
        <v>596</v>
      </c>
    </row>
    <row r="67" spans="1:8" x14ac:dyDescent="0.35">
      <c r="A67" t="s">
        <v>4</v>
      </c>
      <c r="B67">
        <v>1</v>
      </c>
    </row>
    <row r="68" spans="1:8" ht="15.5" x14ac:dyDescent="0.35">
      <c r="A68" t="s">
        <v>5</v>
      </c>
      <c r="B68" s="2" t="s">
        <v>652</v>
      </c>
    </row>
    <row r="69" spans="1:8" x14ac:dyDescent="0.35">
      <c r="A69" t="s">
        <v>6</v>
      </c>
      <c r="B69" t="s">
        <v>7</v>
      </c>
    </row>
    <row r="70" spans="1:8" x14ac:dyDescent="0.35">
      <c r="A70" t="s">
        <v>8</v>
      </c>
      <c r="B70" t="s">
        <v>9</v>
      </c>
    </row>
    <row r="71" spans="1:8" x14ac:dyDescent="0.35">
      <c r="A71" t="s">
        <v>10</v>
      </c>
      <c r="B71" t="s">
        <v>598</v>
      </c>
    </row>
    <row r="72" spans="1:8" x14ac:dyDescent="0.35">
      <c r="A72" t="s">
        <v>28</v>
      </c>
      <c r="B72" t="s">
        <v>659</v>
      </c>
    </row>
    <row r="73" spans="1:8" ht="15.5" x14ac:dyDescent="0.35">
      <c r="A73" s="1" t="s">
        <v>13</v>
      </c>
    </row>
    <row r="74" spans="1:8" x14ac:dyDescent="0.35">
      <c r="A74" t="s">
        <v>14</v>
      </c>
      <c r="B74" t="s">
        <v>15</v>
      </c>
      <c r="C74" t="s">
        <v>2</v>
      </c>
      <c r="D74" t="s">
        <v>8</v>
      </c>
      <c r="E74" t="s">
        <v>16</v>
      </c>
      <c r="F74" t="s">
        <v>6</v>
      </c>
      <c r="G74" t="s">
        <v>12</v>
      </c>
      <c r="H74" t="s">
        <v>5</v>
      </c>
    </row>
    <row r="75" spans="1:8" ht="16" thickBot="1" x14ac:dyDescent="0.4">
      <c r="A75" s="2" t="s">
        <v>651</v>
      </c>
      <c r="B75">
        <v>1</v>
      </c>
      <c r="C75" t="s">
        <v>596</v>
      </c>
      <c r="D75" t="s">
        <v>9</v>
      </c>
      <c r="F75" t="s">
        <v>18</v>
      </c>
      <c r="G75" t="s">
        <v>19</v>
      </c>
      <c r="H75" s="2" t="s">
        <v>652</v>
      </c>
    </row>
    <row r="76" spans="1:8" ht="15.5" x14ac:dyDescent="0.35">
      <c r="A76" s="2" t="s">
        <v>595</v>
      </c>
      <c r="B76" s="74">
        <v>5.74</v>
      </c>
      <c r="C76" t="s">
        <v>596</v>
      </c>
      <c r="D76" t="s">
        <v>9</v>
      </c>
      <c r="F76" t="s">
        <v>21</v>
      </c>
      <c r="H76" s="2" t="s">
        <v>597</v>
      </c>
    </row>
    <row r="77" spans="1:8" ht="15.5" x14ac:dyDescent="0.35">
      <c r="A77" s="75" t="s">
        <v>654</v>
      </c>
      <c r="B77" s="76">
        <f>1.64/1000</f>
        <v>1.64E-3</v>
      </c>
      <c r="C77" t="s">
        <v>27</v>
      </c>
      <c r="D77" t="s">
        <v>9</v>
      </c>
      <c r="F77" t="s">
        <v>21</v>
      </c>
      <c r="H77" s="77" t="s">
        <v>655</v>
      </c>
    </row>
    <row r="78" spans="1:8" ht="15.5" x14ac:dyDescent="0.35">
      <c r="A78" s="75" t="s">
        <v>263</v>
      </c>
      <c r="B78" s="76">
        <f>92.9/1000</f>
        <v>9.290000000000001E-2</v>
      </c>
      <c r="C78" t="s">
        <v>600</v>
      </c>
      <c r="D78" t="s">
        <v>9</v>
      </c>
      <c r="F78" t="s">
        <v>21</v>
      </c>
      <c r="H78" t="s">
        <v>264</v>
      </c>
    </row>
    <row r="79" spans="1:8" ht="15.5" x14ac:dyDescent="0.35">
      <c r="A79" s="75" t="s">
        <v>225</v>
      </c>
      <c r="B79" s="76">
        <f>67.7/1000</f>
        <v>6.7699999999999996E-2</v>
      </c>
      <c r="C79" t="s">
        <v>600</v>
      </c>
      <c r="D79" t="s">
        <v>9</v>
      </c>
      <c r="F79" t="s">
        <v>21</v>
      </c>
      <c r="H79" t="s">
        <v>226</v>
      </c>
    </row>
    <row r="80" spans="1:8" ht="15.5" x14ac:dyDescent="0.35">
      <c r="A80" s="75" t="s">
        <v>656</v>
      </c>
      <c r="B80" s="76">
        <f>1.14/1000</f>
        <v>1.14E-3</v>
      </c>
      <c r="C80" t="s">
        <v>600</v>
      </c>
      <c r="D80" t="s">
        <v>9</v>
      </c>
      <c r="F80" t="s">
        <v>21</v>
      </c>
      <c r="H80" s="77" t="s">
        <v>657</v>
      </c>
    </row>
    <row r="81" spans="1:8" ht="15.5" x14ac:dyDescent="0.35">
      <c r="A81" s="75" t="s">
        <v>658</v>
      </c>
      <c r="B81" s="76">
        <f>374.1/1000</f>
        <v>0.37410000000000004</v>
      </c>
      <c r="C81" t="s">
        <v>27</v>
      </c>
      <c r="D81" t="s">
        <v>9</v>
      </c>
      <c r="F81" t="s">
        <v>21</v>
      </c>
      <c r="H81" t="s">
        <v>329</v>
      </c>
    </row>
    <row r="82" spans="1:8" ht="15.5" x14ac:dyDescent="0.35">
      <c r="A82" s="75" t="s">
        <v>663</v>
      </c>
      <c r="B82" s="76">
        <v>-0.22520000000000001</v>
      </c>
      <c r="C82" t="s">
        <v>665</v>
      </c>
      <c r="D82" t="s">
        <v>9</v>
      </c>
      <c r="F82" t="s">
        <v>21</v>
      </c>
      <c r="H82" t="s">
        <v>664</v>
      </c>
    </row>
    <row r="83" spans="1:8" ht="15.5" x14ac:dyDescent="0.35">
      <c r="A83" s="75" t="s">
        <v>666</v>
      </c>
      <c r="B83" s="76">
        <v>-0.1295</v>
      </c>
      <c r="C83" t="s">
        <v>665</v>
      </c>
      <c r="D83" t="s">
        <v>9</v>
      </c>
      <c r="F83" t="s">
        <v>21</v>
      </c>
      <c r="H83" t="s">
        <v>667</v>
      </c>
    </row>
    <row r="84" spans="1:8" ht="15.5" x14ac:dyDescent="0.35">
      <c r="A84" s="75" t="s">
        <v>668</v>
      </c>
      <c r="B84" s="76">
        <f>8.07/1000</f>
        <v>8.0700000000000008E-3</v>
      </c>
      <c r="D84" t="s">
        <v>9</v>
      </c>
      <c r="E84" t="s">
        <v>669</v>
      </c>
      <c r="F84" t="s">
        <v>38</v>
      </c>
    </row>
    <row r="85" spans="1:8" ht="15.5" x14ac:dyDescent="0.35">
      <c r="A85" s="75" t="s">
        <v>269</v>
      </c>
      <c r="B85" s="76">
        <f>0.849/1000</f>
        <v>8.4899999999999993E-4</v>
      </c>
      <c r="D85" t="s">
        <v>9</v>
      </c>
      <c r="E85" t="s">
        <v>669</v>
      </c>
      <c r="F85" t="s">
        <v>38</v>
      </c>
    </row>
    <row r="86" spans="1:8" ht="15.5" x14ac:dyDescent="0.35">
      <c r="A86" s="75" t="s">
        <v>670</v>
      </c>
      <c r="B86" s="76">
        <f>0.06/1000</f>
        <v>5.9999999999999995E-5</v>
      </c>
      <c r="D86" t="s">
        <v>9</v>
      </c>
      <c r="E86" t="s">
        <v>669</v>
      </c>
      <c r="F86" t="s">
        <v>38</v>
      </c>
    </row>
    <row r="87" spans="1:8" ht="15.5" x14ac:dyDescent="0.35">
      <c r="A87" s="75" t="s">
        <v>671</v>
      </c>
      <c r="B87" s="76">
        <f>0.06/1000</f>
        <v>5.9999999999999995E-5</v>
      </c>
      <c r="D87" t="s">
        <v>9</v>
      </c>
      <c r="E87" t="s">
        <v>669</v>
      </c>
      <c r="F87" t="s">
        <v>38</v>
      </c>
    </row>
    <row r="88" spans="1:8" ht="15.5" x14ac:dyDescent="0.35">
      <c r="A88" s="75" t="s">
        <v>201</v>
      </c>
      <c r="B88" s="76">
        <v>4.2</v>
      </c>
      <c r="D88" t="s">
        <v>9</v>
      </c>
      <c r="E88" t="s">
        <v>669</v>
      </c>
      <c r="F88" t="s">
        <v>38</v>
      </c>
    </row>
    <row r="90" spans="1:8" ht="15.5" x14ac:dyDescent="0.35">
      <c r="A90" s="1" t="s">
        <v>1</v>
      </c>
      <c r="B90" s="1" t="s">
        <v>660</v>
      </c>
    </row>
    <row r="91" spans="1:8" x14ac:dyDescent="0.35">
      <c r="A91" t="s">
        <v>2</v>
      </c>
      <c r="B91" t="s">
        <v>596</v>
      </c>
    </row>
    <row r="92" spans="1:8" x14ac:dyDescent="0.35">
      <c r="A92" t="s">
        <v>4</v>
      </c>
      <c r="B92">
        <v>1</v>
      </c>
    </row>
    <row r="93" spans="1:8" ht="15.5" x14ac:dyDescent="0.35">
      <c r="A93" t="s">
        <v>5</v>
      </c>
      <c r="B93" s="2" t="s">
        <v>350</v>
      </c>
    </row>
    <row r="94" spans="1:8" x14ac:dyDescent="0.35">
      <c r="A94" t="s">
        <v>6</v>
      </c>
      <c r="B94" t="s">
        <v>7</v>
      </c>
    </row>
    <row r="95" spans="1:8" x14ac:dyDescent="0.35">
      <c r="A95" t="s">
        <v>8</v>
      </c>
      <c r="B95" t="s">
        <v>9</v>
      </c>
    </row>
    <row r="96" spans="1:8" x14ac:dyDescent="0.35">
      <c r="A96" t="s">
        <v>10</v>
      </c>
      <c r="B96" t="s">
        <v>598</v>
      </c>
    </row>
    <row r="97" spans="1:10" x14ac:dyDescent="0.35">
      <c r="A97" t="s">
        <v>12</v>
      </c>
      <c r="B97" t="s">
        <v>661</v>
      </c>
    </row>
    <row r="98" spans="1:10" ht="15.5" x14ac:dyDescent="0.35">
      <c r="A98" s="1" t="s">
        <v>13</v>
      </c>
    </row>
    <row r="99" spans="1:10" x14ac:dyDescent="0.35">
      <c r="A99" t="s">
        <v>14</v>
      </c>
      <c r="B99" t="s">
        <v>15</v>
      </c>
      <c r="C99" t="s">
        <v>2</v>
      </c>
      <c r="D99" t="s">
        <v>8</v>
      </c>
      <c r="E99" t="s">
        <v>16</v>
      </c>
      <c r="F99" t="s">
        <v>6</v>
      </c>
      <c r="G99" t="s">
        <v>351</v>
      </c>
      <c r="H99" t="s">
        <v>352</v>
      </c>
      <c r="I99" t="s">
        <v>12</v>
      </c>
      <c r="J99" t="s">
        <v>5</v>
      </c>
    </row>
    <row r="100" spans="1:10" x14ac:dyDescent="0.35">
      <c r="A100" s="38" t="s">
        <v>660</v>
      </c>
      <c r="B100" s="38">
        <v>1</v>
      </c>
      <c r="C100" t="s">
        <v>596</v>
      </c>
      <c r="D100" s="38" t="s">
        <v>9</v>
      </c>
      <c r="E100" s="38"/>
      <c r="F100" s="38" t="s">
        <v>18</v>
      </c>
      <c r="G100" s="38"/>
      <c r="H100" s="38"/>
      <c r="I100" s="38" t="s">
        <v>19</v>
      </c>
      <c r="J100" s="38" t="s">
        <v>350</v>
      </c>
    </row>
    <row r="101" spans="1:10" ht="15.5" x14ac:dyDescent="0.35">
      <c r="A101" s="2" t="s">
        <v>651</v>
      </c>
      <c r="B101">
        <v>1.00057</v>
      </c>
      <c r="C101" t="s">
        <v>596</v>
      </c>
      <c r="D101" t="s">
        <v>9</v>
      </c>
      <c r="F101" s="38" t="s">
        <v>21</v>
      </c>
      <c r="G101" t="s">
        <v>19</v>
      </c>
      <c r="I101" s="38"/>
      <c r="J101" s="2" t="s">
        <v>299</v>
      </c>
    </row>
    <row r="102" spans="1:10" x14ac:dyDescent="0.35">
      <c r="A102" s="38" t="s">
        <v>30</v>
      </c>
      <c r="B102" s="38">
        <v>6.7000000000000002E-3</v>
      </c>
      <c r="C102" t="s">
        <v>600</v>
      </c>
      <c r="D102" s="38" t="s">
        <v>31</v>
      </c>
      <c r="E102" s="38"/>
      <c r="F102" s="38" t="s">
        <v>21</v>
      </c>
      <c r="G102" s="38"/>
      <c r="H102" s="38"/>
      <c r="I102" s="38"/>
      <c r="J102" s="38" t="s">
        <v>32</v>
      </c>
    </row>
    <row r="103" spans="1:10" x14ac:dyDescent="0.35">
      <c r="A103" s="38" t="s">
        <v>353</v>
      </c>
      <c r="B103" s="38">
        <v>-1.6799999999999999E-4</v>
      </c>
      <c r="C103" s="38" t="s">
        <v>33</v>
      </c>
      <c r="D103" s="38" t="s">
        <v>9</v>
      </c>
      <c r="E103" s="38"/>
      <c r="F103" s="38" t="s">
        <v>21</v>
      </c>
      <c r="G103" s="38"/>
      <c r="H103" s="38"/>
      <c r="I103" s="38"/>
      <c r="J103" s="38" t="s">
        <v>354</v>
      </c>
    </row>
    <row r="104" spans="1:10" x14ac:dyDescent="0.35">
      <c r="A104" s="38" t="s">
        <v>355</v>
      </c>
      <c r="B104" s="39">
        <v>5.8399999999999999E-4</v>
      </c>
      <c r="C104" s="38" t="s">
        <v>33</v>
      </c>
      <c r="D104" s="38" t="s">
        <v>20</v>
      </c>
      <c r="E104" s="38"/>
      <c r="F104" s="38" t="s">
        <v>21</v>
      </c>
      <c r="G104" s="38"/>
      <c r="H104" s="38"/>
      <c r="I104" s="38"/>
      <c r="J104" s="38" t="s">
        <v>356</v>
      </c>
    </row>
    <row r="105" spans="1:10" x14ac:dyDescent="0.35">
      <c r="A105" s="38" t="s">
        <v>357</v>
      </c>
      <c r="B105" s="39">
        <v>2.5999999999999998E-10</v>
      </c>
      <c r="C105" s="38" t="s">
        <v>33</v>
      </c>
      <c r="D105" s="38" t="s">
        <v>8</v>
      </c>
      <c r="E105" s="38"/>
      <c r="F105" s="38" t="s">
        <v>21</v>
      </c>
      <c r="G105" s="38"/>
      <c r="H105" s="38"/>
      <c r="I105" s="38"/>
      <c r="J105" s="38" t="s">
        <v>358</v>
      </c>
    </row>
    <row r="106" spans="1:10" x14ac:dyDescent="0.35">
      <c r="A106" s="38" t="s">
        <v>359</v>
      </c>
      <c r="B106" s="39">
        <v>-6.2700000000000001E-6</v>
      </c>
      <c r="C106" s="38" t="s">
        <v>33</v>
      </c>
      <c r="D106" s="38" t="s">
        <v>9</v>
      </c>
      <c r="E106" s="38"/>
      <c r="F106" s="38" t="s">
        <v>21</v>
      </c>
      <c r="G106" s="38"/>
      <c r="H106" s="38"/>
      <c r="I106" s="38"/>
      <c r="J106" s="38" t="s">
        <v>360</v>
      </c>
    </row>
    <row r="107" spans="1:10" x14ac:dyDescent="0.35">
      <c r="A107" s="38" t="s">
        <v>361</v>
      </c>
      <c r="B107" s="39">
        <v>-7.4999999999999993E-5</v>
      </c>
      <c r="C107" s="38" t="s">
        <v>33</v>
      </c>
      <c r="D107" s="38" t="s">
        <v>131</v>
      </c>
      <c r="E107" s="38"/>
      <c r="F107" s="38" t="s">
        <v>21</v>
      </c>
      <c r="G107" s="38"/>
      <c r="H107" s="38"/>
      <c r="I107" s="38"/>
      <c r="J107" s="38" t="s">
        <v>362</v>
      </c>
    </row>
    <row r="108" spans="1:10" x14ac:dyDescent="0.35">
      <c r="A108" s="38" t="s">
        <v>363</v>
      </c>
      <c r="B108" s="39">
        <v>6.8900000000000005E-4</v>
      </c>
      <c r="C108" s="38" t="s">
        <v>276</v>
      </c>
      <c r="D108" s="38" t="s">
        <v>9</v>
      </c>
      <c r="E108" s="38"/>
      <c r="F108" s="38" t="s">
        <v>21</v>
      </c>
      <c r="G108" s="38"/>
      <c r="H108" s="38"/>
      <c r="I108" s="38"/>
      <c r="J108" s="38" t="s">
        <v>364</v>
      </c>
    </row>
    <row r="109" spans="1:10" x14ac:dyDescent="0.35">
      <c r="A109" s="38" t="s">
        <v>108</v>
      </c>
      <c r="B109" s="38">
        <v>3.3599999999999998E-2</v>
      </c>
      <c r="C109" s="38" t="s">
        <v>33</v>
      </c>
      <c r="D109" s="38" t="s">
        <v>45</v>
      </c>
      <c r="E109" s="38"/>
      <c r="F109" s="38" t="s">
        <v>21</v>
      </c>
      <c r="G109" s="38"/>
      <c r="H109" s="38"/>
      <c r="I109" s="38"/>
      <c r="J109" s="38" t="s">
        <v>111</v>
      </c>
    </row>
    <row r="110" spans="1:10" x14ac:dyDescent="0.35">
      <c r="A110" s="38" t="s">
        <v>365</v>
      </c>
      <c r="B110" s="38">
        <v>3.2599999999999997E-2</v>
      </c>
      <c r="C110" s="38" t="s">
        <v>33</v>
      </c>
      <c r="D110" s="38" t="s">
        <v>45</v>
      </c>
      <c r="E110" s="38"/>
      <c r="F110" s="38" t="s">
        <v>21</v>
      </c>
      <c r="G110" s="38"/>
      <c r="H110" s="38"/>
      <c r="I110" s="38"/>
      <c r="J110" s="38" t="s">
        <v>366</v>
      </c>
    </row>
    <row r="111" spans="1:10" x14ac:dyDescent="0.35">
      <c r="A111" s="38" t="s">
        <v>367</v>
      </c>
      <c r="B111" s="39">
        <v>-6.8899999999999999E-7</v>
      </c>
      <c r="C111" s="38" t="s">
        <v>33</v>
      </c>
      <c r="D111" s="38" t="s">
        <v>131</v>
      </c>
      <c r="E111" s="38"/>
      <c r="F111" s="38" t="s">
        <v>21</v>
      </c>
      <c r="G111" s="38"/>
      <c r="H111" s="38"/>
      <c r="I111" s="38"/>
      <c r="J111" s="38" t="s">
        <v>368</v>
      </c>
    </row>
  </sheetData>
  <hyperlinks>
    <hyperlink ref="G25" r:id="rId1" xr:uid="{87C2F994-6D8F-4225-9CC3-899051B008EB}"/>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F7544-8AE3-4C8E-A780-44F558A3B68A}">
  <dimension ref="A1:N758"/>
  <sheetViews>
    <sheetView topLeftCell="A606" workbookViewId="0">
      <selection activeCell="B633" sqref="B633:B635"/>
    </sheetView>
  </sheetViews>
  <sheetFormatPr defaultRowHeight="14.5" x14ac:dyDescent="0.35"/>
  <cols>
    <col min="1" max="1" width="64.36328125" customWidth="1"/>
    <col min="2" max="2" width="11.81640625" bestFit="1" customWidth="1"/>
    <col min="4" max="4" width="16.6328125" customWidth="1"/>
    <col min="10" max="10" width="18.6328125" customWidth="1"/>
    <col min="13" max="13" width="9.81640625" bestFit="1" customWidth="1"/>
    <col min="14" max="14" width="10.81640625" bestFit="1" customWidth="1"/>
    <col min="18" max="18" width="9.81640625" bestFit="1" customWidth="1"/>
  </cols>
  <sheetData>
    <row r="1" spans="1:11" ht="15.5" x14ac:dyDescent="0.35">
      <c r="A1" s="1" t="s">
        <v>1</v>
      </c>
      <c r="B1" s="1" t="s">
        <v>933</v>
      </c>
    </row>
    <row r="2" spans="1:11" x14ac:dyDescent="0.35">
      <c r="A2" t="s">
        <v>2</v>
      </c>
      <c r="B2" t="s">
        <v>600</v>
      </c>
    </row>
    <row r="3" spans="1:11" x14ac:dyDescent="0.35">
      <c r="A3" t="s">
        <v>4</v>
      </c>
      <c r="B3">
        <v>1</v>
      </c>
    </row>
    <row r="4" spans="1:11" x14ac:dyDescent="0.35">
      <c r="A4" t="s">
        <v>5</v>
      </c>
      <c r="B4" t="s">
        <v>934</v>
      </c>
    </row>
    <row r="5" spans="1:11" x14ac:dyDescent="0.35">
      <c r="A5" t="s">
        <v>6</v>
      </c>
      <c r="B5" t="s">
        <v>7</v>
      </c>
    </row>
    <row r="6" spans="1:11" x14ac:dyDescent="0.35">
      <c r="A6" t="s">
        <v>8</v>
      </c>
      <c r="B6" t="s">
        <v>9</v>
      </c>
    </row>
    <row r="7" spans="1:11" x14ac:dyDescent="0.35">
      <c r="A7" t="s">
        <v>12</v>
      </c>
      <c r="B7" t="s">
        <v>932</v>
      </c>
    </row>
    <row r="8" spans="1:11" x14ac:dyDescent="0.35">
      <c r="A8" t="s">
        <v>931</v>
      </c>
      <c r="B8">
        <v>15.15</v>
      </c>
    </row>
    <row r="9" spans="1:11" x14ac:dyDescent="0.35">
      <c r="A9" t="s">
        <v>937</v>
      </c>
      <c r="B9" s="31">
        <v>0.13500000000000001</v>
      </c>
    </row>
    <row r="10" spans="1:11" ht="15.5" x14ac:dyDescent="0.35">
      <c r="A10" s="1" t="s">
        <v>13</v>
      </c>
    </row>
    <row r="11" spans="1:11" x14ac:dyDescent="0.35">
      <c r="A11" t="s">
        <v>14</v>
      </c>
      <c r="B11" t="s">
        <v>15</v>
      </c>
      <c r="C11" t="s">
        <v>2</v>
      </c>
      <c r="D11" t="s">
        <v>8</v>
      </c>
      <c r="E11" t="s">
        <v>16</v>
      </c>
      <c r="F11" t="s">
        <v>6</v>
      </c>
      <c r="G11" t="s">
        <v>351</v>
      </c>
      <c r="H11" t="s">
        <v>352</v>
      </c>
      <c r="I11" t="s">
        <v>17</v>
      </c>
      <c r="J11" t="s">
        <v>12</v>
      </c>
      <c r="K11" t="s">
        <v>5</v>
      </c>
    </row>
    <row r="12" spans="1:11" x14ac:dyDescent="0.35">
      <c r="A12" t="s">
        <v>42</v>
      </c>
      <c r="B12">
        <v>5.8185090000000006E-4</v>
      </c>
      <c r="D12" t="s">
        <v>9</v>
      </c>
      <c r="E12" t="s">
        <v>39</v>
      </c>
      <c r="F12" t="s">
        <v>38</v>
      </c>
      <c r="G12">
        <v>0</v>
      </c>
      <c r="H12">
        <v>4.4400000000000002E-5</v>
      </c>
      <c r="J12" t="s">
        <v>19</v>
      </c>
    </row>
    <row r="13" spans="1:11" x14ac:dyDescent="0.35">
      <c r="A13" t="s">
        <v>933</v>
      </c>
      <c r="B13">
        <v>1</v>
      </c>
      <c r="C13" t="s">
        <v>600</v>
      </c>
      <c r="D13" t="s">
        <v>9</v>
      </c>
      <c r="E13" t="s">
        <v>724</v>
      </c>
      <c r="F13" t="s">
        <v>18</v>
      </c>
      <c r="I13">
        <v>100</v>
      </c>
      <c r="J13" t="s">
        <v>19</v>
      </c>
      <c r="K13" t="s">
        <v>934</v>
      </c>
    </row>
    <row r="14" spans="1:11" x14ac:dyDescent="0.35">
      <c r="A14" t="s">
        <v>933</v>
      </c>
      <c r="B14">
        <v>0.14000000000000001</v>
      </c>
      <c r="C14" t="s">
        <v>600</v>
      </c>
      <c r="D14" t="s">
        <v>9</v>
      </c>
      <c r="F14" t="s">
        <v>21</v>
      </c>
      <c r="J14" t="s">
        <v>938</v>
      </c>
      <c r="K14" t="s">
        <v>934</v>
      </c>
    </row>
    <row r="15" spans="1:11" x14ac:dyDescent="0.35">
      <c r="A15" t="s">
        <v>766</v>
      </c>
      <c r="B15">
        <v>1.6118842500000003E-4</v>
      </c>
      <c r="C15" t="s">
        <v>27</v>
      </c>
      <c r="D15" t="s">
        <v>9</v>
      </c>
      <c r="E15" t="s">
        <v>681</v>
      </c>
      <c r="F15" t="s">
        <v>21</v>
      </c>
      <c r="G15">
        <v>0</v>
      </c>
      <c r="H15">
        <v>1.2300000000000001E-5</v>
      </c>
      <c r="J15" t="s">
        <v>891</v>
      </c>
      <c r="K15" t="s">
        <v>767</v>
      </c>
    </row>
    <row r="16" spans="1:11" x14ac:dyDescent="0.35">
      <c r="A16" t="s">
        <v>838</v>
      </c>
      <c r="B16">
        <v>1.7036175000000001E-2</v>
      </c>
      <c r="C16" t="s">
        <v>27</v>
      </c>
      <c r="D16" t="s">
        <v>9</v>
      </c>
      <c r="E16" t="s">
        <v>676</v>
      </c>
      <c r="F16" t="s">
        <v>21</v>
      </c>
      <c r="G16">
        <v>0</v>
      </c>
      <c r="H16">
        <v>1.2999999999999999E-3</v>
      </c>
      <c r="J16" t="s">
        <v>892</v>
      </c>
      <c r="K16" t="s">
        <v>840</v>
      </c>
    </row>
    <row r="17" spans="1:11" x14ac:dyDescent="0.35">
      <c r="A17" t="s">
        <v>643</v>
      </c>
      <c r="B17">
        <v>8.8036915646023683E-7</v>
      </c>
      <c r="C17" t="s">
        <v>27</v>
      </c>
      <c r="D17" t="s">
        <v>9</v>
      </c>
      <c r="E17" t="s">
        <v>676</v>
      </c>
      <c r="F17" t="s">
        <v>21</v>
      </c>
      <c r="G17">
        <v>0</v>
      </c>
      <c r="H17">
        <v>1E-4</v>
      </c>
      <c r="J17" t="s">
        <v>848</v>
      </c>
      <c r="K17" t="s">
        <v>642</v>
      </c>
    </row>
    <row r="18" spans="1:11" x14ac:dyDescent="0.35">
      <c r="A18" t="s">
        <v>622</v>
      </c>
      <c r="B18">
        <v>3.9314249999999997E-3</v>
      </c>
      <c r="C18" t="s">
        <v>27</v>
      </c>
      <c r="D18" t="s">
        <v>9</v>
      </c>
      <c r="E18" t="s">
        <v>676</v>
      </c>
      <c r="F18" t="s">
        <v>21</v>
      </c>
      <c r="G18">
        <v>0</v>
      </c>
      <c r="H18">
        <v>2.9999999999999997E-4</v>
      </c>
      <c r="J18" t="s">
        <v>893</v>
      </c>
      <c r="K18" t="s">
        <v>621</v>
      </c>
    </row>
    <row r="19" spans="1:11" x14ac:dyDescent="0.35">
      <c r="A19" t="s">
        <v>845</v>
      </c>
      <c r="B19">
        <v>2.6209500000000004E-3</v>
      </c>
      <c r="C19" t="s">
        <v>27</v>
      </c>
      <c r="D19" t="s">
        <v>9</v>
      </c>
      <c r="E19" t="s">
        <v>676</v>
      </c>
      <c r="F19" t="s">
        <v>21</v>
      </c>
      <c r="G19">
        <v>0</v>
      </c>
      <c r="H19">
        <v>2.0000000000000001E-4</v>
      </c>
      <c r="J19" t="s">
        <v>893</v>
      </c>
      <c r="K19" t="s">
        <v>847</v>
      </c>
    </row>
    <row r="20" spans="1:11" x14ac:dyDescent="0.35">
      <c r="A20" t="s">
        <v>52</v>
      </c>
      <c r="B20">
        <v>3.4072350000000001E-2</v>
      </c>
      <c r="C20" t="s">
        <v>27</v>
      </c>
      <c r="D20" t="s">
        <v>9</v>
      </c>
      <c r="E20" t="s">
        <v>676</v>
      </c>
      <c r="F20" t="s">
        <v>21</v>
      </c>
      <c r="G20">
        <v>0</v>
      </c>
      <c r="H20">
        <v>2.5999999999999999E-3</v>
      </c>
      <c r="J20" t="s">
        <v>892</v>
      </c>
      <c r="K20" t="s">
        <v>53</v>
      </c>
    </row>
    <row r="21" spans="1:11" x14ac:dyDescent="0.35">
      <c r="A21" t="s">
        <v>894</v>
      </c>
      <c r="B21">
        <v>5.2419000000000007E-3</v>
      </c>
      <c r="C21" t="s">
        <v>27</v>
      </c>
      <c r="D21" t="s">
        <v>9</v>
      </c>
      <c r="E21" t="s">
        <v>676</v>
      </c>
      <c r="F21" t="s">
        <v>21</v>
      </c>
      <c r="G21">
        <v>0</v>
      </c>
      <c r="H21">
        <v>4.0000000000000002E-4</v>
      </c>
      <c r="J21" t="s">
        <v>895</v>
      </c>
      <c r="K21" t="s">
        <v>896</v>
      </c>
    </row>
    <row r="22" spans="1:11" x14ac:dyDescent="0.35">
      <c r="A22" t="s">
        <v>23</v>
      </c>
      <c r="B22">
        <v>0.50208228675</v>
      </c>
      <c r="C22" t="s">
        <v>27</v>
      </c>
      <c r="D22" t="s">
        <v>20</v>
      </c>
      <c r="E22" t="s">
        <v>676</v>
      </c>
      <c r="F22" t="s">
        <v>21</v>
      </c>
      <c r="G22">
        <v>0</v>
      </c>
      <c r="H22">
        <v>8.9100000000000008E-4</v>
      </c>
      <c r="J22" t="s">
        <v>848</v>
      </c>
      <c r="K22" t="s">
        <v>24</v>
      </c>
    </row>
    <row r="23" spans="1:11" x14ac:dyDescent="0.35">
      <c r="A23" t="s">
        <v>699</v>
      </c>
      <c r="B23">
        <v>1.8215602500000003E-4</v>
      </c>
      <c r="C23" t="s">
        <v>665</v>
      </c>
      <c r="D23" t="s">
        <v>31</v>
      </c>
      <c r="E23" t="s">
        <v>681</v>
      </c>
      <c r="F23" t="s">
        <v>21</v>
      </c>
      <c r="G23">
        <v>0</v>
      </c>
      <c r="H23">
        <v>5.0000000000000002E-5</v>
      </c>
      <c r="J23" t="s">
        <v>891</v>
      </c>
      <c r="K23" t="s">
        <v>701</v>
      </c>
    </row>
    <row r="24" spans="1:11" x14ac:dyDescent="0.35">
      <c r="A24" t="s">
        <v>699</v>
      </c>
      <c r="B24">
        <v>1.4155344702750001E-3</v>
      </c>
      <c r="C24" t="s">
        <v>665</v>
      </c>
      <c r="D24" t="s">
        <v>31</v>
      </c>
      <c r="E24" t="s">
        <v>681</v>
      </c>
      <c r="F24" t="s">
        <v>21</v>
      </c>
      <c r="G24">
        <v>0</v>
      </c>
      <c r="H24">
        <v>3.8854999999999998E-4</v>
      </c>
      <c r="J24" t="s">
        <v>897</v>
      </c>
      <c r="K24" t="s">
        <v>701</v>
      </c>
    </row>
    <row r="25" spans="1:11" x14ac:dyDescent="0.35">
      <c r="A25" t="s">
        <v>43</v>
      </c>
      <c r="B25">
        <v>4.3250000000000004E-2</v>
      </c>
      <c r="C25" t="s">
        <v>600</v>
      </c>
      <c r="D25" t="s">
        <v>45</v>
      </c>
      <c r="F25" t="s">
        <v>21</v>
      </c>
      <c r="G25" t="s">
        <v>936</v>
      </c>
      <c r="H25" t="s">
        <v>44</v>
      </c>
    </row>
    <row r="26" spans="1:11" x14ac:dyDescent="0.35">
      <c r="A26" t="s">
        <v>116</v>
      </c>
      <c r="B26">
        <f>B8*(1-B9)</f>
        <v>13.104750000000001</v>
      </c>
      <c r="D26" t="s">
        <v>20</v>
      </c>
      <c r="E26" t="s">
        <v>122</v>
      </c>
      <c r="F26" t="s">
        <v>38</v>
      </c>
      <c r="J26" t="s">
        <v>871</v>
      </c>
    </row>
    <row r="27" spans="1:11" x14ac:dyDescent="0.35">
      <c r="A27" t="s">
        <v>120</v>
      </c>
      <c r="B27" s="7">
        <f>0.458*(44/12)*(1-B9)</f>
        <v>1.4526233333333334</v>
      </c>
      <c r="D27" t="s">
        <v>9</v>
      </c>
      <c r="E27" t="s">
        <v>121</v>
      </c>
      <c r="F27" t="s">
        <v>38</v>
      </c>
      <c r="J27" t="s">
        <v>965</v>
      </c>
    </row>
    <row r="28" spans="1:11" x14ac:dyDescent="0.35">
      <c r="A28" t="s">
        <v>205</v>
      </c>
      <c r="B28" s="4">
        <v>1.4921511126444715</v>
      </c>
      <c r="D28" t="s">
        <v>123</v>
      </c>
      <c r="E28" t="s">
        <v>124</v>
      </c>
      <c r="F28" t="s">
        <v>38</v>
      </c>
      <c r="G28" t="s">
        <v>946</v>
      </c>
    </row>
    <row r="29" spans="1:11" x14ac:dyDescent="0.35">
      <c r="A29" t="s">
        <v>206</v>
      </c>
      <c r="B29" s="4">
        <v>1.4921511126444715</v>
      </c>
      <c r="D29" t="s">
        <v>125</v>
      </c>
      <c r="E29" t="s">
        <v>124</v>
      </c>
      <c r="F29" t="s">
        <v>38</v>
      </c>
      <c r="G29" t="s">
        <v>939</v>
      </c>
    </row>
    <row r="30" spans="1:11" x14ac:dyDescent="0.35">
      <c r="A30" t="s">
        <v>207</v>
      </c>
      <c r="B30" s="4">
        <v>1.4921511126444715</v>
      </c>
      <c r="D30" t="s">
        <v>125</v>
      </c>
      <c r="E30" t="s">
        <v>124</v>
      </c>
      <c r="F30" t="s">
        <v>38</v>
      </c>
      <c r="G30" t="s">
        <v>939</v>
      </c>
    </row>
    <row r="32" spans="1:11" ht="15.5" x14ac:dyDescent="0.35">
      <c r="A32" s="1" t="s">
        <v>1</v>
      </c>
      <c r="B32" s="1" t="s">
        <v>928</v>
      </c>
    </row>
    <row r="33" spans="1:8" x14ac:dyDescent="0.35">
      <c r="A33" t="s">
        <v>2</v>
      </c>
      <c r="B33" t="s">
        <v>600</v>
      </c>
    </row>
    <row r="34" spans="1:8" x14ac:dyDescent="0.35">
      <c r="A34" t="s">
        <v>4</v>
      </c>
      <c r="B34">
        <v>1</v>
      </c>
    </row>
    <row r="35" spans="1:8" ht="15.5" x14ac:dyDescent="0.35">
      <c r="A35" t="s">
        <v>5</v>
      </c>
      <c r="B35" s="2" t="s">
        <v>723</v>
      </c>
    </row>
    <row r="36" spans="1:8" x14ac:dyDescent="0.35">
      <c r="A36" t="s">
        <v>6</v>
      </c>
      <c r="B36" t="s">
        <v>7</v>
      </c>
    </row>
    <row r="37" spans="1:8" x14ac:dyDescent="0.35">
      <c r="A37" t="s">
        <v>10</v>
      </c>
      <c r="B37" t="s">
        <v>674</v>
      </c>
    </row>
    <row r="38" spans="1:8" x14ac:dyDescent="0.35">
      <c r="A38" t="s">
        <v>929</v>
      </c>
      <c r="B38" t="s">
        <v>930</v>
      </c>
    </row>
    <row r="39" spans="1:8" x14ac:dyDescent="0.35">
      <c r="A39" t="s">
        <v>8</v>
      </c>
      <c r="B39" t="s">
        <v>9</v>
      </c>
    </row>
    <row r="40" spans="1:8" ht="15.5" x14ac:dyDescent="0.35">
      <c r="A40" s="1" t="s">
        <v>13</v>
      </c>
    </row>
    <row r="41" spans="1:8" x14ac:dyDescent="0.35">
      <c r="A41" t="s">
        <v>14</v>
      </c>
      <c r="B41" t="s">
        <v>15</v>
      </c>
      <c r="C41" t="s">
        <v>2</v>
      </c>
      <c r="D41" t="s">
        <v>8</v>
      </c>
      <c r="E41" t="s">
        <v>16</v>
      </c>
      <c r="F41" t="s">
        <v>6</v>
      </c>
      <c r="G41" t="s">
        <v>12</v>
      </c>
      <c r="H41" t="s">
        <v>5</v>
      </c>
    </row>
    <row r="42" spans="1:8" ht="15.5" x14ac:dyDescent="0.35">
      <c r="A42" s="2" t="s">
        <v>928</v>
      </c>
      <c r="B42">
        <v>1</v>
      </c>
      <c r="C42" t="s">
        <v>600</v>
      </c>
      <c r="D42" t="s">
        <v>9</v>
      </c>
      <c r="E42" t="s">
        <v>724</v>
      </c>
      <c r="F42" t="s">
        <v>18</v>
      </c>
      <c r="G42" t="s">
        <v>725</v>
      </c>
      <c r="H42" s="2" t="s">
        <v>723</v>
      </c>
    </row>
    <row r="43" spans="1:8" x14ac:dyDescent="0.35">
      <c r="A43" t="s">
        <v>933</v>
      </c>
      <c r="B43">
        <f>29.2388/B26</f>
        <v>2.2311604570861712</v>
      </c>
      <c r="C43" t="s">
        <v>600</v>
      </c>
      <c r="D43" t="s">
        <v>9</v>
      </c>
      <c r="E43" t="s">
        <v>676</v>
      </c>
      <c r="F43" t="s">
        <v>21</v>
      </c>
      <c r="G43" t="s">
        <v>726</v>
      </c>
      <c r="H43" t="s">
        <v>934</v>
      </c>
    </row>
    <row r="44" spans="1:8" x14ac:dyDescent="0.35">
      <c r="A44" t="s">
        <v>677</v>
      </c>
      <c r="B44">
        <v>3.1463199999999998E-3</v>
      </c>
      <c r="C44" t="s">
        <v>600</v>
      </c>
      <c r="D44" t="s">
        <v>9</v>
      </c>
      <c r="E44" t="s">
        <v>676</v>
      </c>
      <c r="F44" t="s">
        <v>21</v>
      </c>
      <c r="G44" t="s">
        <v>727</v>
      </c>
      <c r="H44" t="s">
        <v>679</v>
      </c>
    </row>
    <row r="45" spans="1:8" x14ac:dyDescent="0.35">
      <c r="A45" t="s">
        <v>680</v>
      </c>
      <c r="B45">
        <v>5.8799200000000003</v>
      </c>
      <c r="C45" t="s">
        <v>600</v>
      </c>
      <c r="D45" t="s">
        <v>20</v>
      </c>
      <c r="E45" t="s">
        <v>681</v>
      </c>
      <c r="F45" t="s">
        <v>21</v>
      </c>
      <c r="G45" t="s">
        <v>729</v>
      </c>
      <c r="H45" t="s">
        <v>683</v>
      </c>
    </row>
    <row r="46" spans="1:8" x14ac:dyDescent="0.35">
      <c r="A46" t="s">
        <v>401</v>
      </c>
      <c r="B46">
        <v>7.8657999999999992E-3</v>
      </c>
      <c r="C46" t="s">
        <v>27</v>
      </c>
      <c r="D46" t="s">
        <v>9</v>
      </c>
      <c r="E46" t="s">
        <v>676</v>
      </c>
      <c r="F46" t="s">
        <v>21</v>
      </c>
      <c r="G46" t="s">
        <v>727</v>
      </c>
      <c r="H46" t="s">
        <v>402</v>
      </c>
    </row>
    <row r="47" spans="1:8" x14ac:dyDescent="0.35">
      <c r="A47" t="s">
        <v>263</v>
      </c>
      <c r="B47">
        <v>6.2926399999999995E-3</v>
      </c>
      <c r="C47" t="s">
        <v>600</v>
      </c>
      <c r="D47" t="s">
        <v>9</v>
      </c>
      <c r="E47" t="s">
        <v>676</v>
      </c>
      <c r="F47" t="s">
        <v>21</v>
      </c>
      <c r="G47" t="s">
        <v>727</v>
      </c>
      <c r="H47" t="s">
        <v>264</v>
      </c>
    </row>
    <row r="48" spans="1:8" x14ac:dyDescent="0.35">
      <c r="A48" t="s">
        <v>108</v>
      </c>
      <c r="B48">
        <v>0.38056000000000001</v>
      </c>
      <c r="C48" t="s">
        <v>665</v>
      </c>
      <c r="D48" t="s">
        <v>45</v>
      </c>
      <c r="E48" t="s">
        <v>681</v>
      </c>
      <c r="F48" t="s">
        <v>21</v>
      </c>
      <c r="G48" t="s">
        <v>689</v>
      </c>
      <c r="H48" t="s">
        <v>111</v>
      </c>
    </row>
    <row r="49" spans="1:8" x14ac:dyDescent="0.35">
      <c r="A49" t="s">
        <v>105</v>
      </c>
      <c r="B49">
        <v>0.15276000000000001</v>
      </c>
      <c r="C49" t="s">
        <v>600</v>
      </c>
      <c r="D49" t="s">
        <v>45</v>
      </c>
      <c r="E49" t="s">
        <v>681</v>
      </c>
      <c r="F49" t="s">
        <v>21</v>
      </c>
      <c r="G49" t="s">
        <v>690</v>
      </c>
      <c r="H49" t="s">
        <v>106</v>
      </c>
    </row>
    <row r="50" spans="1:8" x14ac:dyDescent="0.35">
      <c r="A50" t="s">
        <v>691</v>
      </c>
      <c r="B50">
        <v>0.338752</v>
      </c>
      <c r="C50" t="s">
        <v>600</v>
      </c>
      <c r="D50" t="s">
        <v>45</v>
      </c>
      <c r="E50" t="s">
        <v>681</v>
      </c>
      <c r="F50" t="s">
        <v>21</v>
      </c>
      <c r="G50" t="s">
        <v>731</v>
      </c>
      <c r="H50" t="s">
        <v>692</v>
      </c>
    </row>
    <row r="51" spans="1:8" x14ac:dyDescent="0.35">
      <c r="A51" t="s">
        <v>691</v>
      </c>
      <c r="B51">
        <v>0.1608</v>
      </c>
      <c r="C51" t="s">
        <v>600</v>
      </c>
      <c r="D51" t="s">
        <v>45</v>
      </c>
      <c r="E51" t="s">
        <v>681</v>
      </c>
      <c r="F51" t="s">
        <v>21</v>
      </c>
      <c r="G51" t="s">
        <v>732</v>
      </c>
      <c r="H51" t="s">
        <v>692</v>
      </c>
    </row>
    <row r="52" spans="1:8" x14ac:dyDescent="0.35">
      <c r="A52" t="s">
        <v>691</v>
      </c>
      <c r="B52">
        <v>0.32963999999999999</v>
      </c>
      <c r="C52" t="s">
        <v>600</v>
      </c>
      <c r="D52" t="s">
        <v>45</v>
      </c>
      <c r="E52" t="s">
        <v>681</v>
      </c>
      <c r="F52" t="s">
        <v>21</v>
      </c>
      <c r="G52" t="s">
        <v>733</v>
      </c>
      <c r="H52" t="s">
        <v>692</v>
      </c>
    </row>
    <row r="53" spans="1:8" x14ac:dyDescent="0.35">
      <c r="A53" t="s">
        <v>695</v>
      </c>
      <c r="B53">
        <v>1.1175600000000001</v>
      </c>
      <c r="C53" t="s">
        <v>27</v>
      </c>
      <c r="D53" t="s">
        <v>45</v>
      </c>
      <c r="E53" t="s">
        <v>681</v>
      </c>
      <c r="F53" t="s">
        <v>21</v>
      </c>
      <c r="G53" t="s">
        <v>696</v>
      </c>
      <c r="H53" t="s">
        <v>697</v>
      </c>
    </row>
    <row r="54" spans="1:8" x14ac:dyDescent="0.35">
      <c r="A54" t="s">
        <v>699</v>
      </c>
      <c r="B54">
        <v>0.21457152000000002</v>
      </c>
      <c r="C54" t="s">
        <v>665</v>
      </c>
      <c r="D54" t="s">
        <v>31</v>
      </c>
      <c r="E54" t="s">
        <v>681</v>
      </c>
      <c r="F54" t="s">
        <v>21</v>
      </c>
      <c r="G54" t="s">
        <v>729</v>
      </c>
      <c r="H54" t="s">
        <v>701</v>
      </c>
    </row>
    <row r="55" spans="1:8" x14ac:dyDescent="0.35">
      <c r="A55" t="s">
        <v>699</v>
      </c>
      <c r="B55">
        <v>3.1589696E-2</v>
      </c>
      <c r="C55" t="s">
        <v>665</v>
      </c>
      <c r="D55" t="s">
        <v>31</v>
      </c>
      <c r="E55" t="s">
        <v>681</v>
      </c>
      <c r="F55" t="s">
        <v>21</v>
      </c>
      <c r="G55" t="s">
        <v>722</v>
      </c>
      <c r="H55" t="s">
        <v>701</v>
      </c>
    </row>
    <row r="56" spans="1:8" x14ac:dyDescent="0.35">
      <c r="A56" t="s">
        <v>201</v>
      </c>
      <c r="B56" s="7">
        <f>('Cozzolini 2018'!B43*'Cozzolini 2018'!B27*(1+B14))-Allocation!$B$13</f>
        <v>1.7807807440264034</v>
      </c>
      <c r="D56" t="s">
        <v>9</v>
      </c>
      <c r="E56" t="s">
        <v>39</v>
      </c>
      <c r="F56" t="s">
        <v>38</v>
      </c>
      <c r="G56" t="s">
        <v>704</v>
      </c>
    </row>
    <row r="58" spans="1:8" ht="15.5" x14ac:dyDescent="0.35">
      <c r="A58" s="1" t="s">
        <v>1</v>
      </c>
      <c r="B58" s="1" t="s">
        <v>927</v>
      </c>
    </row>
    <row r="59" spans="1:8" x14ac:dyDescent="0.35">
      <c r="A59" t="s">
        <v>2</v>
      </c>
      <c r="B59" t="s">
        <v>600</v>
      </c>
    </row>
    <row r="60" spans="1:8" x14ac:dyDescent="0.35">
      <c r="A60" t="s">
        <v>4</v>
      </c>
      <c r="B60">
        <v>1</v>
      </c>
    </row>
    <row r="61" spans="1:8" ht="15.5" x14ac:dyDescent="0.35">
      <c r="A61" t="s">
        <v>5</v>
      </c>
      <c r="B61" s="2" t="s">
        <v>350</v>
      </c>
    </row>
    <row r="62" spans="1:8" x14ac:dyDescent="0.35">
      <c r="A62" t="s">
        <v>6</v>
      </c>
      <c r="B62" t="s">
        <v>7</v>
      </c>
    </row>
    <row r="63" spans="1:8" x14ac:dyDescent="0.35">
      <c r="A63" t="s">
        <v>8</v>
      </c>
      <c r="B63" t="s">
        <v>9</v>
      </c>
    </row>
    <row r="64" spans="1:8" ht="15.5" x14ac:dyDescent="0.35">
      <c r="A64" s="1" t="s">
        <v>13</v>
      </c>
    </row>
    <row r="65" spans="1:11" x14ac:dyDescent="0.35">
      <c r="A65" t="s">
        <v>14</v>
      </c>
      <c r="B65" t="s">
        <v>15</v>
      </c>
      <c r="C65" t="s">
        <v>2</v>
      </c>
      <c r="D65" t="s">
        <v>8</v>
      </c>
      <c r="E65" t="s">
        <v>16</v>
      </c>
      <c r="F65" t="s">
        <v>6</v>
      </c>
      <c r="G65" t="s">
        <v>351</v>
      </c>
      <c r="H65" t="s">
        <v>352</v>
      </c>
      <c r="I65" t="s">
        <v>17</v>
      </c>
      <c r="J65" t="s">
        <v>12</v>
      </c>
      <c r="K65" t="s">
        <v>5</v>
      </c>
    </row>
    <row r="66" spans="1:11" x14ac:dyDescent="0.35">
      <c r="A66" t="s">
        <v>927</v>
      </c>
      <c r="B66">
        <v>1</v>
      </c>
      <c r="C66" t="s">
        <v>600</v>
      </c>
      <c r="D66" t="s">
        <v>9</v>
      </c>
      <c r="F66" t="s">
        <v>18</v>
      </c>
      <c r="I66">
        <v>100</v>
      </c>
      <c r="J66" t="s">
        <v>19</v>
      </c>
      <c r="K66" t="s">
        <v>350</v>
      </c>
    </row>
    <row r="67" spans="1:11" ht="15.5" x14ac:dyDescent="0.35">
      <c r="A67" s="2" t="s">
        <v>928</v>
      </c>
      <c r="B67">
        <v>1.00057</v>
      </c>
      <c r="C67" t="s">
        <v>600</v>
      </c>
      <c r="D67" t="s">
        <v>9</v>
      </c>
      <c r="F67" t="s">
        <v>21</v>
      </c>
      <c r="K67" t="s">
        <v>723</v>
      </c>
    </row>
    <row r="68" spans="1:11" x14ac:dyDescent="0.35">
      <c r="A68" t="s">
        <v>30</v>
      </c>
      <c r="B68">
        <v>6.7000000000000002E-3</v>
      </c>
      <c r="C68" t="s">
        <v>600</v>
      </c>
      <c r="D68" t="s">
        <v>31</v>
      </c>
      <c r="F68" t="s">
        <v>21</v>
      </c>
      <c r="K68" t="s">
        <v>32</v>
      </c>
    </row>
    <row r="69" spans="1:11" x14ac:dyDescent="0.35">
      <c r="A69" t="s">
        <v>353</v>
      </c>
      <c r="B69">
        <v>-1.6799999999999999E-4</v>
      </c>
      <c r="C69" t="s">
        <v>665</v>
      </c>
      <c r="D69" t="s">
        <v>9</v>
      </c>
      <c r="F69" t="s">
        <v>21</v>
      </c>
      <c r="K69" t="s">
        <v>354</v>
      </c>
    </row>
    <row r="70" spans="1:11" x14ac:dyDescent="0.35">
      <c r="A70" t="s">
        <v>355</v>
      </c>
      <c r="B70" s="7">
        <v>5.8399999999999999E-4</v>
      </c>
      <c r="C70" t="s">
        <v>673</v>
      </c>
      <c r="D70" t="s">
        <v>20</v>
      </c>
      <c r="F70" t="s">
        <v>21</v>
      </c>
      <c r="K70" t="s">
        <v>356</v>
      </c>
    </row>
    <row r="71" spans="1:11" x14ac:dyDescent="0.35">
      <c r="A71" t="s">
        <v>357</v>
      </c>
      <c r="B71" s="7">
        <v>2.5999999999999998E-10</v>
      </c>
      <c r="C71" t="s">
        <v>600</v>
      </c>
      <c r="D71" t="s">
        <v>8</v>
      </c>
      <c r="F71" t="s">
        <v>21</v>
      </c>
      <c r="K71" t="s">
        <v>358</v>
      </c>
    </row>
    <row r="72" spans="1:11" x14ac:dyDescent="0.35">
      <c r="A72" t="s">
        <v>359</v>
      </c>
      <c r="B72" s="7">
        <v>-6.2700000000000001E-6</v>
      </c>
      <c r="C72" t="s">
        <v>673</v>
      </c>
      <c r="D72" t="s">
        <v>9</v>
      </c>
      <c r="F72" t="s">
        <v>21</v>
      </c>
      <c r="K72" t="s">
        <v>360</v>
      </c>
    </row>
    <row r="73" spans="1:11" x14ac:dyDescent="0.35">
      <c r="A73" t="s">
        <v>361</v>
      </c>
      <c r="B73" s="7">
        <v>-7.4999999999999993E-5</v>
      </c>
      <c r="C73" t="s">
        <v>665</v>
      </c>
      <c r="D73" t="s">
        <v>131</v>
      </c>
      <c r="F73" t="s">
        <v>21</v>
      </c>
      <c r="K73" t="s">
        <v>362</v>
      </c>
    </row>
    <row r="74" spans="1:11" x14ac:dyDescent="0.35">
      <c r="A74" t="s">
        <v>363</v>
      </c>
      <c r="B74" s="7">
        <v>6.8900000000000005E-4</v>
      </c>
      <c r="C74" t="s">
        <v>665</v>
      </c>
      <c r="D74" t="s">
        <v>9</v>
      </c>
      <c r="F74" t="s">
        <v>21</v>
      </c>
      <c r="K74" t="s">
        <v>364</v>
      </c>
    </row>
    <row r="75" spans="1:11" x14ac:dyDescent="0.35">
      <c r="A75" t="s">
        <v>108</v>
      </c>
      <c r="B75">
        <v>3.3599999999999998E-2</v>
      </c>
      <c r="C75" t="s">
        <v>665</v>
      </c>
      <c r="D75" t="s">
        <v>45</v>
      </c>
      <c r="F75" t="s">
        <v>21</v>
      </c>
      <c r="K75" t="s">
        <v>111</v>
      </c>
    </row>
    <row r="76" spans="1:11" x14ac:dyDescent="0.35">
      <c r="A76" t="s">
        <v>365</v>
      </c>
      <c r="B76">
        <v>3.2599999999999997E-2</v>
      </c>
      <c r="C76" t="s">
        <v>600</v>
      </c>
      <c r="D76" t="s">
        <v>45</v>
      </c>
      <c r="F76" t="s">
        <v>21</v>
      </c>
      <c r="K76" t="s">
        <v>366</v>
      </c>
    </row>
    <row r="77" spans="1:11" x14ac:dyDescent="0.35">
      <c r="A77" t="s">
        <v>367</v>
      </c>
      <c r="B77" s="7">
        <v>-6.8899999999999999E-7</v>
      </c>
      <c r="C77" t="s">
        <v>665</v>
      </c>
      <c r="D77" t="s">
        <v>131</v>
      </c>
      <c r="F77" t="s">
        <v>21</v>
      </c>
      <c r="K77" t="s">
        <v>368</v>
      </c>
    </row>
    <row r="78" spans="1:11" x14ac:dyDescent="0.35">
      <c r="B78" s="7"/>
    </row>
    <row r="79" spans="1:11" ht="15.5" x14ac:dyDescent="0.35">
      <c r="A79" s="1" t="s">
        <v>1</v>
      </c>
      <c r="B79" s="1" t="s">
        <v>948</v>
      </c>
    </row>
    <row r="80" spans="1:11" x14ac:dyDescent="0.35">
      <c r="A80" t="s">
        <v>2</v>
      </c>
      <c r="B80" t="s">
        <v>600</v>
      </c>
    </row>
    <row r="81" spans="1:8" x14ac:dyDescent="0.35">
      <c r="A81" t="s">
        <v>4</v>
      </c>
      <c r="B81">
        <v>1</v>
      </c>
    </row>
    <row r="82" spans="1:8" x14ac:dyDescent="0.35">
      <c r="A82" t="s">
        <v>5</v>
      </c>
      <c r="B82" t="s">
        <v>949</v>
      </c>
    </row>
    <row r="83" spans="1:8" x14ac:dyDescent="0.35">
      <c r="A83" t="s">
        <v>6</v>
      </c>
      <c r="B83" t="s">
        <v>7</v>
      </c>
    </row>
    <row r="84" spans="1:8" x14ac:dyDescent="0.35">
      <c r="A84" t="s">
        <v>8</v>
      </c>
      <c r="B84" t="s">
        <v>9</v>
      </c>
    </row>
    <row r="85" spans="1:8" x14ac:dyDescent="0.35">
      <c r="A85" t="s">
        <v>931</v>
      </c>
      <c r="B85">
        <v>17.2</v>
      </c>
    </row>
    <row r="86" spans="1:8" x14ac:dyDescent="0.35">
      <c r="A86" t="s">
        <v>937</v>
      </c>
      <c r="B86" s="31">
        <v>0.1</v>
      </c>
    </row>
    <row r="87" spans="1:8" ht="15.5" x14ac:dyDescent="0.35">
      <c r="A87" s="1" t="s">
        <v>13</v>
      </c>
    </row>
    <row r="88" spans="1:8" x14ac:dyDescent="0.35">
      <c r="A88" t="s">
        <v>14</v>
      </c>
      <c r="B88" t="s">
        <v>15</v>
      </c>
      <c r="C88" t="s">
        <v>2</v>
      </c>
      <c r="D88" t="s">
        <v>8</v>
      </c>
      <c r="E88" t="s">
        <v>16</v>
      </c>
      <c r="F88" t="s">
        <v>6</v>
      </c>
      <c r="G88" t="s">
        <v>12</v>
      </c>
      <c r="H88" t="s">
        <v>5</v>
      </c>
    </row>
    <row r="89" spans="1:8" x14ac:dyDescent="0.35">
      <c r="A89" t="s">
        <v>948</v>
      </c>
      <c r="B89">
        <v>1</v>
      </c>
      <c r="C89" t="s">
        <v>600</v>
      </c>
      <c r="D89" t="s">
        <v>9</v>
      </c>
      <c r="E89" t="s">
        <v>742</v>
      </c>
      <c r="F89" t="s">
        <v>18</v>
      </c>
      <c r="G89" t="s">
        <v>19</v>
      </c>
      <c r="H89" t="s">
        <v>949</v>
      </c>
    </row>
    <row r="90" spans="1:8" x14ac:dyDescent="0.35">
      <c r="A90" t="s">
        <v>948</v>
      </c>
      <c r="B90">
        <v>0.14000000000000001</v>
      </c>
      <c r="C90" t="s">
        <v>600</v>
      </c>
      <c r="D90" t="s">
        <v>9</v>
      </c>
      <c r="F90" t="s">
        <v>21</v>
      </c>
      <c r="G90" t="s">
        <v>938</v>
      </c>
      <c r="H90" t="s">
        <v>934</v>
      </c>
    </row>
    <row r="91" spans="1:8" x14ac:dyDescent="0.35">
      <c r="A91" t="s">
        <v>691</v>
      </c>
      <c r="B91">
        <v>5.4180000000000006E-2</v>
      </c>
      <c r="C91" t="s">
        <v>600</v>
      </c>
      <c r="D91" t="s">
        <v>45</v>
      </c>
      <c r="E91" t="s">
        <v>676</v>
      </c>
      <c r="F91" t="s">
        <v>21</v>
      </c>
      <c r="G91" t="s">
        <v>19</v>
      </c>
      <c r="H91" t="s">
        <v>692</v>
      </c>
    </row>
    <row r="92" spans="1:8" x14ac:dyDescent="0.35">
      <c r="A92" t="s">
        <v>30</v>
      </c>
      <c r="B92">
        <v>8.6068800000000015E-2</v>
      </c>
      <c r="C92" t="s">
        <v>665</v>
      </c>
      <c r="D92" t="s">
        <v>31</v>
      </c>
      <c r="E92" t="s">
        <v>676</v>
      </c>
      <c r="F92" t="s">
        <v>21</v>
      </c>
      <c r="G92" t="s">
        <v>19</v>
      </c>
      <c r="H92" t="s">
        <v>32</v>
      </c>
    </row>
    <row r="93" spans="1:8" x14ac:dyDescent="0.35">
      <c r="A93" t="s">
        <v>116</v>
      </c>
      <c r="B93">
        <f>B85*(1-B86)</f>
        <v>15.48</v>
      </c>
      <c r="D93" t="s">
        <v>20</v>
      </c>
      <c r="E93" t="s">
        <v>122</v>
      </c>
      <c r="F93" t="s">
        <v>38</v>
      </c>
      <c r="G93" t="s">
        <v>871</v>
      </c>
    </row>
    <row r="94" spans="1:8" x14ac:dyDescent="0.35">
      <c r="A94" t="s">
        <v>42</v>
      </c>
      <c r="B94">
        <v>4.7373444000000001E-7</v>
      </c>
      <c r="D94" t="s">
        <v>9</v>
      </c>
      <c r="E94" t="s">
        <v>39</v>
      </c>
      <c r="F94" t="s">
        <v>38</v>
      </c>
      <c r="G94" t="s">
        <v>19</v>
      </c>
    </row>
    <row r="95" spans="1:8" x14ac:dyDescent="0.35">
      <c r="A95" t="s">
        <v>204</v>
      </c>
      <c r="B95">
        <v>1.9230803999999999E-7</v>
      </c>
      <c r="D95" t="s">
        <v>9</v>
      </c>
      <c r="E95" t="s">
        <v>39</v>
      </c>
      <c r="F95" t="s">
        <v>38</v>
      </c>
      <c r="G95" t="s">
        <v>19</v>
      </c>
    </row>
    <row r="96" spans="1:8" x14ac:dyDescent="0.35">
      <c r="A96" t="s">
        <v>823</v>
      </c>
      <c r="B96">
        <v>3.6585432000000003E-3</v>
      </c>
      <c r="C96" t="s">
        <v>600</v>
      </c>
      <c r="D96" t="s">
        <v>9</v>
      </c>
      <c r="E96" t="s">
        <v>676</v>
      </c>
      <c r="F96" t="s">
        <v>21</v>
      </c>
      <c r="G96" t="s">
        <v>19</v>
      </c>
      <c r="H96" t="s">
        <v>824</v>
      </c>
    </row>
    <row r="97" spans="1:11" x14ac:dyDescent="0.35">
      <c r="A97" t="s">
        <v>120</v>
      </c>
      <c r="B97" s="7">
        <f>0.46*(44/12)*(1-B86)</f>
        <v>1.518</v>
      </c>
      <c r="D97" t="s">
        <v>9</v>
      </c>
      <c r="E97" t="s">
        <v>121</v>
      </c>
      <c r="F97" t="s">
        <v>38</v>
      </c>
      <c r="J97" t="s">
        <v>964</v>
      </c>
    </row>
    <row r="99" spans="1:11" ht="15.5" x14ac:dyDescent="0.35">
      <c r="A99" s="1" t="s">
        <v>1</v>
      </c>
      <c r="B99" s="1" t="s">
        <v>950</v>
      </c>
    </row>
    <row r="100" spans="1:11" x14ac:dyDescent="0.35">
      <c r="A100" t="s">
        <v>2</v>
      </c>
      <c r="B100" t="s">
        <v>600</v>
      </c>
    </row>
    <row r="101" spans="1:11" x14ac:dyDescent="0.35">
      <c r="A101" t="s">
        <v>4</v>
      </c>
      <c r="B101">
        <v>1</v>
      </c>
    </row>
    <row r="102" spans="1:11" x14ac:dyDescent="0.35">
      <c r="A102" t="s">
        <v>5</v>
      </c>
      <c r="B102" t="s">
        <v>741</v>
      </c>
    </row>
    <row r="103" spans="1:11" x14ac:dyDescent="0.35">
      <c r="A103" t="s">
        <v>6</v>
      </c>
      <c r="B103" t="s">
        <v>7</v>
      </c>
    </row>
    <row r="104" spans="1:11" x14ac:dyDescent="0.35">
      <c r="A104" t="s">
        <v>8</v>
      </c>
      <c r="B104" t="s">
        <v>9</v>
      </c>
    </row>
    <row r="105" spans="1:11" x14ac:dyDescent="0.35">
      <c r="A105" t="s">
        <v>10</v>
      </c>
      <c r="B105" t="s">
        <v>674</v>
      </c>
    </row>
    <row r="106" spans="1:11" ht="15.5" x14ac:dyDescent="0.35">
      <c r="A106" s="1" t="s">
        <v>13</v>
      </c>
    </row>
    <row r="107" spans="1:11" x14ac:dyDescent="0.35">
      <c r="A107" t="s">
        <v>14</v>
      </c>
      <c r="B107" t="s">
        <v>15</v>
      </c>
      <c r="C107" t="s">
        <v>2</v>
      </c>
      <c r="D107" t="s">
        <v>8</v>
      </c>
      <c r="E107" t="s">
        <v>16</v>
      </c>
      <c r="F107" t="s">
        <v>6</v>
      </c>
      <c r="G107" t="s">
        <v>12</v>
      </c>
      <c r="H107" t="s">
        <v>675</v>
      </c>
      <c r="I107" t="s">
        <v>5</v>
      </c>
      <c r="J107" t="s">
        <v>707</v>
      </c>
      <c r="K107" t="s">
        <v>708</v>
      </c>
    </row>
    <row r="108" spans="1:11" x14ac:dyDescent="0.35">
      <c r="A108" t="s">
        <v>950</v>
      </c>
      <c r="B108">
        <v>1</v>
      </c>
      <c r="C108" t="s">
        <v>600</v>
      </c>
      <c r="D108" t="s">
        <v>9</v>
      </c>
      <c r="E108" t="s">
        <v>742</v>
      </c>
      <c r="F108" t="s">
        <v>18</v>
      </c>
      <c r="G108" t="s">
        <v>19</v>
      </c>
      <c r="H108" t="s">
        <v>741</v>
      </c>
    </row>
    <row r="109" spans="1:11" x14ac:dyDescent="0.35">
      <c r="A109" t="s">
        <v>948</v>
      </c>
      <c r="B109">
        <f>51.839247/B93</f>
        <v>3.3487885658914727</v>
      </c>
      <c r="C109" t="s">
        <v>600</v>
      </c>
      <c r="D109" t="s">
        <v>9</v>
      </c>
      <c r="E109" t="s">
        <v>676</v>
      </c>
      <c r="F109" t="s">
        <v>21</v>
      </c>
      <c r="G109" t="s">
        <v>19</v>
      </c>
      <c r="H109" t="s">
        <v>949</v>
      </c>
    </row>
    <row r="110" spans="1:11" x14ac:dyDescent="0.35">
      <c r="A110" t="s">
        <v>677</v>
      </c>
      <c r="B110">
        <v>6.2068799999999997E-3</v>
      </c>
      <c r="C110" t="s">
        <v>600</v>
      </c>
      <c r="D110" t="s">
        <v>9</v>
      </c>
      <c r="E110" t="s">
        <v>676</v>
      </c>
      <c r="F110" t="s">
        <v>21</v>
      </c>
      <c r="G110" t="s">
        <v>19</v>
      </c>
      <c r="H110" t="s">
        <v>679</v>
      </c>
      <c r="I110" t="s">
        <v>679</v>
      </c>
      <c r="J110" t="s">
        <v>728</v>
      </c>
      <c r="K110" t="s">
        <v>713</v>
      </c>
    </row>
    <row r="111" spans="1:11" x14ac:dyDescent="0.35">
      <c r="A111" t="s">
        <v>624</v>
      </c>
      <c r="B111">
        <v>2.3852000000000001E-3</v>
      </c>
      <c r="C111" t="s">
        <v>27</v>
      </c>
      <c r="D111" t="s">
        <v>9</v>
      </c>
      <c r="E111" t="s">
        <v>676</v>
      </c>
      <c r="F111" t="s">
        <v>21</v>
      </c>
      <c r="G111" t="s">
        <v>19</v>
      </c>
      <c r="H111" t="s">
        <v>623</v>
      </c>
      <c r="I111" t="s">
        <v>623</v>
      </c>
      <c r="J111" t="s">
        <v>743</v>
      </c>
      <c r="K111" t="s">
        <v>713</v>
      </c>
    </row>
    <row r="112" spans="1:11" x14ac:dyDescent="0.35">
      <c r="A112" t="s">
        <v>744</v>
      </c>
      <c r="B112">
        <v>6.8340000000000002E-4</v>
      </c>
      <c r="C112" t="s">
        <v>600</v>
      </c>
      <c r="D112" t="s">
        <v>9</v>
      </c>
      <c r="E112" t="s">
        <v>676</v>
      </c>
      <c r="F112" t="s">
        <v>21</v>
      </c>
      <c r="G112" t="s">
        <v>19</v>
      </c>
      <c r="H112" t="s">
        <v>745</v>
      </c>
      <c r="I112" t="s">
        <v>745</v>
      </c>
      <c r="J112" t="s">
        <v>746</v>
      </c>
      <c r="K112" t="s">
        <v>713</v>
      </c>
    </row>
    <row r="113" spans="1:11" x14ac:dyDescent="0.35">
      <c r="A113" t="s">
        <v>747</v>
      </c>
      <c r="B113">
        <v>5.1188000000000004E-4</v>
      </c>
      <c r="C113" t="s">
        <v>27</v>
      </c>
      <c r="D113" t="s">
        <v>9</v>
      </c>
      <c r="E113" t="s">
        <v>676</v>
      </c>
      <c r="F113" t="s">
        <v>21</v>
      </c>
      <c r="G113" t="s">
        <v>19</v>
      </c>
      <c r="H113" t="s">
        <v>748</v>
      </c>
      <c r="I113" t="s">
        <v>748</v>
      </c>
      <c r="J113" t="s">
        <v>749</v>
      </c>
      <c r="K113" t="s">
        <v>713</v>
      </c>
    </row>
    <row r="114" spans="1:11" x14ac:dyDescent="0.35">
      <c r="A114" t="s">
        <v>684</v>
      </c>
      <c r="B114">
        <v>2.8303479999999999E-2</v>
      </c>
      <c r="C114" t="s">
        <v>600</v>
      </c>
      <c r="D114" t="s">
        <v>9</v>
      </c>
      <c r="E114" t="s">
        <v>676</v>
      </c>
      <c r="F114" t="s">
        <v>21</v>
      </c>
      <c r="G114" t="s">
        <v>19</v>
      </c>
      <c r="H114" t="s">
        <v>686</v>
      </c>
      <c r="I114" t="s">
        <v>686</v>
      </c>
      <c r="J114" t="s">
        <v>750</v>
      </c>
      <c r="K114" t="s">
        <v>713</v>
      </c>
    </row>
    <row r="115" spans="1:11" x14ac:dyDescent="0.35">
      <c r="A115" t="s">
        <v>751</v>
      </c>
      <c r="B115">
        <v>5.1992000000000002E-3</v>
      </c>
      <c r="C115" t="s">
        <v>27</v>
      </c>
      <c r="D115" t="s">
        <v>9</v>
      </c>
      <c r="E115" t="s">
        <v>676</v>
      </c>
      <c r="F115" t="s">
        <v>21</v>
      </c>
      <c r="G115" t="s">
        <v>19</v>
      </c>
      <c r="H115" t="s">
        <v>752</v>
      </c>
      <c r="I115" t="s">
        <v>752</v>
      </c>
      <c r="J115" t="s">
        <v>753</v>
      </c>
      <c r="K115" t="s">
        <v>713</v>
      </c>
    </row>
    <row r="116" spans="1:11" x14ac:dyDescent="0.35">
      <c r="A116" t="s">
        <v>401</v>
      </c>
      <c r="B116">
        <v>7.1221000000000007E-2</v>
      </c>
      <c r="C116" t="s">
        <v>27</v>
      </c>
      <c r="D116" t="s">
        <v>9</v>
      </c>
      <c r="E116" t="s">
        <v>676</v>
      </c>
      <c r="F116" t="s">
        <v>21</v>
      </c>
      <c r="G116" t="s">
        <v>19</v>
      </c>
      <c r="H116" t="s">
        <v>402</v>
      </c>
      <c r="I116" t="s">
        <v>402</v>
      </c>
      <c r="J116" t="s">
        <v>730</v>
      </c>
      <c r="K116" t="s">
        <v>713</v>
      </c>
    </row>
    <row r="117" spans="1:11" x14ac:dyDescent="0.35">
      <c r="A117" t="s">
        <v>754</v>
      </c>
      <c r="B117">
        <v>7.0483999999999998E-4</v>
      </c>
      <c r="C117" t="s">
        <v>600</v>
      </c>
      <c r="D117" t="s">
        <v>9</v>
      </c>
      <c r="E117" t="s">
        <v>676</v>
      </c>
      <c r="F117" t="s">
        <v>21</v>
      </c>
      <c r="G117" t="s">
        <v>19</v>
      </c>
      <c r="H117" t="s">
        <v>755</v>
      </c>
      <c r="I117" t="s">
        <v>755</v>
      </c>
      <c r="J117" t="s">
        <v>756</v>
      </c>
      <c r="K117" t="s">
        <v>713</v>
      </c>
    </row>
    <row r="118" spans="1:11" x14ac:dyDescent="0.35">
      <c r="A118" t="s">
        <v>108</v>
      </c>
      <c r="B118">
        <v>0.38056000000000001</v>
      </c>
      <c r="C118" t="s">
        <v>665</v>
      </c>
      <c r="D118" t="s">
        <v>45</v>
      </c>
      <c r="E118" t="s">
        <v>676</v>
      </c>
      <c r="F118" t="s">
        <v>21</v>
      </c>
      <c r="G118" t="s">
        <v>19</v>
      </c>
      <c r="H118" t="s">
        <v>111</v>
      </c>
      <c r="I118" t="s">
        <v>111</v>
      </c>
      <c r="J118" t="s">
        <v>714</v>
      </c>
      <c r="K118" t="s">
        <v>713</v>
      </c>
    </row>
    <row r="119" spans="1:11" x14ac:dyDescent="0.35">
      <c r="A119" t="s">
        <v>105</v>
      </c>
      <c r="B119">
        <v>0.15276000000000001</v>
      </c>
      <c r="C119" t="s">
        <v>600</v>
      </c>
      <c r="D119" t="s">
        <v>45</v>
      </c>
      <c r="E119" t="s">
        <v>676</v>
      </c>
      <c r="F119" t="s">
        <v>21</v>
      </c>
      <c r="G119" t="s">
        <v>19</v>
      </c>
      <c r="H119" t="s">
        <v>106</v>
      </c>
      <c r="I119" t="s">
        <v>106</v>
      </c>
      <c r="J119" t="s">
        <v>715</v>
      </c>
      <c r="K119" t="s">
        <v>713</v>
      </c>
    </row>
    <row r="120" spans="1:11" x14ac:dyDescent="0.35">
      <c r="A120" t="s">
        <v>691</v>
      </c>
      <c r="B120">
        <v>0.32963999999999999</v>
      </c>
      <c r="C120" t="s">
        <v>600</v>
      </c>
      <c r="D120" t="s">
        <v>45</v>
      </c>
      <c r="E120" t="s">
        <v>676</v>
      </c>
      <c r="F120" t="s">
        <v>21</v>
      </c>
      <c r="G120" t="s">
        <v>19</v>
      </c>
      <c r="H120" t="s">
        <v>692</v>
      </c>
      <c r="I120" t="s">
        <v>692</v>
      </c>
      <c r="J120" t="s">
        <v>717</v>
      </c>
      <c r="K120" t="s">
        <v>713</v>
      </c>
    </row>
    <row r="121" spans="1:11" x14ac:dyDescent="0.35">
      <c r="A121" t="s">
        <v>691</v>
      </c>
      <c r="B121">
        <v>0.1608</v>
      </c>
      <c r="C121" t="s">
        <v>600</v>
      </c>
      <c r="D121" t="s">
        <v>45</v>
      </c>
      <c r="E121" t="s">
        <v>676</v>
      </c>
      <c r="F121" t="s">
        <v>21</v>
      </c>
      <c r="G121" t="s">
        <v>19</v>
      </c>
      <c r="H121" t="s">
        <v>692</v>
      </c>
      <c r="I121" t="s">
        <v>692</v>
      </c>
      <c r="J121" t="s">
        <v>717</v>
      </c>
      <c r="K121" t="s">
        <v>713</v>
      </c>
    </row>
    <row r="122" spans="1:11" x14ac:dyDescent="0.35">
      <c r="A122" t="s">
        <v>695</v>
      </c>
      <c r="B122">
        <v>1.1175600000000001</v>
      </c>
      <c r="C122" t="s">
        <v>27</v>
      </c>
      <c r="D122" t="s">
        <v>45</v>
      </c>
      <c r="E122" t="s">
        <v>676</v>
      </c>
      <c r="F122" t="s">
        <v>21</v>
      </c>
      <c r="G122" t="s">
        <v>19</v>
      </c>
      <c r="H122" t="s">
        <v>697</v>
      </c>
      <c r="I122" t="s">
        <v>697</v>
      </c>
      <c r="J122" t="s">
        <v>720</v>
      </c>
      <c r="K122" t="s">
        <v>713</v>
      </c>
    </row>
    <row r="123" spans="1:11" x14ac:dyDescent="0.35">
      <c r="A123" t="s">
        <v>699</v>
      </c>
      <c r="B123">
        <v>6.2583359999999998E-3</v>
      </c>
      <c r="C123" t="s">
        <v>665</v>
      </c>
      <c r="D123" t="s">
        <v>31</v>
      </c>
      <c r="E123" t="s">
        <v>676</v>
      </c>
      <c r="F123" t="s">
        <v>21</v>
      </c>
      <c r="G123" t="s">
        <v>19</v>
      </c>
      <c r="H123" t="s">
        <v>701</v>
      </c>
      <c r="I123" t="s">
        <v>701</v>
      </c>
      <c r="J123" t="s">
        <v>721</v>
      </c>
      <c r="K123" t="s">
        <v>713</v>
      </c>
    </row>
    <row r="124" spans="1:11" x14ac:dyDescent="0.35">
      <c r="A124" t="s">
        <v>699</v>
      </c>
      <c r="B124">
        <v>2.5331360000000001E-2</v>
      </c>
      <c r="C124" t="s">
        <v>665</v>
      </c>
      <c r="D124" t="s">
        <v>31</v>
      </c>
      <c r="E124" t="s">
        <v>676</v>
      </c>
      <c r="F124" t="s">
        <v>21</v>
      </c>
      <c r="G124" t="s">
        <v>19</v>
      </c>
      <c r="H124" t="s">
        <v>701</v>
      </c>
      <c r="I124" t="s">
        <v>701</v>
      </c>
      <c r="J124" t="s">
        <v>721</v>
      </c>
      <c r="K124" t="s">
        <v>713</v>
      </c>
    </row>
    <row r="125" spans="1:11" x14ac:dyDescent="0.35">
      <c r="A125" t="s">
        <v>201</v>
      </c>
      <c r="B125" s="7">
        <f>('Cozzolini 2018'!B109*'Cozzolini 2018'!B97*(1+B90))-Allocation!B13</f>
        <v>3.881145589046513</v>
      </c>
      <c r="D125" t="s">
        <v>9</v>
      </c>
      <c r="E125" t="s">
        <v>121</v>
      </c>
      <c r="F125" t="s">
        <v>38</v>
      </c>
      <c r="G125" t="s">
        <v>704</v>
      </c>
    </row>
    <row r="126" spans="1:11" x14ac:dyDescent="0.35">
      <c r="A126" t="s">
        <v>42</v>
      </c>
      <c r="B126">
        <v>2.6263999999999998E-5</v>
      </c>
      <c r="D126" t="s">
        <v>9</v>
      </c>
      <c r="E126" t="s">
        <v>39</v>
      </c>
      <c r="F126" t="s">
        <v>38</v>
      </c>
      <c r="G126" t="s">
        <v>19</v>
      </c>
    </row>
    <row r="127" spans="1:11" x14ac:dyDescent="0.35">
      <c r="A127" t="s">
        <v>204</v>
      </c>
      <c r="B127">
        <v>1.3131999999999998E-4</v>
      </c>
      <c r="D127" t="s">
        <v>9</v>
      </c>
      <c r="E127" t="s">
        <v>39</v>
      </c>
      <c r="F127" t="s">
        <v>38</v>
      </c>
      <c r="G127" t="s">
        <v>19</v>
      </c>
    </row>
    <row r="129" spans="1:11" ht="15.5" x14ac:dyDescent="0.35">
      <c r="A129" s="1" t="s">
        <v>1</v>
      </c>
      <c r="B129" s="1" t="s">
        <v>951</v>
      </c>
    </row>
    <row r="130" spans="1:11" x14ac:dyDescent="0.35">
      <c r="A130" t="s">
        <v>2</v>
      </c>
      <c r="B130" t="s">
        <v>600</v>
      </c>
    </row>
    <row r="131" spans="1:11" x14ac:dyDescent="0.35">
      <c r="A131" t="s">
        <v>4</v>
      </c>
      <c r="B131">
        <v>1</v>
      </c>
    </row>
    <row r="132" spans="1:11" ht="15.5" x14ac:dyDescent="0.35">
      <c r="A132" t="s">
        <v>5</v>
      </c>
      <c r="B132" s="2" t="s">
        <v>350</v>
      </c>
    </row>
    <row r="133" spans="1:11" x14ac:dyDescent="0.35">
      <c r="A133" t="s">
        <v>6</v>
      </c>
      <c r="B133" t="s">
        <v>7</v>
      </c>
    </row>
    <row r="134" spans="1:11" x14ac:dyDescent="0.35">
      <c r="A134" t="s">
        <v>8</v>
      </c>
      <c r="B134" t="s">
        <v>9</v>
      </c>
    </row>
    <row r="135" spans="1:11" ht="15.5" x14ac:dyDescent="0.35">
      <c r="A135" s="1" t="s">
        <v>13</v>
      </c>
    </row>
    <row r="136" spans="1:11" x14ac:dyDescent="0.35">
      <c r="A136" t="s">
        <v>14</v>
      </c>
      <c r="B136" t="s">
        <v>15</v>
      </c>
      <c r="C136" t="s">
        <v>2</v>
      </c>
      <c r="D136" t="s">
        <v>8</v>
      </c>
      <c r="E136" t="s">
        <v>16</v>
      </c>
      <c r="F136" t="s">
        <v>6</v>
      </c>
      <c r="G136" t="s">
        <v>351</v>
      </c>
      <c r="H136" t="s">
        <v>352</v>
      </c>
      <c r="I136" t="s">
        <v>17</v>
      </c>
      <c r="J136" t="s">
        <v>12</v>
      </c>
      <c r="K136" t="s">
        <v>5</v>
      </c>
    </row>
    <row r="137" spans="1:11" x14ac:dyDescent="0.35">
      <c r="A137" t="s">
        <v>740</v>
      </c>
      <c r="B137">
        <v>1</v>
      </c>
      <c r="C137" t="s">
        <v>600</v>
      </c>
      <c r="D137" t="s">
        <v>9</v>
      </c>
      <c r="F137" t="s">
        <v>18</v>
      </c>
      <c r="I137">
        <v>100</v>
      </c>
      <c r="J137" t="s">
        <v>19</v>
      </c>
      <c r="K137" t="s">
        <v>350</v>
      </c>
    </row>
    <row r="138" spans="1:11" x14ac:dyDescent="0.35">
      <c r="A138" t="s">
        <v>950</v>
      </c>
      <c r="B138">
        <v>1.00057</v>
      </c>
      <c r="C138" t="s">
        <v>600</v>
      </c>
      <c r="D138" t="s">
        <v>9</v>
      </c>
      <c r="F138" t="s">
        <v>21</v>
      </c>
      <c r="K138" t="s">
        <v>741</v>
      </c>
    </row>
    <row r="139" spans="1:11" x14ac:dyDescent="0.35">
      <c r="A139" t="s">
        <v>30</v>
      </c>
      <c r="B139">
        <v>6.7000000000000002E-3</v>
      </c>
      <c r="C139" t="s">
        <v>600</v>
      </c>
      <c r="D139" t="s">
        <v>31</v>
      </c>
      <c r="F139" t="s">
        <v>21</v>
      </c>
      <c r="K139" t="s">
        <v>32</v>
      </c>
    </row>
    <row r="140" spans="1:11" x14ac:dyDescent="0.35">
      <c r="A140" t="s">
        <v>353</v>
      </c>
      <c r="B140">
        <v>-1.6799999999999999E-4</v>
      </c>
      <c r="C140" t="s">
        <v>665</v>
      </c>
      <c r="D140" t="s">
        <v>9</v>
      </c>
      <c r="F140" t="s">
        <v>21</v>
      </c>
      <c r="K140" t="s">
        <v>354</v>
      </c>
    </row>
    <row r="141" spans="1:11" x14ac:dyDescent="0.35">
      <c r="A141" t="s">
        <v>355</v>
      </c>
      <c r="B141" s="7">
        <v>5.8399999999999999E-4</v>
      </c>
      <c r="C141" t="s">
        <v>673</v>
      </c>
      <c r="D141" t="s">
        <v>20</v>
      </c>
      <c r="F141" t="s">
        <v>21</v>
      </c>
      <c r="K141" t="s">
        <v>356</v>
      </c>
    </row>
    <row r="142" spans="1:11" x14ac:dyDescent="0.35">
      <c r="A142" t="s">
        <v>357</v>
      </c>
      <c r="B142" s="7">
        <v>2.5999999999999998E-10</v>
      </c>
      <c r="C142" t="s">
        <v>600</v>
      </c>
      <c r="D142" t="s">
        <v>8</v>
      </c>
      <c r="F142" t="s">
        <v>21</v>
      </c>
      <c r="K142" t="s">
        <v>358</v>
      </c>
    </row>
    <row r="143" spans="1:11" x14ac:dyDescent="0.35">
      <c r="A143" t="s">
        <v>359</v>
      </c>
      <c r="B143" s="7">
        <v>-6.2700000000000001E-6</v>
      </c>
      <c r="C143" t="s">
        <v>673</v>
      </c>
      <c r="D143" t="s">
        <v>9</v>
      </c>
      <c r="F143" t="s">
        <v>21</v>
      </c>
      <c r="K143" t="s">
        <v>360</v>
      </c>
    </row>
    <row r="144" spans="1:11" x14ac:dyDescent="0.35">
      <c r="A144" t="s">
        <v>361</v>
      </c>
      <c r="B144" s="7">
        <v>-7.4999999999999993E-5</v>
      </c>
      <c r="C144" t="s">
        <v>665</v>
      </c>
      <c r="D144" t="s">
        <v>131</v>
      </c>
      <c r="F144" t="s">
        <v>21</v>
      </c>
      <c r="K144" t="s">
        <v>362</v>
      </c>
    </row>
    <row r="145" spans="1:11" x14ac:dyDescent="0.35">
      <c r="A145" t="s">
        <v>363</v>
      </c>
      <c r="B145" s="7">
        <v>6.8900000000000005E-4</v>
      </c>
      <c r="C145" t="s">
        <v>665</v>
      </c>
      <c r="D145" t="s">
        <v>9</v>
      </c>
      <c r="F145" t="s">
        <v>21</v>
      </c>
      <c r="K145" t="s">
        <v>364</v>
      </c>
    </row>
    <row r="146" spans="1:11" x14ac:dyDescent="0.35">
      <c r="A146" t="s">
        <v>108</v>
      </c>
      <c r="B146">
        <v>3.3599999999999998E-2</v>
      </c>
      <c r="C146" t="s">
        <v>665</v>
      </c>
      <c r="D146" t="s">
        <v>45</v>
      </c>
      <c r="F146" t="s">
        <v>21</v>
      </c>
      <c r="K146" t="s">
        <v>111</v>
      </c>
    </row>
    <row r="147" spans="1:11" x14ac:dyDescent="0.35">
      <c r="A147" t="s">
        <v>365</v>
      </c>
      <c r="B147">
        <v>3.2599999999999997E-2</v>
      </c>
      <c r="C147" t="s">
        <v>600</v>
      </c>
      <c r="D147" t="s">
        <v>45</v>
      </c>
      <c r="F147" t="s">
        <v>21</v>
      </c>
      <c r="K147" t="s">
        <v>366</v>
      </c>
    </row>
    <row r="148" spans="1:11" x14ac:dyDescent="0.35">
      <c r="A148" t="s">
        <v>367</v>
      </c>
      <c r="B148" s="7">
        <v>-6.8899999999999999E-7</v>
      </c>
      <c r="C148" t="s">
        <v>665</v>
      </c>
      <c r="D148" t="s">
        <v>131</v>
      </c>
      <c r="F148" t="s">
        <v>21</v>
      </c>
      <c r="K148" t="s">
        <v>368</v>
      </c>
    </row>
    <row r="149" spans="1:11" ht="16.25" customHeight="1" x14ac:dyDescent="0.35">
      <c r="A149" s="1"/>
      <c r="B149" s="1"/>
    </row>
    <row r="150" spans="1:11" ht="15.5" x14ac:dyDescent="0.35">
      <c r="A150" s="1" t="s">
        <v>1</v>
      </c>
      <c r="B150" s="1" t="s">
        <v>103</v>
      </c>
    </row>
    <row r="151" spans="1:11" x14ac:dyDescent="0.35">
      <c r="A151" t="s">
        <v>2</v>
      </c>
      <c r="B151" t="s">
        <v>600</v>
      </c>
    </row>
    <row r="152" spans="1:11" x14ac:dyDescent="0.35">
      <c r="A152" t="s">
        <v>4</v>
      </c>
      <c r="B152">
        <v>1</v>
      </c>
    </row>
    <row r="153" spans="1:11" x14ac:dyDescent="0.35">
      <c r="A153" t="s">
        <v>5</v>
      </c>
      <c r="B153" t="s">
        <v>921</v>
      </c>
    </row>
    <row r="154" spans="1:11" x14ac:dyDescent="0.35">
      <c r="A154" t="s">
        <v>6</v>
      </c>
      <c r="B154" t="s">
        <v>7</v>
      </c>
    </row>
    <row r="155" spans="1:11" x14ac:dyDescent="0.35">
      <c r="A155" t="s">
        <v>8</v>
      </c>
      <c r="B155" t="s">
        <v>9</v>
      </c>
    </row>
    <row r="156" spans="1:11" x14ac:dyDescent="0.35">
      <c r="A156" t="s">
        <v>942</v>
      </c>
      <c r="B156">
        <v>17.899999999999999</v>
      </c>
    </row>
    <row r="157" spans="1:11" x14ac:dyDescent="0.35">
      <c r="A157" t="s">
        <v>492</v>
      </c>
      <c r="B157" s="31">
        <v>0.14000000000000001</v>
      </c>
    </row>
    <row r="158" spans="1:11" ht="15.5" x14ac:dyDescent="0.35">
      <c r="A158" s="1" t="s">
        <v>13</v>
      </c>
    </row>
    <row r="159" spans="1:11" x14ac:dyDescent="0.35">
      <c r="A159" t="s">
        <v>14</v>
      </c>
      <c r="B159" t="s">
        <v>15</v>
      </c>
      <c r="C159" t="s">
        <v>2</v>
      </c>
      <c r="D159" t="s">
        <v>8</v>
      </c>
      <c r="E159" t="s">
        <v>16</v>
      </c>
      <c r="F159" t="s">
        <v>6</v>
      </c>
      <c r="G159" t="s">
        <v>12</v>
      </c>
      <c r="H159" t="s">
        <v>5</v>
      </c>
    </row>
    <row r="160" spans="1:11" x14ac:dyDescent="0.35">
      <c r="A160" t="s">
        <v>103</v>
      </c>
      <c r="B160">
        <v>1</v>
      </c>
      <c r="C160" t="s">
        <v>600</v>
      </c>
      <c r="D160" t="s">
        <v>9</v>
      </c>
      <c r="E160" t="s">
        <v>920</v>
      </c>
      <c r="F160" t="s">
        <v>18</v>
      </c>
      <c r="G160" t="s">
        <v>19</v>
      </c>
    </row>
    <row r="161" spans="1:8" x14ac:dyDescent="0.35">
      <c r="A161" t="s">
        <v>103</v>
      </c>
      <c r="B161">
        <v>0.14000000000000001</v>
      </c>
      <c r="C161" t="s">
        <v>600</v>
      </c>
      <c r="D161" t="s">
        <v>9</v>
      </c>
      <c r="E161" t="s">
        <v>920</v>
      </c>
      <c r="F161" t="s">
        <v>21</v>
      </c>
      <c r="G161" t="s">
        <v>958</v>
      </c>
    </row>
    <row r="162" spans="1:8" x14ac:dyDescent="0.35">
      <c r="A162" t="s">
        <v>42</v>
      </c>
      <c r="B162">
        <v>7.5716999999999994E-4</v>
      </c>
      <c r="D162" t="s">
        <v>9</v>
      </c>
      <c r="E162" t="s">
        <v>39</v>
      </c>
      <c r="F162" t="s">
        <v>38</v>
      </c>
      <c r="G162" t="s">
        <v>834</v>
      </c>
    </row>
    <row r="163" spans="1:8" x14ac:dyDescent="0.35">
      <c r="A163" t="s">
        <v>42</v>
      </c>
      <c r="B163">
        <v>1.7899999999999998E-6</v>
      </c>
      <c r="D163" t="s">
        <v>9</v>
      </c>
      <c r="E163" t="s">
        <v>39</v>
      </c>
      <c r="F163" t="s">
        <v>38</v>
      </c>
      <c r="G163" t="s">
        <v>835</v>
      </c>
    </row>
    <row r="164" spans="1:8" x14ac:dyDescent="0.35">
      <c r="A164" t="s">
        <v>925</v>
      </c>
      <c r="B164">
        <v>8.9499999999999996E-3</v>
      </c>
      <c r="C164" t="s">
        <v>27</v>
      </c>
      <c r="D164" t="s">
        <v>9</v>
      </c>
      <c r="E164" t="s">
        <v>676</v>
      </c>
      <c r="F164" t="s">
        <v>21</v>
      </c>
      <c r="G164" t="s">
        <v>836</v>
      </c>
      <c r="H164" t="s">
        <v>926</v>
      </c>
    </row>
    <row r="165" spans="1:8" x14ac:dyDescent="0.35">
      <c r="A165" t="s">
        <v>766</v>
      </c>
      <c r="B165">
        <v>3.382384E-3</v>
      </c>
      <c r="C165" t="s">
        <v>27</v>
      </c>
      <c r="D165" t="s">
        <v>9</v>
      </c>
      <c r="E165" t="s">
        <v>676</v>
      </c>
      <c r="F165" t="s">
        <v>21</v>
      </c>
      <c r="G165" t="s">
        <v>837</v>
      </c>
      <c r="H165" t="s">
        <v>767</v>
      </c>
    </row>
    <row r="166" spans="1:8" x14ac:dyDescent="0.35">
      <c r="A166" t="s">
        <v>838</v>
      </c>
      <c r="B166">
        <v>1.9689999999999999E-2</v>
      </c>
      <c r="C166" t="s">
        <v>27</v>
      </c>
      <c r="D166" t="s">
        <v>9</v>
      </c>
      <c r="E166" t="s">
        <v>676</v>
      </c>
      <c r="F166" t="s">
        <v>21</v>
      </c>
      <c r="G166" t="s">
        <v>839</v>
      </c>
      <c r="H166" t="s">
        <v>840</v>
      </c>
    </row>
    <row r="167" spans="1:8" x14ac:dyDescent="0.35">
      <c r="A167" t="s">
        <v>643</v>
      </c>
      <c r="B167">
        <f>0.00179/1000</f>
        <v>1.79E-6</v>
      </c>
      <c r="C167" t="s">
        <v>27</v>
      </c>
      <c r="D167" t="s">
        <v>9</v>
      </c>
      <c r="E167" t="s">
        <v>676</v>
      </c>
      <c r="F167" t="s">
        <v>21</v>
      </c>
      <c r="G167" t="s">
        <v>842</v>
      </c>
      <c r="H167" t="s">
        <v>642</v>
      </c>
    </row>
    <row r="168" spans="1:8" x14ac:dyDescent="0.35">
      <c r="A168" t="s">
        <v>622</v>
      </c>
      <c r="B168">
        <v>5.3699999999999989E-3</v>
      </c>
      <c r="C168" t="s">
        <v>27</v>
      </c>
      <c r="D168" t="s">
        <v>9</v>
      </c>
      <c r="E168" t="s">
        <v>676</v>
      </c>
      <c r="F168" t="s">
        <v>21</v>
      </c>
      <c r="G168" t="s">
        <v>843</v>
      </c>
      <c r="H168" t="s">
        <v>621</v>
      </c>
    </row>
    <row r="169" spans="1:8" x14ac:dyDescent="0.35">
      <c r="A169" t="s">
        <v>845</v>
      </c>
      <c r="B169">
        <v>5.3699999999999989E-3</v>
      </c>
      <c r="C169" t="s">
        <v>27</v>
      </c>
      <c r="D169" t="s">
        <v>9</v>
      </c>
      <c r="E169" t="s">
        <v>676</v>
      </c>
      <c r="F169" t="s">
        <v>21</v>
      </c>
      <c r="G169" t="s">
        <v>846</v>
      </c>
      <c r="H169" t="s">
        <v>847</v>
      </c>
    </row>
    <row r="170" spans="1:8" x14ac:dyDescent="0.35">
      <c r="A170" t="s">
        <v>52</v>
      </c>
      <c r="B170">
        <v>2.3269999999999996E-2</v>
      </c>
      <c r="C170" t="s">
        <v>27</v>
      </c>
      <c r="D170" t="s">
        <v>9</v>
      </c>
      <c r="E170" t="s">
        <v>676</v>
      </c>
      <c r="F170" t="s">
        <v>21</v>
      </c>
      <c r="G170" t="s">
        <v>839</v>
      </c>
      <c r="H170" t="s">
        <v>53</v>
      </c>
    </row>
    <row r="171" spans="1:8" x14ac:dyDescent="0.35">
      <c r="A171" t="s">
        <v>23</v>
      </c>
      <c r="B171">
        <f>0.01295781*43</f>
        <v>0.55718582999999999</v>
      </c>
      <c r="C171" t="s">
        <v>27</v>
      </c>
      <c r="D171" t="s">
        <v>20</v>
      </c>
      <c r="E171" t="s">
        <v>676</v>
      </c>
      <c r="F171" t="s">
        <v>21</v>
      </c>
      <c r="G171" t="s">
        <v>848</v>
      </c>
      <c r="H171" t="s">
        <v>24</v>
      </c>
    </row>
    <row r="172" spans="1:8" x14ac:dyDescent="0.35">
      <c r="A172" t="s">
        <v>699</v>
      </c>
      <c r="B172">
        <v>7.464300000000001E-3</v>
      </c>
      <c r="C172" t="s">
        <v>665</v>
      </c>
      <c r="D172" t="s">
        <v>31</v>
      </c>
      <c r="E172" t="s">
        <v>681</v>
      </c>
      <c r="F172" t="s">
        <v>21</v>
      </c>
      <c r="G172" t="s">
        <v>837</v>
      </c>
      <c r="H172" t="s">
        <v>701</v>
      </c>
    </row>
    <row r="173" spans="1:8" x14ac:dyDescent="0.35">
      <c r="A173" t="s">
        <v>699</v>
      </c>
      <c r="B173">
        <v>1.9407179999999997E-3</v>
      </c>
      <c r="C173" t="s">
        <v>665</v>
      </c>
      <c r="D173" t="s">
        <v>31</v>
      </c>
      <c r="E173" t="s">
        <v>681</v>
      </c>
      <c r="F173" t="s">
        <v>21</v>
      </c>
      <c r="G173" t="s">
        <v>849</v>
      </c>
      <c r="H173" t="s">
        <v>701</v>
      </c>
    </row>
    <row r="174" spans="1:8" x14ac:dyDescent="0.35">
      <c r="A174" t="s">
        <v>850</v>
      </c>
      <c r="B174">
        <v>3.923859E-3</v>
      </c>
      <c r="C174" t="s">
        <v>600</v>
      </c>
      <c r="D174" t="s">
        <v>9</v>
      </c>
      <c r="E174" t="s">
        <v>676</v>
      </c>
      <c r="F174" t="s">
        <v>21</v>
      </c>
      <c r="G174" t="s">
        <v>837</v>
      </c>
      <c r="H174" t="s">
        <v>851</v>
      </c>
    </row>
    <row r="175" spans="1:8" x14ac:dyDescent="0.35">
      <c r="A175" t="s">
        <v>43</v>
      </c>
      <c r="B175">
        <f>50/1000</f>
        <v>0.05</v>
      </c>
      <c r="C175" t="s">
        <v>600</v>
      </c>
      <c r="D175" t="s">
        <v>45</v>
      </c>
      <c r="F175" t="s">
        <v>21</v>
      </c>
      <c r="G175" t="s">
        <v>936</v>
      </c>
      <c r="H175" t="s">
        <v>44</v>
      </c>
    </row>
    <row r="176" spans="1:8" x14ac:dyDescent="0.35">
      <c r="A176" t="s">
        <v>116</v>
      </c>
      <c r="B176">
        <f>17.9*(1-B157)</f>
        <v>15.393999999999998</v>
      </c>
      <c r="D176" t="s">
        <v>20</v>
      </c>
      <c r="E176" t="s">
        <v>122</v>
      </c>
      <c r="F176" t="s">
        <v>38</v>
      </c>
      <c r="G176" t="s">
        <v>871</v>
      </c>
    </row>
    <row r="177" spans="1:8" x14ac:dyDescent="0.35">
      <c r="A177" t="s">
        <v>120</v>
      </c>
      <c r="B177" s="7">
        <f>0.444*(44/12)*(1-B157)</f>
        <v>1.40008</v>
      </c>
      <c r="D177" t="s">
        <v>9</v>
      </c>
      <c r="E177" t="s">
        <v>121</v>
      </c>
      <c r="F177" t="s">
        <v>38</v>
      </c>
      <c r="G177" t="s">
        <v>963</v>
      </c>
    </row>
    <row r="178" spans="1:8" x14ac:dyDescent="0.35">
      <c r="A178" t="s">
        <v>205</v>
      </c>
      <c r="B178" s="4">
        <f>1/(7129/10000)</f>
        <v>1.4027212792818067</v>
      </c>
      <c r="D178" t="s">
        <v>123</v>
      </c>
      <c r="E178" t="s">
        <v>124</v>
      </c>
      <c r="F178" t="s">
        <v>38</v>
      </c>
      <c r="G178" t="s">
        <v>947</v>
      </c>
    </row>
    <row r="179" spans="1:8" x14ac:dyDescent="0.35">
      <c r="A179" t="s">
        <v>206</v>
      </c>
      <c r="B179" s="4">
        <f>1/(7129/10000)</f>
        <v>1.4027212792818067</v>
      </c>
      <c r="D179" t="s">
        <v>125</v>
      </c>
      <c r="E179" t="s">
        <v>124</v>
      </c>
      <c r="F179" t="s">
        <v>38</v>
      </c>
      <c r="G179" t="s">
        <v>943</v>
      </c>
    </row>
    <row r="180" spans="1:8" x14ac:dyDescent="0.35">
      <c r="A180" t="s">
        <v>207</v>
      </c>
      <c r="B180" s="4">
        <f>1/(7129/10000)</f>
        <v>1.4027212792818067</v>
      </c>
      <c r="D180" t="s">
        <v>125</v>
      </c>
      <c r="E180" t="s">
        <v>124</v>
      </c>
      <c r="F180" t="s">
        <v>38</v>
      </c>
      <c r="G180" t="s">
        <v>943</v>
      </c>
    </row>
    <row r="182" spans="1:8" ht="15.5" x14ac:dyDescent="0.35">
      <c r="A182" s="1" t="s">
        <v>1</v>
      </c>
      <c r="B182" s="1" t="s">
        <v>941</v>
      </c>
    </row>
    <row r="183" spans="1:8" x14ac:dyDescent="0.35">
      <c r="A183" t="s">
        <v>2</v>
      </c>
      <c r="B183" t="s">
        <v>600</v>
      </c>
    </row>
    <row r="184" spans="1:8" x14ac:dyDescent="0.35">
      <c r="A184" t="s">
        <v>4</v>
      </c>
      <c r="B184">
        <v>1</v>
      </c>
    </row>
    <row r="185" spans="1:8" ht="15.5" x14ac:dyDescent="0.35">
      <c r="A185" t="s">
        <v>5</v>
      </c>
      <c r="B185" s="2" t="s">
        <v>918</v>
      </c>
    </row>
    <row r="186" spans="1:8" x14ac:dyDescent="0.35">
      <c r="A186" t="s">
        <v>6</v>
      </c>
      <c r="B186" t="s">
        <v>7</v>
      </c>
    </row>
    <row r="187" spans="1:8" x14ac:dyDescent="0.35">
      <c r="A187" t="s">
        <v>8</v>
      </c>
      <c r="B187" t="s">
        <v>9</v>
      </c>
    </row>
    <row r="188" spans="1:8" x14ac:dyDescent="0.35">
      <c r="A188" t="s">
        <v>10</v>
      </c>
      <c r="B188" t="s">
        <v>674</v>
      </c>
    </row>
    <row r="189" spans="1:8" x14ac:dyDescent="0.35">
      <c r="A189" t="s">
        <v>12</v>
      </c>
      <c r="B189" t="s">
        <v>919</v>
      </c>
    </row>
    <row r="190" spans="1:8" ht="15.5" x14ac:dyDescent="0.35">
      <c r="A190" s="1" t="s">
        <v>13</v>
      </c>
    </row>
    <row r="191" spans="1:8" x14ac:dyDescent="0.35">
      <c r="A191" t="s">
        <v>14</v>
      </c>
      <c r="B191" t="s">
        <v>15</v>
      </c>
      <c r="C191" t="s">
        <v>2</v>
      </c>
      <c r="D191" t="s">
        <v>8</v>
      </c>
      <c r="E191" t="s">
        <v>16</v>
      </c>
      <c r="F191" t="s">
        <v>6</v>
      </c>
      <c r="G191" t="s">
        <v>12</v>
      </c>
      <c r="H191" t="s">
        <v>5</v>
      </c>
    </row>
    <row r="192" spans="1:8" ht="15.5" x14ac:dyDescent="0.35">
      <c r="A192" s="2" t="s">
        <v>941</v>
      </c>
      <c r="B192">
        <v>1</v>
      </c>
      <c r="C192" t="s">
        <v>600</v>
      </c>
      <c r="D192" t="s">
        <v>9</v>
      </c>
      <c r="E192" t="s">
        <v>920</v>
      </c>
      <c r="F192" t="s">
        <v>18</v>
      </c>
      <c r="G192" t="s">
        <v>19</v>
      </c>
    </row>
    <row r="193" spans="1:8" x14ac:dyDescent="0.35">
      <c r="A193" t="s">
        <v>103</v>
      </c>
      <c r="B193">
        <f>31.1168/B176</f>
        <v>2.0213589710276736</v>
      </c>
      <c r="C193" t="s">
        <v>600</v>
      </c>
      <c r="D193" t="s">
        <v>9</v>
      </c>
      <c r="E193" t="s">
        <v>676</v>
      </c>
      <c r="F193" t="s">
        <v>21</v>
      </c>
      <c r="G193" t="s">
        <v>922</v>
      </c>
    </row>
    <row r="194" spans="1:8" x14ac:dyDescent="0.35">
      <c r="A194" t="s">
        <v>677</v>
      </c>
      <c r="B194">
        <v>4.3500600000000002E-3</v>
      </c>
      <c r="C194" t="s">
        <v>600</v>
      </c>
      <c r="D194" t="s">
        <v>9</v>
      </c>
      <c r="E194" t="s">
        <v>676</v>
      </c>
      <c r="F194" t="s">
        <v>21</v>
      </c>
      <c r="G194" t="s">
        <v>678</v>
      </c>
      <c r="H194" t="s">
        <v>679</v>
      </c>
    </row>
    <row r="195" spans="1:8" x14ac:dyDescent="0.35">
      <c r="A195" t="s">
        <v>680</v>
      </c>
      <c r="B195">
        <v>6.2462400000000002</v>
      </c>
      <c r="C195" t="s">
        <v>600</v>
      </c>
      <c r="D195" t="s">
        <v>20</v>
      </c>
      <c r="E195" t="s">
        <v>681</v>
      </c>
      <c r="F195" t="s">
        <v>21</v>
      </c>
      <c r="G195" t="s">
        <v>682</v>
      </c>
      <c r="H195" t="s">
        <v>683</v>
      </c>
    </row>
    <row r="196" spans="1:8" x14ac:dyDescent="0.35">
      <c r="A196" t="s">
        <v>684</v>
      </c>
      <c r="B196">
        <v>1.8914896000000003E-3</v>
      </c>
      <c r="C196" t="s">
        <v>600</v>
      </c>
      <c r="D196" t="s">
        <v>9</v>
      </c>
      <c r="E196" t="s">
        <v>676</v>
      </c>
      <c r="F196" t="s">
        <v>21</v>
      </c>
      <c r="G196" t="s">
        <v>685</v>
      </c>
      <c r="H196" t="s">
        <v>686</v>
      </c>
    </row>
    <row r="197" spans="1:8" x14ac:dyDescent="0.35">
      <c r="A197" t="s">
        <v>401</v>
      </c>
      <c r="B197">
        <v>7.1877520000000012E-3</v>
      </c>
      <c r="C197" t="s">
        <v>27</v>
      </c>
      <c r="D197" t="s">
        <v>9</v>
      </c>
      <c r="E197" t="s">
        <v>676</v>
      </c>
      <c r="F197" t="s">
        <v>21</v>
      </c>
      <c r="G197" t="s">
        <v>687</v>
      </c>
      <c r="H197" t="s">
        <v>402</v>
      </c>
    </row>
    <row r="198" spans="1:8" x14ac:dyDescent="0.35">
      <c r="A198" t="s">
        <v>263</v>
      </c>
      <c r="B198">
        <v>2.2696960000000003E-3</v>
      </c>
      <c r="C198" t="s">
        <v>600</v>
      </c>
      <c r="D198" t="s">
        <v>9</v>
      </c>
      <c r="E198" t="s">
        <v>676</v>
      </c>
      <c r="F198" t="s">
        <v>21</v>
      </c>
      <c r="G198" t="s">
        <v>688</v>
      </c>
      <c r="H198" t="s">
        <v>264</v>
      </c>
    </row>
    <row r="199" spans="1:8" x14ac:dyDescent="0.35">
      <c r="A199" t="s">
        <v>108</v>
      </c>
      <c r="B199">
        <v>0.29172000000000003</v>
      </c>
      <c r="C199" t="s">
        <v>665</v>
      </c>
      <c r="D199" t="s">
        <v>45</v>
      </c>
      <c r="E199" t="s">
        <v>681</v>
      </c>
      <c r="F199" t="s">
        <v>21</v>
      </c>
      <c r="G199" t="s">
        <v>689</v>
      </c>
      <c r="H199" t="s">
        <v>111</v>
      </c>
    </row>
    <row r="200" spans="1:8" x14ac:dyDescent="0.35">
      <c r="A200" t="s">
        <v>108</v>
      </c>
      <c r="B200">
        <v>8.0079999999999998E-2</v>
      </c>
      <c r="C200" t="s">
        <v>665</v>
      </c>
      <c r="D200" t="s">
        <v>45</v>
      </c>
      <c r="E200" t="s">
        <v>681</v>
      </c>
      <c r="F200" t="s">
        <v>21</v>
      </c>
      <c r="G200" t="s">
        <v>923</v>
      </c>
      <c r="H200" t="s">
        <v>111</v>
      </c>
    </row>
    <row r="201" spans="1:8" x14ac:dyDescent="0.35">
      <c r="A201" t="s">
        <v>105</v>
      </c>
      <c r="B201">
        <v>0.16302000000000003</v>
      </c>
      <c r="C201" t="s">
        <v>600</v>
      </c>
      <c r="D201" t="s">
        <v>45</v>
      </c>
      <c r="E201" t="s">
        <v>681</v>
      </c>
      <c r="F201" t="s">
        <v>21</v>
      </c>
      <c r="G201" t="s">
        <v>690</v>
      </c>
      <c r="H201" t="s">
        <v>106</v>
      </c>
    </row>
    <row r="202" spans="1:8" x14ac:dyDescent="0.35">
      <c r="A202" t="s">
        <v>691</v>
      </c>
      <c r="B202">
        <v>0.31459999999999999</v>
      </c>
      <c r="C202" t="s">
        <v>600</v>
      </c>
      <c r="D202" t="s">
        <v>45</v>
      </c>
      <c r="E202" t="s">
        <v>681</v>
      </c>
      <c r="F202" t="s">
        <v>21</v>
      </c>
      <c r="G202" t="s">
        <v>924</v>
      </c>
      <c r="H202" t="s">
        <v>692</v>
      </c>
    </row>
    <row r="203" spans="1:8" x14ac:dyDescent="0.35">
      <c r="A203" t="s">
        <v>691</v>
      </c>
      <c r="B203">
        <v>0.35178000000000004</v>
      </c>
      <c r="C203" t="s">
        <v>600</v>
      </c>
      <c r="D203" t="s">
        <v>45</v>
      </c>
      <c r="E203" t="s">
        <v>681</v>
      </c>
      <c r="F203" t="s">
        <v>21</v>
      </c>
      <c r="G203" t="s">
        <v>693</v>
      </c>
      <c r="H203" t="s">
        <v>692</v>
      </c>
    </row>
    <row r="204" spans="1:8" x14ac:dyDescent="0.35">
      <c r="A204" t="s">
        <v>691</v>
      </c>
      <c r="B204">
        <v>0.1716</v>
      </c>
      <c r="C204" t="s">
        <v>600</v>
      </c>
      <c r="D204" t="s">
        <v>45</v>
      </c>
      <c r="E204" t="s">
        <v>681</v>
      </c>
      <c r="F204" t="s">
        <v>21</v>
      </c>
      <c r="G204" t="s">
        <v>694</v>
      </c>
      <c r="H204" t="s">
        <v>692</v>
      </c>
    </row>
    <row r="205" spans="1:8" x14ac:dyDescent="0.35">
      <c r="A205" t="s">
        <v>695</v>
      </c>
      <c r="B205">
        <v>1.19262</v>
      </c>
      <c r="C205" t="s">
        <v>27</v>
      </c>
      <c r="D205" t="s">
        <v>45</v>
      </c>
      <c r="E205" t="s">
        <v>681</v>
      </c>
      <c r="F205" t="s">
        <v>21</v>
      </c>
      <c r="G205" t="s">
        <v>696</v>
      </c>
      <c r="H205" t="s">
        <v>697</v>
      </c>
    </row>
    <row r="206" spans="1:8" x14ac:dyDescent="0.35">
      <c r="A206" t="s">
        <v>626</v>
      </c>
      <c r="B206">
        <v>7.5658440000000004E-3</v>
      </c>
      <c r="C206" t="s">
        <v>27</v>
      </c>
      <c r="D206" t="s">
        <v>9</v>
      </c>
      <c r="E206" t="s">
        <v>676</v>
      </c>
      <c r="F206" t="s">
        <v>21</v>
      </c>
      <c r="G206" t="s">
        <v>698</v>
      </c>
      <c r="H206" t="s">
        <v>625</v>
      </c>
    </row>
    <row r="207" spans="1:8" x14ac:dyDescent="0.35">
      <c r="A207" t="s">
        <v>699</v>
      </c>
      <c r="B207">
        <v>0.18883150000000004</v>
      </c>
      <c r="C207" t="s">
        <v>665</v>
      </c>
      <c r="D207" t="s">
        <v>31</v>
      </c>
      <c r="E207" t="s">
        <v>681</v>
      </c>
      <c r="F207" t="s">
        <v>21</v>
      </c>
      <c r="G207" t="s">
        <v>700</v>
      </c>
      <c r="H207" t="s">
        <v>701</v>
      </c>
    </row>
    <row r="208" spans="1:8" x14ac:dyDescent="0.35">
      <c r="A208" t="s">
        <v>699</v>
      </c>
      <c r="B208">
        <v>3.3711392000000007E-2</v>
      </c>
      <c r="C208" t="s">
        <v>665</v>
      </c>
      <c r="D208" t="s">
        <v>31</v>
      </c>
      <c r="E208" t="s">
        <v>681</v>
      </c>
      <c r="F208" t="s">
        <v>21</v>
      </c>
      <c r="G208" t="s">
        <v>702</v>
      </c>
      <c r="H208" t="s">
        <v>701</v>
      </c>
    </row>
    <row r="209" spans="1:11" x14ac:dyDescent="0.35">
      <c r="A209" t="s">
        <v>699</v>
      </c>
      <c r="B209">
        <v>4.6750704000000001E-3</v>
      </c>
      <c r="C209" t="s">
        <v>665</v>
      </c>
      <c r="D209" t="s">
        <v>31</v>
      </c>
      <c r="E209" t="s">
        <v>681</v>
      </c>
      <c r="F209" t="s">
        <v>21</v>
      </c>
      <c r="G209" t="s">
        <v>703</v>
      </c>
      <c r="H209" t="s">
        <v>701</v>
      </c>
    </row>
    <row r="210" spans="1:11" x14ac:dyDescent="0.35">
      <c r="A210" t="s">
        <v>201</v>
      </c>
      <c r="B210" s="6">
        <f>('Cozzolini 2018'!B193*'Cozzolini 2018'!B177*(1+B161))-Allocation!$B$13</f>
        <v>1.3122732656983251</v>
      </c>
      <c r="D210" t="s">
        <v>9</v>
      </c>
      <c r="E210" t="s">
        <v>39</v>
      </c>
      <c r="F210" t="s">
        <v>38</v>
      </c>
      <c r="G210" t="s">
        <v>704</v>
      </c>
    </row>
    <row r="212" spans="1:11" ht="15.5" x14ac:dyDescent="0.35">
      <c r="A212" s="1" t="s">
        <v>1</v>
      </c>
      <c r="B212" s="1" t="s">
        <v>917</v>
      </c>
    </row>
    <row r="213" spans="1:11" x14ac:dyDescent="0.35">
      <c r="A213" t="s">
        <v>2</v>
      </c>
      <c r="B213" t="s">
        <v>600</v>
      </c>
    </row>
    <row r="214" spans="1:11" x14ac:dyDescent="0.35">
      <c r="A214" t="s">
        <v>4</v>
      </c>
      <c r="B214">
        <v>1</v>
      </c>
    </row>
    <row r="215" spans="1:11" ht="15.5" x14ac:dyDescent="0.35">
      <c r="A215" t="s">
        <v>5</v>
      </c>
      <c r="B215" s="2" t="s">
        <v>350</v>
      </c>
    </row>
    <row r="216" spans="1:11" x14ac:dyDescent="0.35">
      <c r="A216" t="s">
        <v>6</v>
      </c>
      <c r="B216" t="s">
        <v>7</v>
      </c>
    </row>
    <row r="217" spans="1:11" x14ac:dyDescent="0.35">
      <c r="A217" t="s">
        <v>8</v>
      </c>
      <c r="B217" t="s">
        <v>9</v>
      </c>
    </row>
    <row r="218" spans="1:11" x14ac:dyDescent="0.35">
      <c r="A218" t="s">
        <v>12</v>
      </c>
      <c r="B218" t="s">
        <v>672</v>
      </c>
    </row>
    <row r="219" spans="1:11" ht="15.5" x14ac:dyDescent="0.35">
      <c r="A219" s="1" t="s">
        <v>13</v>
      </c>
    </row>
    <row r="220" spans="1:11" x14ac:dyDescent="0.35">
      <c r="A220" t="s">
        <v>14</v>
      </c>
      <c r="B220" t="s">
        <v>15</v>
      </c>
      <c r="C220" t="s">
        <v>2</v>
      </c>
      <c r="D220" t="s">
        <v>8</v>
      </c>
      <c r="E220" t="s">
        <v>16</v>
      </c>
      <c r="F220" t="s">
        <v>6</v>
      </c>
      <c r="G220" t="s">
        <v>351</v>
      </c>
      <c r="H220" t="s">
        <v>352</v>
      </c>
      <c r="I220" t="s">
        <v>17</v>
      </c>
      <c r="J220" t="s">
        <v>12</v>
      </c>
      <c r="K220" t="s">
        <v>5</v>
      </c>
    </row>
    <row r="221" spans="1:11" x14ac:dyDescent="0.35">
      <c r="A221" t="s">
        <v>917</v>
      </c>
      <c r="B221">
        <v>1</v>
      </c>
      <c r="C221" t="s">
        <v>600</v>
      </c>
      <c r="D221" t="s">
        <v>9</v>
      </c>
      <c r="F221" t="s">
        <v>18</v>
      </c>
      <c r="I221">
        <v>100</v>
      </c>
      <c r="J221" t="s">
        <v>19</v>
      </c>
      <c r="K221" t="s">
        <v>350</v>
      </c>
    </row>
    <row r="222" spans="1:11" x14ac:dyDescent="0.35">
      <c r="A222" t="s">
        <v>918</v>
      </c>
      <c r="B222">
        <v>1.00057</v>
      </c>
      <c r="C222" t="s">
        <v>600</v>
      </c>
      <c r="D222" t="s">
        <v>9</v>
      </c>
      <c r="F222" t="s">
        <v>21</v>
      </c>
      <c r="K222" t="s">
        <v>918</v>
      </c>
    </row>
    <row r="223" spans="1:11" x14ac:dyDescent="0.35">
      <c r="A223" t="s">
        <v>30</v>
      </c>
      <c r="B223">
        <v>6.7000000000000002E-3</v>
      </c>
      <c r="C223" t="s">
        <v>600</v>
      </c>
      <c r="D223" t="s">
        <v>31</v>
      </c>
      <c r="F223" t="s">
        <v>21</v>
      </c>
      <c r="K223" t="s">
        <v>32</v>
      </c>
    </row>
    <row r="224" spans="1:11" x14ac:dyDescent="0.35">
      <c r="A224" t="s">
        <v>353</v>
      </c>
      <c r="B224">
        <v>-1.6799999999999999E-4</v>
      </c>
      <c r="C224" t="s">
        <v>665</v>
      </c>
      <c r="D224" t="s">
        <v>9</v>
      </c>
      <c r="F224" t="s">
        <v>21</v>
      </c>
      <c r="K224" t="s">
        <v>354</v>
      </c>
    </row>
    <row r="225" spans="1:11" x14ac:dyDescent="0.35">
      <c r="A225" t="s">
        <v>355</v>
      </c>
      <c r="B225" s="7">
        <v>5.8399999999999999E-4</v>
      </c>
      <c r="C225" t="s">
        <v>673</v>
      </c>
      <c r="D225" t="s">
        <v>20</v>
      </c>
      <c r="F225" t="s">
        <v>21</v>
      </c>
      <c r="K225" t="s">
        <v>356</v>
      </c>
    </row>
    <row r="226" spans="1:11" x14ac:dyDescent="0.35">
      <c r="A226" t="s">
        <v>357</v>
      </c>
      <c r="B226" s="7">
        <v>2.5999999999999998E-10</v>
      </c>
      <c r="C226" t="s">
        <v>600</v>
      </c>
      <c r="D226" t="s">
        <v>8</v>
      </c>
      <c r="F226" t="s">
        <v>21</v>
      </c>
      <c r="K226" t="s">
        <v>358</v>
      </c>
    </row>
    <row r="227" spans="1:11" x14ac:dyDescent="0.35">
      <c r="A227" t="s">
        <v>359</v>
      </c>
      <c r="B227" s="7">
        <v>-6.2700000000000001E-6</v>
      </c>
      <c r="C227" t="s">
        <v>673</v>
      </c>
      <c r="D227" t="s">
        <v>9</v>
      </c>
      <c r="F227" t="s">
        <v>21</v>
      </c>
      <c r="K227" t="s">
        <v>360</v>
      </c>
    </row>
    <row r="228" spans="1:11" x14ac:dyDescent="0.35">
      <c r="A228" t="s">
        <v>361</v>
      </c>
      <c r="B228" s="7">
        <v>-7.4999999999999993E-5</v>
      </c>
      <c r="C228" t="s">
        <v>665</v>
      </c>
      <c r="D228" t="s">
        <v>131</v>
      </c>
      <c r="F228" t="s">
        <v>21</v>
      </c>
      <c r="K228" t="s">
        <v>362</v>
      </c>
    </row>
    <row r="229" spans="1:11" x14ac:dyDescent="0.35">
      <c r="A229" t="s">
        <v>363</v>
      </c>
      <c r="B229" s="7">
        <v>6.8900000000000005E-4</v>
      </c>
      <c r="C229" t="s">
        <v>665</v>
      </c>
      <c r="D229" t="s">
        <v>9</v>
      </c>
      <c r="F229" t="s">
        <v>21</v>
      </c>
      <c r="K229" t="s">
        <v>364</v>
      </c>
    </row>
    <row r="230" spans="1:11" x14ac:dyDescent="0.35">
      <c r="A230" t="s">
        <v>108</v>
      </c>
      <c r="B230">
        <v>3.3599999999999998E-2</v>
      </c>
      <c r="C230" t="s">
        <v>665</v>
      </c>
      <c r="D230" t="s">
        <v>45</v>
      </c>
      <c r="F230" t="s">
        <v>21</v>
      </c>
      <c r="K230" t="s">
        <v>111</v>
      </c>
    </row>
    <row r="231" spans="1:11" x14ac:dyDescent="0.35">
      <c r="A231" t="s">
        <v>365</v>
      </c>
      <c r="B231">
        <v>3.2599999999999997E-2</v>
      </c>
      <c r="C231" t="s">
        <v>600</v>
      </c>
      <c r="D231" t="s">
        <v>45</v>
      </c>
      <c r="F231" t="s">
        <v>21</v>
      </c>
      <c r="K231" t="s">
        <v>366</v>
      </c>
    </row>
    <row r="232" spans="1:11" x14ac:dyDescent="0.35">
      <c r="A232" t="s">
        <v>367</v>
      </c>
      <c r="B232" s="7">
        <v>-6.8899999999999999E-7</v>
      </c>
      <c r="C232" t="s">
        <v>665</v>
      </c>
      <c r="D232" t="s">
        <v>131</v>
      </c>
      <c r="F232" t="s">
        <v>21</v>
      </c>
      <c r="K232" t="s">
        <v>368</v>
      </c>
    </row>
    <row r="233" spans="1:11" ht="16.25" customHeight="1" x14ac:dyDescent="0.35">
      <c r="A233" s="1"/>
      <c r="B233" s="1"/>
    </row>
    <row r="234" spans="1:11" ht="15.5" x14ac:dyDescent="0.35">
      <c r="A234" s="1" t="s">
        <v>1</v>
      </c>
      <c r="B234" s="1" t="s">
        <v>953</v>
      </c>
    </row>
    <row r="235" spans="1:11" x14ac:dyDescent="0.35">
      <c r="A235" t="s">
        <v>2</v>
      </c>
      <c r="B235" t="s">
        <v>600</v>
      </c>
    </row>
    <row r="236" spans="1:11" x14ac:dyDescent="0.35">
      <c r="A236" t="s">
        <v>4</v>
      </c>
      <c r="B236">
        <v>1</v>
      </c>
    </row>
    <row r="237" spans="1:11" x14ac:dyDescent="0.35">
      <c r="A237" t="s">
        <v>5</v>
      </c>
      <c r="B237" t="s">
        <v>710</v>
      </c>
    </row>
    <row r="238" spans="1:11" x14ac:dyDescent="0.35">
      <c r="A238" t="s">
        <v>6</v>
      </c>
      <c r="B238" t="s">
        <v>7</v>
      </c>
    </row>
    <row r="239" spans="1:11" x14ac:dyDescent="0.35">
      <c r="A239" t="s">
        <v>8</v>
      </c>
      <c r="B239" t="s">
        <v>9</v>
      </c>
    </row>
    <row r="240" spans="1:11" x14ac:dyDescent="0.35">
      <c r="A240" t="s">
        <v>954</v>
      </c>
      <c r="B240">
        <v>80.760000000000005</v>
      </c>
    </row>
    <row r="241" spans="1:8" x14ac:dyDescent="0.35">
      <c r="A241" t="s">
        <v>931</v>
      </c>
      <c r="B241">
        <v>16.3</v>
      </c>
    </row>
    <row r="242" spans="1:8" x14ac:dyDescent="0.35">
      <c r="A242" t="s">
        <v>937</v>
      </c>
      <c r="B242" s="31">
        <v>0.75</v>
      </c>
    </row>
    <row r="243" spans="1:8" ht="15.5" x14ac:dyDescent="0.35">
      <c r="A243" s="1" t="s">
        <v>13</v>
      </c>
    </row>
    <row r="244" spans="1:8" x14ac:dyDescent="0.35">
      <c r="A244" t="s">
        <v>14</v>
      </c>
      <c r="B244" t="s">
        <v>15</v>
      </c>
      <c r="C244" t="s">
        <v>2</v>
      </c>
      <c r="D244" t="s">
        <v>8</v>
      </c>
      <c r="E244" t="s">
        <v>16</v>
      </c>
      <c r="F244" t="s">
        <v>6</v>
      </c>
      <c r="G244" t="s">
        <v>12</v>
      </c>
      <c r="H244" t="s">
        <v>5</v>
      </c>
    </row>
    <row r="245" spans="1:8" x14ac:dyDescent="0.35">
      <c r="A245" t="s">
        <v>953</v>
      </c>
      <c r="B245">
        <v>1</v>
      </c>
      <c r="C245" t="s">
        <v>600</v>
      </c>
      <c r="D245" t="s">
        <v>9</v>
      </c>
      <c r="E245" t="s">
        <v>709</v>
      </c>
      <c r="F245" t="s">
        <v>18</v>
      </c>
      <c r="G245" t="s">
        <v>878</v>
      </c>
      <c r="H245" t="s">
        <v>710</v>
      </c>
    </row>
    <row r="246" spans="1:8" x14ac:dyDescent="0.35">
      <c r="A246" t="s">
        <v>953</v>
      </c>
      <c r="B246">
        <v>0.14000000000000001</v>
      </c>
      <c r="C246" t="s">
        <v>600</v>
      </c>
      <c r="D246" t="s">
        <v>9</v>
      </c>
      <c r="E246" t="s">
        <v>709</v>
      </c>
      <c r="F246" t="s">
        <v>21</v>
      </c>
      <c r="G246" t="s">
        <v>955</v>
      </c>
      <c r="H246" t="s">
        <v>710</v>
      </c>
    </row>
    <row r="247" spans="1:8" x14ac:dyDescent="0.35">
      <c r="A247" t="s">
        <v>838</v>
      </c>
      <c r="B247">
        <v>1.42625E-3</v>
      </c>
      <c r="C247" t="s">
        <v>27</v>
      </c>
      <c r="D247" t="s">
        <v>9</v>
      </c>
      <c r="E247" t="s">
        <v>676</v>
      </c>
      <c r="F247" t="s">
        <v>21</v>
      </c>
      <c r="G247" t="s">
        <v>879</v>
      </c>
      <c r="H247" t="s">
        <v>840</v>
      </c>
    </row>
    <row r="248" spans="1:8" x14ac:dyDescent="0.35">
      <c r="A248" t="s">
        <v>643</v>
      </c>
      <c r="B248">
        <f>0.00020375/1000</f>
        <v>2.0374999999999998E-7</v>
      </c>
      <c r="C248" t="s">
        <v>27</v>
      </c>
      <c r="D248" t="s">
        <v>9</v>
      </c>
      <c r="E248" t="s">
        <v>676</v>
      </c>
      <c r="F248" t="s">
        <v>21</v>
      </c>
      <c r="G248" t="s">
        <v>880</v>
      </c>
      <c r="H248" t="s">
        <v>642</v>
      </c>
    </row>
    <row r="249" spans="1:8" x14ac:dyDescent="0.35">
      <c r="A249" t="s">
        <v>622</v>
      </c>
      <c r="B249">
        <v>6.1124999999999992E-4</v>
      </c>
      <c r="C249" t="s">
        <v>27</v>
      </c>
      <c r="D249" t="s">
        <v>9</v>
      </c>
      <c r="E249" t="s">
        <v>676</v>
      </c>
      <c r="F249" t="s">
        <v>21</v>
      </c>
      <c r="G249" t="s">
        <v>881</v>
      </c>
      <c r="H249" t="s">
        <v>621</v>
      </c>
    </row>
    <row r="250" spans="1:8" x14ac:dyDescent="0.35">
      <c r="A250" t="s">
        <v>845</v>
      </c>
      <c r="B250">
        <v>1.0594999999999999E-3</v>
      </c>
      <c r="C250" t="s">
        <v>27</v>
      </c>
      <c r="D250" t="s">
        <v>9</v>
      </c>
      <c r="E250" t="s">
        <v>676</v>
      </c>
      <c r="F250" t="s">
        <v>21</v>
      </c>
      <c r="G250" t="s">
        <v>882</v>
      </c>
      <c r="H250" t="s">
        <v>847</v>
      </c>
    </row>
    <row r="251" spans="1:8" x14ac:dyDescent="0.35">
      <c r="A251" t="s">
        <v>52</v>
      </c>
      <c r="B251">
        <v>4.4010000000000004E-3</v>
      </c>
      <c r="C251" t="s">
        <v>27</v>
      </c>
      <c r="D251" t="s">
        <v>9</v>
      </c>
      <c r="E251" t="s">
        <v>676</v>
      </c>
      <c r="F251" t="s">
        <v>21</v>
      </c>
      <c r="G251" t="s">
        <v>883</v>
      </c>
      <c r="H251" t="s">
        <v>53</v>
      </c>
    </row>
    <row r="252" spans="1:8" x14ac:dyDescent="0.35">
      <c r="A252" t="s">
        <v>884</v>
      </c>
      <c r="B252">
        <v>4.0750000000000008E-5</v>
      </c>
      <c r="C252" t="s">
        <v>27</v>
      </c>
      <c r="D252" t="s">
        <v>9</v>
      </c>
      <c r="E252" t="s">
        <v>676</v>
      </c>
      <c r="F252" t="s">
        <v>21</v>
      </c>
      <c r="G252" t="s">
        <v>885</v>
      </c>
      <c r="H252" t="s">
        <v>886</v>
      </c>
    </row>
    <row r="253" spans="1:8" x14ac:dyDescent="0.35">
      <c r="A253" t="s">
        <v>23</v>
      </c>
      <c r="B253">
        <f>0.0009927515*43</f>
        <v>4.2688314499999998E-2</v>
      </c>
      <c r="C253" t="s">
        <v>27</v>
      </c>
      <c r="D253" t="s">
        <v>20</v>
      </c>
      <c r="E253" t="s">
        <v>676</v>
      </c>
      <c r="F253" t="s">
        <v>21</v>
      </c>
      <c r="G253" t="s">
        <v>887</v>
      </c>
      <c r="H253" t="s">
        <v>24</v>
      </c>
    </row>
    <row r="254" spans="1:8" x14ac:dyDescent="0.35">
      <c r="A254" t="s">
        <v>699</v>
      </c>
      <c r="B254">
        <v>4.3048300000000008E-3</v>
      </c>
      <c r="C254" t="s">
        <v>665</v>
      </c>
      <c r="D254" t="s">
        <v>31</v>
      </c>
      <c r="E254" t="s">
        <v>681</v>
      </c>
      <c r="F254" t="s">
        <v>21</v>
      </c>
      <c r="G254" t="s">
        <v>888</v>
      </c>
      <c r="H254" t="s">
        <v>701</v>
      </c>
    </row>
    <row r="255" spans="1:8" x14ac:dyDescent="0.35">
      <c r="A255" t="s">
        <v>699</v>
      </c>
      <c r="B255">
        <v>2.4449999999999997E-3</v>
      </c>
      <c r="C255" t="s">
        <v>665</v>
      </c>
      <c r="D255" t="s">
        <v>31</v>
      </c>
      <c r="E255" t="s">
        <v>681</v>
      </c>
      <c r="F255" t="s">
        <v>21</v>
      </c>
      <c r="G255" t="s">
        <v>889</v>
      </c>
      <c r="H255" t="s">
        <v>701</v>
      </c>
    </row>
    <row r="256" spans="1:8" x14ac:dyDescent="0.35">
      <c r="A256" t="s">
        <v>116</v>
      </c>
      <c r="B256">
        <v>4.0750000000000002</v>
      </c>
      <c r="D256" t="s">
        <v>20</v>
      </c>
      <c r="E256" t="s">
        <v>122</v>
      </c>
      <c r="F256" t="s">
        <v>38</v>
      </c>
      <c r="G256" t="s">
        <v>871</v>
      </c>
    </row>
    <row r="257" spans="1:8" x14ac:dyDescent="0.35">
      <c r="A257" t="s">
        <v>42</v>
      </c>
      <c r="B257">
        <v>5.1222750000000004E-5</v>
      </c>
      <c r="D257" t="s">
        <v>9</v>
      </c>
      <c r="E257" t="s">
        <v>39</v>
      </c>
      <c r="F257" t="s">
        <v>38</v>
      </c>
      <c r="G257" t="s">
        <v>877</v>
      </c>
    </row>
    <row r="258" spans="1:8" x14ac:dyDescent="0.35">
      <c r="A258" t="s">
        <v>42</v>
      </c>
      <c r="B258">
        <v>1.2225E-7</v>
      </c>
      <c r="D258" t="s">
        <v>9</v>
      </c>
      <c r="E258" t="s">
        <v>39</v>
      </c>
      <c r="F258" t="s">
        <v>38</v>
      </c>
      <c r="G258" t="s">
        <v>859</v>
      </c>
    </row>
    <row r="259" spans="1:8" x14ac:dyDescent="0.35">
      <c r="A259" t="s">
        <v>204</v>
      </c>
      <c r="B259">
        <v>4.0750000000000004E-8</v>
      </c>
      <c r="D259" t="s">
        <v>9</v>
      </c>
      <c r="E259" t="s">
        <v>39</v>
      </c>
      <c r="F259" t="s">
        <v>38</v>
      </c>
      <c r="G259" t="s">
        <v>859</v>
      </c>
    </row>
    <row r="260" spans="1:8" x14ac:dyDescent="0.35">
      <c r="A260" t="s">
        <v>43</v>
      </c>
      <c r="B260">
        <f>50/1000</f>
        <v>0.05</v>
      </c>
      <c r="C260" t="s">
        <v>600</v>
      </c>
      <c r="D260" t="s">
        <v>45</v>
      </c>
      <c r="F260" t="s">
        <v>21</v>
      </c>
      <c r="G260" t="s">
        <v>936</v>
      </c>
      <c r="H260" t="s">
        <v>44</v>
      </c>
    </row>
    <row r="261" spans="1:8" x14ac:dyDescent="0.35">
      <c r="A261" t="s">
        <v>120</v>
      </c>
      <c r="B261" s="6">
        <f>0.445*(44/12)*(1-B242)</f>
        <v>0.40791666666666665</v>
      </c>
      <c r="D261" t="s">
        <v>9</v>
      </c>
      <c r="E261" t="s">
        <v>121</v>
      </c>
      <c r="F261" t="s">
        <v>38</v>
      </c>
      <c r="G261" t="s">
        <v>962</v>
      </c>
    </row>
    <row r="262" spans="1:8" x14ac:dyDescent="0.35">
      <c r="A262" t="s">
        <v>205</v>
      </c>
      <c r="B262" s="4">
        <f>1/(($B$240*1000)/10000)</f>
        <v>0.12382367508667656</v>
      </c>
      <c r="D262" t="s">
        <v>123</v>
      </c>
      <c r="E262" t="s">
        <v>124</v>
      </c>
      <c r="F262" t="s">
        <v>38</v>
      </c>
      <c r="G262" t="s">
        <v>947</v>
      </c>
    </row>
    <row r="263" spans="1:8" x14ac:dyDescent="0.35">
      <c r="A263" t="s">
        <v>206</v>
      </c>
      <c r="B263" s="4">
        <f t="shared" ref="B263:B264" si="0">1/(($B$240*1000)/10000)</f>
        <v>0.12382367508667656</v>
      </c>
      <c r="D263" t="s">
        <v>125</v>
      </c>
      <c r="E263" t="s">
        <v>124</v>
      </c>
      <c r="F263" t="s">
        <v>38</v>
      </c>
      <c r="G263" t="s">
        <v>943</v>
      </c>
    </row>
    <row r="264" spans="1:8" x14ac:dyDescent="0.35">
      <c r="A264" t="s">
        <v>207</v>
      </c>
      <c r="B264" s="4">
        <f t="shared" si="0"/>
        <v>0.12382367508667656</v>
      </c>
      <c r="D264" t="s">
        <v>125</v>
      </c>
      <c r="E264" t="s">
        <v>124</v>
      </c>
      <c r="F264" t="s">
        <v>38</v>
      </c>
      <c r="G264" t="s">
        <v>943</v>
      </c>
    </row>
    <row r="266" spans="1:8" ht="15.5" x14ac:dyDescent="0.35">
      <c r="A266" s="1" t="s">
        <v>1</v>
      </c>
      <c r="B266" s="1" t="s">
        <v>956</v>
      </c>
    </row>
    <row r="267" spans="1:8" x14ac:dyDescent="0.35">
      <c r="A267" t="s">
        <v>2</v>
      </c>
      <c r="B267" t="s">
        <v>600</v>
      </c>
    </row>
    <row r="268" spans="1:8" x14ac:dyDescent="0.35">
      <c r="A268" t="s">
        <v>4</v>
      </c>
      <c r="B268">
        <v>1</v>
      </c>
    </row>
    <row r="269" spans="1:8" x14ac:dyDescent="0.35">
      <c r="A269" t="s">
        <v>5</v>
      </c>
      <c r="B269" t="s">
        <v>706</v>
      </c>
    </row>
    <row r="270" spans="1:8" x14ac:dyDescent="0.35">
      <c r="A270" t="s">
        <v>6</v>
      </c>
      <c r="B270" t="s">
        <v>7</v>
      </c>
    </row>
    <row r="271" spans="1:8" x14ac:dyDescent="0.35">
      <c r="A271" t="s">
        <v>10</v>
      </c>
      <c r="B271" t="s">
        <v>674</v>
      </c>
    </row>
    <row r="272" spans="1:8" x14ac:dyDescent="0.35">
      <c r="A272" t="s">
        <v>8</v>
      </c>
      <c r="B272" t="s">
        <v>9</v>
      </c>
    </row>
    <row r="273" spans="1:8" ht="15.5" x14ac:dyDescent="0.35">
      <c r="A273" s="1" t="s">
        <v>13</v>
      </c>
    </row>
    <row r="274" spans="1:8" x14ac:dyDescent="0.35">
      <c r="A274" t="s">
        <v>14</v>
      </c>
      <c r="B274" t="s">
        <v>15</v>
      </c>
      <c r="C274" t="s">
        <v>2</v>
      </c>
      <c r="D274" t="s">
        <v>8</v>
      </c>
      <c r="E274" t="s">
        <v>16</v>
      </c>
      <c r="F274" t="s">
        <v>6</v>
      </c>
      <c r="G274" t="s">
        <v>12</v>
      </c>
      <c r="H274" t="s">
        <v>5</v>
      </c>
    </row>
    <row r="275" spans="1:8" x14ac:dyDescent="0.35">
      <c r="A275" t="s">
        <v>956</v>
      </c>
      <c r="B275">
        <v>1</v>
      </c>
      <c r="C275" t="s">
        <v>600</v>
      </c>
      <c r="D275" t="s">
        <v>9</v>
      </c>
      <c r="E275" t="s">
        <v>709</v>
      </c>
      <c r="F275" t="s">
        <v>18</v>
      </c>
      <c r="G275" t="s">
        <v>19</v>
      </c>
    </row>
    <row r="276" spans="1:8" x14ac:dyDescent="0.35">
      <c r="A276" t="s">
        <v>953</v>
      </c>
      <c r="B276">
        <f>35.1616/B256</f>
        <v>8.6286134969325143</v>
      </c>
      <c r="C276" t="s">
        <v>600</v>
      </c>
      <c r="D276" t="s">
        <v>9</v>
      </c>
      <c r="E276" t="s">
        <v>676</v>
      </c>
      <c r="F276" t="s">
        <v>21</v>
      </c>
      <c r="G276" t="s">
        <v>19</v>
      </c>
      <c r="H276" t="s">
        <v>710</v>
      </c>
    </row>
    <row r="277" spans="1:8" x14ac:dyDescent="0.35">
      <c r="A277" t="s">
        <v>680</v>
      </c>
      <c r="B277">
        <v>1.9939199999999999</v>
      </c>
      <c r="C277" t="s">
        <v>600</v>
      </c>
      <c r="D277" t="s">
        <v>20</v>
      </c>
      <c r="E277" t="s">
        <v>681</v>
      </c>
      <c r="F277" t="s">
        <v>21</v>
      </c>
      <c r="G277" t="s">
        <v>711</v>
      </c>
      <c r="H277" t="s">
        <v>683</v>
      </c>
    </row>
    <row r="278" spans="1:8" x14ac:dyDescent="0.35">
      <c r="A278" t="s">
        <v>108</v>
      </c>
      <c r="B278">
        <v>0.27336000000000005</v>
      </c>
      <c r="C278" t="s">
        <v>665</v>
      </c>
      <c r="D278" t="s">
        <v>45</v>
      </c>
      <c r="E278" t="s">
        <v>681</v>
      </c>
      <c r="F278" t="s">
        <v>21</v>
      </c>
      <c r="G278" t="s">
        <v>689</v>
      </c>
      <c r="H278" t="s">
        <v>111</v>
      </c>
    </row>
    <row r="279" spans="1:8" x14ac:dyDescent="0.35">
      <c r="A279" t="s">
        <v>105</v>
      </c>
      <c r="B279">
        <v>0.15276000000000001</v>
      </c>
      <c r="C279" t="s">
        <v>600</v>
      </c>
      <c r="D279" t="s">
        <v>45</v>
      </c>
      <c r="E279" t="s">
        <v>681</v>
      </c>
      <c r="F279" t="s">
        <v>21</v>
      </c>
      <c r="G279" t="s">
        <v>690</v>
      </c>
      <c r="H279" t="s">
        <v>106</v>
      </c>
    </row>
    <row r="280" spans="1:8" x14ac:dyDescent="0.35">
      <c r="A280" t="s">
        <v>691</v>
      </c>
      <c r="B280">
        <v>0.36474800000000002</v>
      </c>
      <c r="C280" t="s">
        <v>600</v>
      </c>
      <c r="D280" t="s">
        <v>45</v>
      </c>
      <c r="E280" t="s">
        <v>681</v>
      </c>
      <c r="F280" t="s">
        <v>21</v>
      </c>
      <c r="G280" t="s">
        <v>716</v>
      </c>
      <c r="H280" t="s">
        <v>692</v>
      </c>
    </row>
    <row r="281" spans="1:8" x14ac:dyDescent="0.35">
      <c r="A281" t="s">
        <v>691</v>
      </c>
      <c r="B281">
        <v>0.32963999999999999</v>
      </c>
      <c r="C281" t="s">
        <v>600</v>
      </c>
      <c r="D281" t="s">
        <v>45</v>
      </c>
      <c r="E281" t="s">
        <v>681</v>
      </c>
      <c r="F281" t="s">
        <v>21</v>
      </c>
      <c r="G281" t="s">
        <v>718</v>
      </c>
      <c r="H281" t="s">
        <v>692</v>
      </c>
    </row>
    <row r="282" spans="1:8" x14ac:dyDescent="0.35">
      <c r="A282" t="s">
        <v>691</v>
      </c>
      <c r="B282">
        <v>0.1608</v>
      </c>
      <c r="C282" t="s">
        <v>600</v>
      </c>
      <c r="D282" t="s">
        <v>45</v>
      </c>
      <c r="E282" t="s">
        <v>681</v>
      </c>
      <c r="F282" t="s">
        <v>21</v>
      </c>
      <c r="G282" t="s">
        <v>719</v>
      </c>
      <c r="H282" t="s">
        <v>692</v>
      </c>
    </row>
    <row r="283" spans="1:8" x14ac:dyDescent="0.35">
      <c r="A283" t="s">
        <v>695</v>
      </c>
      <c r="B283">
        <v>1.1175600000000001</v>
      </c>
      <c r="C283" t="s">
        <v>27</v>
      </c>
      <c r="D283" t="s">
        <v>45</v>
      </c>
      <c r="E283" t="s">
        <v>681</v>
      </c>
      <c r="F283" t="s">
        <v>21</v>
      </c>
      <c r="G283" t="s">
        <v>696</v>
      </c>
      <c r="H283" t="s">
        <v>697</v>
      </c>
    </row>
    <row r="284" spans="1:8" x14ac:dyDescent="0.35">
      <c r="A284" t="s">
        <v>699</v>
      </c>
      <c r="B284">
        <v>0.21159136000000003</v>
      </c>
      <c r="C284" t="s">
        <v>665</v>
      </c>
      <c r="D284" t="s">
        <v>31</v>
      </c>
      <c r="E284" t="s">
        <v>681</v>
      </c>
      <c r="F284" t="s">
        <v>21</v>
      </c>
      <c r="G284" t="s">
        <v>711</v>
      </c>
      <c r="H284" t="s">
        <v>701</v>
      </c>
    </row>
    <row r="285" spans="1:8" x14ac:dyDescent="0.35">
      <c r="A285" t="s">
        <v>699</v>
      </c>
      <c r="B285">
        <v>3.1589696E-2</v>
      </c>
      <c r="C285" t="s">
        <v>665</v>
      </c>
      <c r="D285" t="s">
        <v>31</v>
      </c>
      <c r="E285" t="s">
        <v>681</v>
      </c>
      <c r="F285" t="s">
        <v>21</v>
      </c>
      <c r="G285" t="s">
        <v>722</v>
      </c>
      <c r="H285" t="s">
        <v>701</v>
      </c>
    </row>
    <row r="286" spans="1:8" x14ac:dyDescent="0.35">
      <c r="A286" t="s">
        <v>201</v>
      </c>
      <c r="B286" s="6">
        <f>('Cozzolini 2018'!B276*'Cozzolini 2018'!B261*(1+B246))-Allocation!$B$13</f>
        <v>2.0985209914110428</v>
      </c>
      <c r="D286" t="s">
        <v>9</v>
      </c>
      <c r="E286" t="s">
        <v>39</v>
      </c>
      <c r="F286" t="s">
        <v>38</v>
      </c>
    </row>
    <row r="288" spans="1:8" ht="15.5" x14ac:dyDescent="0.35">
      <c r="A288" s="1" t="s">
        <v>1</v>
      </c>
      <c r="B288" s="1" t="s">
        <v>705</v>
      </c>
    </row>
    <row r="289" spans="1:11" x14ac:dyDescent="0.35">
      <c r="A289" t="s">
        <v>2</v>
      </c>
      <c r="B289" t="s">
        <v>600</v>
      </c>
    </row>
    <row r="290" spans="1:11" x14ac:dyDescent="0.35">
      <c r="A290" t="s">
        <v>4</v>
      </c>
      <c r="B290">
        <v>1</v>
      </c>
    </row>
    <row r="291" spans="1:11" ht="15.5" x14ac:dyDescent="0.35">
      <c r="A291" t="s">
        <v>5</v>
      </c>
      <c r="B291" s="2" t="s">
        <v>350</v>
      </c>
    </row>
    <row r="292" spans="1:11" x14ac:dyDescent="0.35">
      <c r="A292" t="s">
        <v>6</v>
      </c>
      <c r="B292" t="s">
        <v>7</v>
      </c>
    </row>
    <row r="293" spans="1:11" x14ac:dyDescent="0.35">
      <c r="A293" t="s">
        <v>8</v>
      </c>
      <c r="B293" t="s">
        <v>9</v>
      </c>
    </row>
    <row r="294" spans="1:11" ht="15.5" x14ac:dyDescent="0.35">
      <c r="A294" s="1" t="s">
        <v>13</v>
      </c>
    </row>
    <row r="295" spans="1:11" x14ac:dyDescent="0.35">
      <c r="A295" t="s">
        <v>14</v>
      </c>
      <c r="B295" t="s">
        <v>15</v>
      </c>
      <c r="C295" t="s">
        <v>2</v>
      </c>
      <c r="D295" t="s">
        <v>8</v>
      </c>
      <c r="E295" t="s">
        <v>16</v>
      </c>
      <c r="F295" t="s">
        <v>6</v>
      </c>
      <c r="G295" t="s">
        <v>351</v>
      </c>
      <c r="H295" t="s">
        <v>352</v>
      </c>
      <c r="I295" t="s">
        <v>17</v>
      </c>
      <c r="J295" t="s">
        <v>12</v>
      </c>
      <c r="K295" t="s">
        <v>5</v>
      </c>
    </row>
    <row r="296" spans="1:11" x14ac:dyDescent="0.35">
      <c r="A296" t="s">
        <v>705</v>
      </c>
      <c r="B296">
        <v>1</v>
      </c>
      <c r="C296" t="s">
        <v>600</v>
      </c>
      <c r="D296" t="s">
        <v>9</v>
      </c>
      <c r="F296" t="s">
        <v>18</v>
      </c>
      <c r="I296">
        <v>100</v>
      </c>
      <c r="J296" t="s">
        <v>19</v>
      </c>
      <c r="K296" t="s">
        <v>350</v>
      </c>
    </row>
    <row r="297" spans="1:11" x14ac:dyDescent="0.35">
      <c r="A297" t="s">
        <v>956</v>
      </c>
      <c r="B297">
        <v>1.00057</v>
      </c>
      <c r="C297" t="s">
        <v>600</v>
      </c>
      <c r="D297" t="s">
        <v>9</v>
      </c>
      <c r="F297" t="s">
        <v>21</v>
      </c>
      <c r="K297" t="s">
        <v>706</v>
      </c>
    </row>
    <row r="298" spans="1:11" x14ac:dyDescent="0.35">
      <c r="A298" t="s">
        <v>30</v>
      </c>
      <c r="B298">
        <v>6.7000000000000002E-3</v>
      </c>
      <c r="C298" t="s">
        <v>600</v>
      </c>
      <c r="D298" t="s">
        <v>31</v>
      </c>
      <c r="F298" t="s">
        <v>21</v>
      </c>
      <c r="K298" t="s">
        <v>32</v>
      </c>
    </row>
    <row r="299" spans="1:11" x14ac:dyDescent="0.35">
      <c r="A299" t="s">
        <v>353</v>
      </c>
      <c r="B299">
        <v>-1.6799999999999999E-4</v>
      </c>
      <c r="C299" t="s">
        <v>665</v>
      </c>
      <c r="D299" t="s">
        <v>9</v>
      </c>
      <c r="F299" t="s">
        <v>21</v>
      </c>
      <c r="K299" t="s">
        <v>354</v>
      </c>
    </row>
    <row r="300" spans="1:11" x14ac:dyDescent="0.35">
      <c r="A300" t="s">
        <v>355</v>
      </c>
      <c r="B300" s="7">
        <v>5.8399999999999999E-4</v>
      </c>
      <c r="C300" t="s">
        <v>673</v>
      </c>
      <c r="D300" t="s">
        <v>20</v>
      </c>
      <c r="F300" t="s">
        <v>21</v>
      </c>
      <c r="K300" t="s">
        <v>356</v>
      </c>
    </row>
    <row r="301" spans="1:11" x14ac:dyDescent="0.35">
      <c r="A301" t="s">
        <v>357</v>
      </c>
      <c r="B301" s="7">
        <v>2.5999999999999998E-10</v>
      </c>
      <c r="C301" t="s">
        <v>600</v>
      </c>
      <c r="D301" t="s">
        <v>8</v>
      </c>
      <c r="F301" t="s">
        <v>21</v>
      </c>
      <c r="K301" t="s">
        <v>358</v>
      </c>
    </row>
    <row r="302" spans="1:11" x14ac:dyDescent="0.35">
      <c r="A302" t="s">
        <v>359</v>
      </c>
      <c r="B302" s="7">
        <v>-6.2700000000000001E-6</v>
      </c>
      <c r="C302" t="s">
        <v>673</v>
      </c>
      <c r="D302" t="s">
        <v>9</v>
      </c>
      <c r="F302" t="s">
        <v>21</v>
      </c>
      <c r="K302" t="s">
        <v>360</v>
      </c>
    </row>
    <row r="303" spans="1:11" x14ac:dyDescent="0.35">
      <c r="A303" t="s">
        <v>361</v>
      </c>
      <c r="B303" s="7">
        <v>-7.4999999999999993E-5</v>
      </c>
      <c r="C303" t="s">
        <v>665</v>
      </c>
      <c r="D303" t="s">
        <v>131</v>
      </c>
      <c r="F303" t="s">
        <v>21</v>
      </c>
      <c r="K303" t="s">
        <v>362</v>
      </c>
    </row>
    <row r="304" spans="1:11" x14ac:dyDescent="0.35">
      <c r="A304" t="s">
        <v>363</v>
      </c>
      <c r="B304" s="7">
        <v>6.8900000000000005E-4</v>
      </c>
      <c r="C304" t="s">
        <v>665</v>
      </c>
      <c r="D304" t="s">
        <v>9</v>
      </c>
      <c r="F304" t="s">
        <v>21</v>
      </c>
      <c r="K304" t="s">
        <v>364</v>
      </c>
    </row>
    <row r="305" spans="1:11" x14ac:dyDescent="0.35">
      <c r="A305" t="s">
        <v>108</v>
      </c>
      <c r="B305">
        <v>3.3599999999999998E-2</v>
      </c>
      <c r="C305" t="s">
        <v>665</v>
      </c>
      <c r="D305" t="s">
        <v>45</v>
      </c>
      <c r="F305" t="s">
        <v>21</v>
      </c>
      <c r="K305" t="s">
        <v>111</v>
      </c>
    </row>
    <row r="306" spans="1:11" x14ac:dyDescent="0.35">
      <c r="A306" t="s">
        <v>365</v>
      </c>
      <c r="B306">
        <v>3.2599999999999997E-2</v>
      </c>
      <c r="C306" t="s">
        <v>600</v>
      </c>
      <c r="D306" t="s">
        <v>45</v>
      </c>
      <c r="F306" t="s">
        <v>21</v>
      </c>
      <c r="K306" t="s">
        <v>366</v>
      </c>
    </row>
    <row r="307" spans="1:11" x14ac:dyDescent="0.35">
      <c r="A307" t="s">
        <v>367</v>
      </c>
      <c r="B307" s="7">
        <v>-6.8899999999999999E-7</v>
      </c>
      <c r="C307" t="s">
        <v>665</v>
      </c>
      <c r="D307" t="s">
        <v>131</v>
      </c>
      <c r="F307" t="s">
        <v>21</v>
      </c>
      <c r="K307" t="s">
        <v>368</v>
      </c>
    </row>
    <row r="308" spans="1:11" ht="16.25" customHeight="1" x14ac:dyDescent="0.35">
      <c r="A308" s="1"/>
      <c r="B308" s="1"/>
    </row>
    <row r="309" spans="1:11" ht="15.5" x14ac:dyDescent="0.35">
      <c r="A309" s="1" t="s">
        <v>1</v>
      </c>
      <c r="B309" s="1" t="s">
        <v>73</v>
      </c>
    </row>
    <row r="310" spans="1:11" x14ac:dyDescent="0.35">
      <c r="A310" t="s">
        <v>2</v>
      </c>
      <c r="B310" t="s">
        <v>600</v>
      </c>
    </row>
    <row r="311" spans="1:11" x14ac:dyDescent="0.35">
      <c r="A311" t="s">
        <v>4</v>
      </c>
      <c r="B311">
        <v>1</v>
      </c>
    </row>
    <row r="312" spans="1:11" x14ac:dyDescent="0.35">
      <c r="A312" t="s">
        <v>5</v>
      </c>
      <c r="B312" t="s">
        <v>959</v>
      </c>
    </row>
    <row r="313" spans="1:11" x14ac:dyDescent="0.35">
      <c r="A313" t="s">
        <v>6</v>
      </c>
      <c r="B313" t="s">
        <v>7</v>
      </c>
    </row>
    <row r="314" spans="1:11" x14ac:dyDescent="0.35">
      <c r="A314" t="s">
        <v>8</v>
      </c>
      <c r="B314" t="s">
        <v>9</v>
      </c>
    </row>
    <row r="315" spans="1:11" x14ac:dyDescent="0.35">
      <c r="A315" t="s">
        <v>960</v>
      </c>
      <c r="B315">
        <v>19</v>
      </c>
    </row>
    <row r="316" spans="1:11" x14ac:dyDescent="0.35">
      <c r="A316" t="s">
        <v>937</v>
      </c>
      <c r="B316">
        <v>0</v>
      </c>
    </row>
    <row r="317" spans="1:11" ht="15.5" x14ac:dyDescent="0.35">
      <c r="A317" s="1" t="s">
        <v>13</v>
      </c>
    </row>
    <row r="318" spans="1:11" x14ac:dyDescent="0.35">
      <c r="A318" t="s">
        <v>14</v>
      </c>
      <c r="B318" t="s">
        <v>15</v>
      </c>
      <c r="C318" t="s">
        <v>2</v>
      </c>
      <c r="D318" t="s">
        <v>8</v>
      </c>
      <c r="E318" t="s">
        <v>16</v>
      </c>
      <c r="F318" t="s">
        <v>6</v>
      </c>
      <c r="G318" t="s">
        <v>12</v>
      </c>
      <c r="H318" t="s">
        <v>5</v>
      </c>
    </row>
    <row r="319" spans="1:11" x14ac:dyDescent="0.35">
      <c r="A319" t="s">
        <v>73</v>
      </c>
      <c r="B319">
        <v>1</v>
      </c>
      <c r="C319" t="s">
        <v>600</v>
      </c>
      <c r="D319" t="s">
        <v>9</v>
      </c>
      <c r="E319" t="s">
        <v>916</v>
      </c>
      <c r="F319" t="s">
        <v>18</v>
      </c>
      <c r="G319" t="s">
        <v>19</v>
      </c>
      <c r="H319" t="s">
        <v>959</v>
      </c>
    </row>
    <row r="320" spans="1:11" x14ac:dyDescent="0.35">
      <c r="A320" t="s">
        <v>73</v>
      </c>
      <c r="B320">
        <v>0.14000000000000001</v>
      </c>
      <c r="C320" t="s">
        <v>600</v>
      </c>
      <c r="D320" t="s">
        <v>9</v>
      </c>
      <c r="E320" t="s">
        <v>916</v>
      </c>
      <c r="F320" t="s">
        <v>21</v>
      </c>
      <c r="G320" t="s">
        <v>19</v>
      </c>
      <c r="H320" t="s">
        <v>959</v>
      </c>
    </row>
    <row r="321" spans="1:8" x14ac:dyDescent="0.35">
      <c r="A321" t="s">
        <v>105</v>
      </c>
      <c r="B321">
        <v>2.8576000000000001</v>
      </c>
      <c r="C321" t="s">
        <v>600</v>
      </c>
      <c r="D321" t="s">
        <v>45</v>
      </c>
      <c r="E321" t="s">
        <v>676</v>
      </c>
      <c r="F321" t="s">
        <v>21</v>
      </c>
      <c r="G321" t="s">
        <v>19</v>
      </c>
      <c r="H321" t="s">
        <v>106</v>
      </c>
    </row>
    <row r="322" spans="1:8" x14ac:dyDescent="0.35">
      <c r="A322" t="s">
        <v>691</v>
      </c>
      <c r="B322">
        <v>0.74099999999999999</v>
      </c>
      <c r="C322" t="s">
        <v>600</v>
      </c>
      <c r="D322" t="s">
        <v>45</v>
      </c>
      <c r="E322" t="s">
        <v>676</v>
      </c>
      <c r="F322" t="s">
        <v>21</v>
      </c>
      <c r="G322" t="s">
        <v>19</v>
      </c>
      <c r="H322" t="s">
        <v>692</v>
      </c>
    </row>
    <row r="323" spans="1:8" x14ac:dyDescent="0.35">
      <c r="A323" t="s">
        <v>116</v>
      </c>
      <c r="B323">
        <f>B315*(1-B316)</f>
        <v>19</v>
      </c>
      <c r="D323" t="s">
        <v>20</v>
      </c>
      <c r="E323" t="s">
        <v>122</v>
      </c>
      <c r="F323" t="s">
        <v>38</v>
      </c>
      <c r="G323" t="s">
        <v>871</v>
      </c>
    </row>
    <row r="324" spans="1:8" x14ac:dyDescent="0.35">
      <c r="A324" t="s">
        <v>120</v>
      </c>
      <c r="B324" s="6">
        <f>0.496*(44/12)*(1-B316)</f>
        <v>1.8186666666666667</v>
      </c>
      <c r="D324" t="s">
        <v>9</v>
      </c>
      <c r="E324" t="s">
        <v>121</v>
      </c>
      <c r="F324" t="s">
        <v>38</v>
      </c>
      <c r="G324" t="s">
        <v>961</v>
      </c>
    </row>
    <row r="325" spans="1:8" x14ac:dyDescent="0.35">
      <c r="A325" t="s">
        <v>222</v>
      </c>
      <c r="B325">
        <v>2.3256000000000001E-3</v>
      </c>
      <c r="D325" t="s">
        <v>131</v>
      </c>
      <c r="E325" t="s">
        <v>122</v>
      </c>
      <c r="F325" t="s">
        <v>38</v>
      </c>
      <c r="G325" t="s">
        <v>221</v>
      </c>
    </row>
    <row r="327" spans="1:8" ht="15.5" x14ac:dyDescent="0.35">
      <c r="A327" s="1" t="s">
        <v>1</v>
      </c>
      <c r="B327" s="1" t="s">
        <v>413</v>
      </c>
    </row>
    <row r="328" spans="1:8" x14ac:dyDescent="0.35">
      <c r="A328" t="s">
        <v>2</v>
      </c>
      <c r="B328" t="s">
        <v>600</v>
      </c>
    </row>
    <row r="329" spans="1:8" x14ac:dyDescent="0.35">
      <c r="A329" t="s">
        <v>4</v>
      </c>
      <c r="B329">
        <v>1</v>
      </c>
    </row>
    <row r="330" spans="1:8" ht="15.5" x14ac:dyDescent="0.35">
      <c r="A330" t="s">
        <v>5</v>
      </c>
      <c r="B330" s="2" t="s">
        <v>735</v>
      </c>
    </row>
    <row r="331" spans="1:8" x14ac:dyDescent="0.35">
      <c r="A331" t="s">
        <v>6</v>
      </c>
      <c r="B331" t="s">
        <v>7</v>
      </c>
    </row>
    <row r="332" spans="1:8" x14ac:dyDescent="0.35">
      <c r="A332" t="s">
        <v>8</v>
      </c>
      <c r="B332" t="s">
        <v>9</v>
      </c>
    </row>
    <row r="333" spans="1:8" x14ac:dyDescent="0.35">
      <c r="A333" t="s">
        <v>10</v>
      </c>
      <c r="B333" t="s">
        <v>674</v>
      </c>
    </row>
    <row r="334" spans="1:8" ht="15.5" x14ac:dyDescent="0.35">
      <c r="A334" s="1" t="s">
        <v>13</v>
      </c>
    </row>
    <row r="335" spans="1:8" x14ac:dyDescent="0.35">
      <c r="A335" t="s">
        <v>14</v>
      </c>
      <c r="B335" t="s">
        <v>15</v>
      </c>
      <c r="C335" t="s">
        <v>2</v>
      </c>
      <c r="D335" t="s">
        <v>8</v>
      </c>
      <c r="E335" t="s">
        <v>16</v>
      </c>
      <c r="F335" t="s">
        <v>6</v>
      </c>
      <c r="G335" t="s">
        <v>12</v>
      </c>
      <c r="H335" t="s">
        <v>5</v>
      </c>
    </row>
    <row r="336" spans="1:8" ht="15.5" x14ac:dyDescent="0.35">
      <c r="A336" s="2" t="s">
        <v>413</v>
      </c>
      <c r="B336">
        <v>1</v>
      </c>
      <c r="C336" t="s">
        <v>600</v>
      </c>
      <c r="D336" t="s">
        <v>9</v>
      </c>
      <c r="E336" t="s">
        <v>736</v>
      </c>
      <c r="F336" t="s">
        <v>18</v>
      </c>
      <c r="G336" t="s">
        <v>19</v>
      </c>
      <c r="H336" s="2" t="s">
        <v>735</v>
      </c>
    </row>
    <row r="337" spans="1:8" ht="15.5" x14ac:dyDescent="0.35">
      <c r="A337" s="2" t="s">
        <v>73</v>
      </c>
      <c r="B337" s="6">
        <f>58.6/B323</f>
        <v>3.0842105263157897</v>
      </c>
      <c r="C337" t="s">
        <v>600</v>
      </c>
      <c r="D337" t="s">
        <v>9</v>
      </c>
      <c r="F337" t="s">
        <v>21</v>
      </c>
      <c r="H337" t="s">
        <v>959</v>
      </c>
    </row>
    <row r="338" spans="1:8" x14ac:dyDescent="0.35">
      <c r="A338" t="s">
        <v>737</v>
      </c>
      <c r="B338">
        <v>0.13935999999999998</v>
      </c>
      <c r="C338" t="s">
        <v>600</v>
      </c>
      <c r="D338" t="s">
        <v>9</v>
      </c>
      <c r="E338" t="s">
        <v>676</v>
      </c>
      <c r="F338" t="s">
        <v>21</v>
      </c>
      <c r="G338" t="s">
        <v>19</v>
      </c>
      <c r="H338" t="s">
        <v>738</v>
      </c>
    </row>
    <row r="339" spans="1:8" x14ac:dyDescent="0.35">
      <c r="A339" t="s">
        <v>401</v>
      </c>
      <c r="B339">
        <v>2.4120000000000001E-4</v>
      </c>
      <c r="C339" t="s">
        <v>27</v>
      </c>
      <c r="D339" t="s">
        <v>9</v>
      </c>
      <c r="E339" t="s">
        <v>676</v>
      </c>
      <c r="F339" t="s">
        <v>21</v>
      </c>
      <c r="G339" t="s">
        <v>19</v>
      </c>
      <c r="H339" t="s">
        <v>402</v>
      </c>
    </row>
    <row r="340" spans="1:8" x14ac:dyDescent="0.35">
      <c r="A340" t="s">
        <v>108</v>
      </c>
      <c r="B340">
        <v>0.23315999999999998</v>
      </c>
      <c r="C340" t="s">
        <v>665</v>
      </c>
      <c r="D340" t="s">
        <v>45</v>
      </c>
      <c r="E340" t="s">
        <v>681</v>
      </c>
      <c r="F340" t="s">
        <v>21</v>
      </c>
      <c r="G340" t="s">
        <v>19</v>
      </c>
      <c r="H340" t="s">
        <v>111</v>
      </c>
    </row>
    <row r="341" spans="1:8" x14ac:dyDescent="0.35">
      <c r="A341" t="s">
        <v>105</v>
      </c>
      <c r="B341">
        <v>9.3800000000000008E-2</v>
      </c>
      <c r="C341" t="s">
        <v>600</v>
      </c>
      <c r="D341" t="s">
        <v>45</v>
      </c>
      <c r="E341" t="s">
        <v>681</v>
      </c>
      <c r="F341" t="s">
        <v>21</v>
      </c>
      <c r="G341" t="s">
        <v>19</v>
      </c>
      <c r="H341" t="s">
        <v>106</v>
      </c>
    </row>
    <row r="342" spans="1:8" x14ac:dyDescent="0.35">
      <c r="A342" t="s">
        <v>691</v>
      </c>
      <c r="B342">
        <v>2.2868976000000001</v>
      </c>
      <c r="C342" t="s">
        <v>600</v>
      </c>
      <c r="D342" t="s">
        <v>45</v>
      </c>
      <c r="E342" t="s">
        <v>681</v>
      </c>
      <c r="F342" t="s">
        <v>21</v>
      </c>
      <c r="G342" t="s">
        <v>739</v>
      </c>
      <c r="H342" t="s">
        <v>692</v>
      </c>
    </row>
    <row r="343" spans="1:8" x14ac:dyDescent="0.35">
      <c r="A343" t="s">
        <v>691</v>
      </c>
      <c r="B343">
        <v>0.20099999999999998</v>
      </c>
      <c r="C343" t="s">
        <v>600</v>
      </c>
      <c r="D343" t="s">
        <v>45</v>
      </c>
      <c r="E343" t="s">
        <v>681</v>
      </c>
      <c r="F343" t="s">
        <v>21</v>
      </c>
      <c r="G343" t="s">
        <v>19</v>
      </c>
      <c r="H343" t="s">
        <v>692</v>
      </c>
    </row>
    <row r="344" spans="1:8" x14ac:dyDescent="0.35">
      <c r="A344" t="s">
        <v>695</v>
      </c>
      <c r="B344">
        <v>0.68071999999999999</v>
      </c>
      <c r="C344" t="s">
        <v>27</v>
      </c>
      <c r="D344" t="s">
        <v>45</v>
      </c>
      <c r="E344" t="s">
        <v>681</v>
      </c>
      <c r="F344" t="s">
        <v>21</v>
      </c>
      <c r="G344" t="s">
        <v>19</v>
      </c>
      <c r="H344" t="s">
        <v>697</v>
      </c>
    </row>
    <row r="345" spans="1:8" x14ac:dyDescent="0.35">
      <c r="A345" t="s">
        <v>695</v>
      </c>
      <c r="B345">
        <v>8.819075999999999</v>
      </c>
      <c r="C345" t="s">
        <v>27</v>
      </c>
      <c r="D345" t="s">
        <v>45</v>
      </c>
      <c r="E345" t="s">
        <v>681</v>
      </c>
      <c r="F345" t="s">
        <v>21</v>
      </c>
      <c r="G345" t="s">
        <v>19</v>
      </c>
      <c r="H345" t="s">
        <v>697</v>
      </c>
    </row>
    <row r="346" spans="1:8" x14ac:dyDescent="0.35">
      <c r="A346" t="s">
        <v>699</v>
      </c>
      <c r="B346">
        <v>3.1589696E-2</v>
      </c>
      <c r="C346" t="s">
        <v>665</v>
      </c>
      <c r="D346" t="s">
        <v>31</v>
      </c>
      <c r="E346" t="s">
        <v>681</v>
      </c>
      <c r="F346" t="s">
        <v>21</v>
      </c>
      <c r="G346" t="s">
        <v>19</v>
      </c>
      <c r="H346" t="s">
        <v>701</v>
      </c>
    </row>
    <row r="347" spans="1:8" x14ac:dyDescent="0.35">
      <c r="A347" t="s">
        <v>201</v>
      </c>
      <c r="B347" s="6">
        <f>('Cozzolini 2018'!B337*'Cozzolini 2018'!B324*(1+B320))-Allocation!$B$13</f>
        <v>4.4804320000000013</v>
      </c>
      <c r="D347" t="s">
        <v>9</v>
      </c>
      <c r="E347" t="s">
        <v>39</v>
      </c>
      <c r="F347" t="s">
        <v>38</v>
      </c>
    </row>
    <row r="349" spans="1:8" ht="15.5" x14ac:dyDescent="0.35">
      <c r="A349" s="1" t="s">
        <v>1</v>
      </c>
      <c r="B349" s="1" t="s">
        <v>734</v>
      </c>
    </row>
    <row r="350" spans="1:8" x14ac:dyDescent="0.35">
      <c r="A350" t="s">
        <v>2</v>
      </c>
      <c r="B350" t="s">
        <v>600</v>
      </c>
    </row>
    <row r="351" spans="1:8" x14ac:dyDescent="0.35">
      <c r="A351" t="s">
        <v>4</v>
      </c>
      <c r="B351">
        <v>1</v>
      </c>
    </row>
    <row r="352" spans="1:8" ht="15.5" x14ac:dyDescent="0.35">
      <c r="A352" t="s">
        <v>5</v>
      </c>
      <c r="B352" s="2" t="s">
        <v>350</v>
      </c>
    </row>
    <row r="353" spans="1:11" x14ac:dyDescent="0.35">
      <c r="A353" t="s">
        <v>6</v>
      </c>
      <c r="B353" t="s">
        <v>7</v>
      </c>
    </row>
    <row r="354" spans="1:11" x14ac:dyDescent="0.35">
      <c r="A354" t="s">
        <v>8</v>
      </c>
      <c r="B354" t="s">
        <v>9</v>
      </c>
    </row>
    <row r="355" spans="1:11" ht="15.5" x14ac:dyDescent="0.35">
      <c r="A355" s="1" t="s">
        <v>13</v>
      </c>
    </row>
    <row r="356" spans="1:11" x14ac:dyDescent="0.35">
      <c r="A356" t="s">
        <v>14</v>
      </c>
      <c r="B356" t="s">
        <v>15</v>
      </c>
      <c r="C356" t="s">
        <v>2</v>
      </c>
      <c r="D356" t="s">
        <v>8</v>
      </c>
      <c r="E356" t="s">
        <v>16</v>
      </c>
      <c r="F356" t="s">
        <v>6</v>
      </c>
      <c r="G356" t="s">
        <v>351</v>
      </c>
      <c r="H356" t="s">
        <v>352</v>
      </c>
      <c r="I356" t="s">
        <v>17</v>
      </c>
      <c r="J356" t="s">
        <v>12</v>
      </c>
      <c r="K356" t="s">
        <v>5</v>
      </c>
    </row>
    <row r="357" spans="1:11" x14ac:dyDescent="0.35">
      <c r="A357" t="s">
        <v>734</v>
      </c>
      <c r="B357">
        <v>1</v>
      </c>
      <c r="C357" t="s">
        <v>600</v>
      </c>
      <c r="D357" t="s">
        <v>9</v>
      </c>
      <c r="F357" t="s">
        <v>18</v>
      </c>
      <c r="I357">
        <v>100</v>
      </c>
      <c r="J357" t="s">
        <v>19</v>
      </c>
      <c r="K357" t="s">
        <v>350</v>
      </c>
    </row>
    <row r="358" spans="1:11" ht="15.5" x14ac:dyDescent="0.35">
      <c r="A358" s="2" t="s">
        <v>413</v>
      </c>
      <c r="B358">
        <v>1.00057</v>
      </c>
      <c r="C358" t="s">
        <v>600</v>
      </c>
      <c r="D358" t="s">
        <v>9</v>
      </c>
      <c r="F358" t="s">
        <v>21</v>
      </c>
      <c r="K358" t="s">
        <v>735</v>
      </c>
    </row>
    <row r="359" spans="1:11" x14ac:dyDescent="0.35">
      <c r="A359" t="s">
        <v>30</v>
      </c>
      <c r="B359">
        <v>6.7000000000000002E-3</v>
      </c>
      <c r="C359" t="s">
        <v>600</v>
      </c>
      <c r="D359" t="s">
        <v>31</v>
      </c>
      <c r="F359" t="s">
        <v>21</v>
      </c>
      <c r="K359" t="s">
        <v>32</v>
      </c>
    </row>
    <row r="360" spans="1:11" x14ac:dyDescent="0.35">
      <c r="A360" t="s">
        <v>353</v>
      </c>
      <c r="B360">
        <v>-1.6799999999999999E-4</v>
      </c>
      <c r="C360" t="s">
        <v>665</v>
      </c>
      <c r="D360" t="s">
        <v>9</v>
      </c>
      <c r="F360" t="s">
        <v>21</v>
      </c>
      <c r="K360" t="s">
        <v>354</v>
      </c>
    </row>
    <row r="361" spans="1:11" x14ac:dyDescent="0.35">
      <c r="A361" t="s">
        <v>355</v>
      </c>
      <c r="B361" s="7">
        <v>5.8399999999999999E-4</v>
      </c>
      <c r="C361" t="s">
        <v>673</v>
      </c>
      <c r="D361" t="s">
        <v>20</v>
      </c>
      <c r="F361" t="s">
        <v>21</v>
      </c>
      <c r="K361" t="s">
        <v>356</v>
      </c>
    </row>
    <row r="362" spans="1:11" x14ac:dyDescent="0.35">
      <c r="A362" t="s">
        <v>357</v>
      </c>
      <c r="B362" s="7">
        <v>2.5999999999999998E-10</v>
      </c>
      <c r="C362" t="s">
        <v>600</v>
      </c>
      <c r="D362" t="s">
        <v>8</v>
      </c>
      <c r="F362" t="s">
        <v>21</v>
      </c>
      <c r="K362" t="s">
        <v>358</v>
      </c>
    </row>
    <row r="363" spans="1:11" x14ac:dyDescent="0.35">
      <c r="A363" t="s">
        <v>359</v>
      </c>
      <c r="B363" s="7">
        <v>-6.2700000000000001E-6</v>
      </c>
      <c r="C363" t="s">
        <v>673</v>
      </c>
      <c r="D363" t="s">
        <v>9</v>
      </c>
      <c r="F363" t="s">
        <v>21</v>
      </c>
      <c r="K363" t="s">
        <v>360</v>
      </c>
    </row>
    <row r="364" spans="1:11" x14ac:dyDescent="0.35">
      <c r="A364" t="s">
        <v>361</v>
      </c>
      <c r="B364" s="7">
        <v>-7.4999999999999993E-5</v>
      </c>
      <c r="C364" t="s">
        <v>665</v>
      </c>
      <c r="D364" t="s">
        <v>131</v>
      </c>
      <c r="F364" t="s">
        <v>21</v>
      </c>
      <c r="K364" t="s">
        <v>362</v>
      </c>
    </row>
    <row r="365" spans="1:11" x14ac:dyDescent="0.35">
      <c r="A365" t="s">
        <v>363</v>
      </c>
      <c r="B365" s="7">
        <v>6.8900000000000005E-4</v>
      </c>
      <c r="C365" t="s">
        <v>665</v>
      </c>
      <c r="D365" t="s">
        <v>9</v>
      </c>
      <c r="F365" t="s">
        <v>21</v>
      </c>
      <c r="K365" t="s">
        <v>364</v>
      </c>
    </row>
    <row r="366" spans="1:11" x14ac:dyDescent="0.35">
      <c r="A366" t="s">
        <v>108</v>
      </c>
      <c r="B366">
        <v>3.3599999999999998E-2</v>
      </c>
      <c r="C366" t="s">
        <v>665</v>
      </c>
      <c r="D366" t="s">
        <v>45</v>
      </c>
      <c r="F366" t="s">
        <v>21</v>
      </c>
      <c r="K366" t="s">
        <v>111</v>
      </c>
    </row>
    <row r="367" spans="1:11" x14ac:dyDescent="0.35">
      <c r="A367" t="s">
        <v>365</v>
      </c>
      <c r="B367">
        <v>3.2599999999999997E-2</v>
      </c>
      <c r="C367" t="s">
        <v>600</v>
      </c>
      <c r="D367" t="s">
        <v>45</v>
      </c>
      <c r="F367" t="s">
        <v>21</v>
      </c>
      <c r="K367" t="s">
        <v>366</v>
      </c>
    </row>
    <row r="368" spans="1:11" x14ac:dyDescent="0.35">
      <c r="A368" t="s">
        <v>367</v>
      </c>
      <c r="B368" s="7">
        <v>-6.8899999999999999E-7</v>
      </c>
      <c r="C368" t="s">
        <v>665</v>
      </c>
      <c r="D368" t="s">
        <v>131</v>
      </c>
      <c r="F368" t="s">
        <v>21</v>
      </c>
      <c r="K368" t="s">
        <v>368</v>
      </c>
    </row>
    <row r="369" spans="1:8" ht="16.25" customHeight="1" x14ac:dyDescent="0.35">
      <c r="A369" s="1"/>
      <c r="B369" s="1"/>
    </row>
    <row r="370" spans="1:8" ht="15.5" x14ac:dyDescent="0.35">
      <c r="A370" s="1" t="s">
        <v>1</v>
      </c>
      <c r="B370" s="1" t="s">
        <v>966</v>
      </c>
    </row>
    <row r="371" spans="1:8" x14ac:dyDescent="0.35">
      <c r="A371" t="s">
        <v>2</v>
      </c>
      <c r="B371" t="s">
        <v>600</v>
      </c>
    </row>
    <row r="372" spans="1:8" x14ac:dyDescent="0.35">
      <c r="A372" t="s">
        <v>4</v>
      </c>
      <c r="B372">
        <v>1</v>
      </c>
    </row>
    <row r="373" spans="1:8" x14ac:dyDescent="0.35">
      <c r="A373" t="s">
        <v>5</v>
      </c>
      <c r="B373" t="s">
        <v>890</v>
      </c>
    </row>
    <row r="374" spans="1:8" x14ac:dyDescent="0.35">
      <c r="A374" t="s">
        <v>6</v>
      </c>
      <c r="B374" t="s">
        <v>7</v>
      </c>
    </row>
    <row r="375" spans="1:8" x14ac:dyDescent="0.35">
      <c r="A375" t="s">
        <v>8</v>
      </c>
      <c r="B375" t="s">
        <v>9</v>
      </c>
    </row>
    <row r="376" spans="1:8" x14ac:dyDescent="0.35">
      <c r="A376" t="s">
        <v>960</v>
      </c>
      <c r="B376">
        <v>39.6</v>
      </c>
    </row>
    <row r="377" spans="1:8" ht="15.5" x14ac:dyDescent="0.35">
      <c r="A377" s="1" t="s">
        <v>13</v>
      </c>
    </row>
    <row r="378" spans="1:8" x14ac:dyDescent="0.35">
      <c r="A378" t="s">
        <v>14</v>
      </c>
      <c r="B378" t="s">
        <v>15</v>
      </c>
      <c r="C378" t="s">
        <v>2</v>
      </c>
      <c r="D378" t="s">
        <v>8</v>
      </c>
      <c r="E378" t="s">
        <v>16</v>
      </c>
      <c r="F378" t="s">
        <v>6</v>
      </c>
      <c r="G378" t="s">
        <v>12</v>
      </c>
      <c r="H378" t="s">
        <v>5</v>
      </c>
    </row>
    <row r="379" spans="1:8" x14ac:dyDescent="0.35">
      <c r="A379" t="s">
        <v>966</v>
      </c>
      <c r="B379">
        <v>1</v>
      </c>
      <c r="C379" t="s">
        <v>600</v>
      </c>
      <c r="D379" t="s">
        <v>9</v>
      </c>
      <c r="E379" t="s">
        <v>760</v>
      </c>
      <c r="F379" t="s">
        <v>18</v>
      </c>
      <c r="G379" t="s">
        <v>19</v>
      </c>
      <c r="H379" t="s">
        <v>890</v>
      </c>
    </row>
    <row r="380" spans="1:8" x14ac:dyDescent="0.35">
      <c r="A380" t="s">
        <v>116</v>
      </c>
      <c r="B380">
        <v>39.6</v>
      </c>
      <c r="D380" t="s">
        <v>20</v>
      </c>
      <c r="E380" t="s">
        <v>122</v>
      </c>
      <c r="F380" t="s">
        <v>38</v>
      </c>
      <c r="G380" t="s">
        <v>871</v>
      </c>
    </row>
    <row r="381" spans="1:8" x14ac:dyDescent="0.35">
      <c r="A381" t="s">
        <v>872</v>
      </c>
      <c r="B381">
        <v>1.0246</v>
      </c>
      <c r="C381" t="s">
        <v>27</v>
      </c>
      <c r="D381" t="s">
        <v>9</v>
      </c>
      <c r="F381" t="s">
        <v>21</v>
      </c>
      <c r="G381" t="s">
        <v>873</v>
      </c>
      <c r="H381" t="s">
        <v>874</v>
      </c>
    </row>
    <row r="382" spans="1:8" x14ac:dyDescent="0.35">
      <c r="A382" t="s">
        <v>680</v>
      </c>
      <c r="B382">
        <v>0.15840000000000001</v>
      </c>
      <c r="C382" t="s">
        <v>600</v>
      </c>
      <c r="D382" t="s">
        <v>20</v>
      </c>
      <c r="E382" t="s">
        <v>676</v>
      </c>
      <c r="F382" t="s">
        <v>21</v>
      </c>
      <c r="G382" t="s">
        <v>857</v>
      </c>
      <c r="H382" t="s">
        <v>683</v>
      </c>
    </row>
    <row r="383" spans="1:8" x14ac:dyDescent="0.35">
      <c r="A383" t="s">
        <v>768</v>
      </c>
      <c r="B383">
        <v>1.2672E-3</v>
      </c>
      <c r="C383" t="s">
        <v>27</v>
      </c>
      <c r="D383" t="s">
        <v>9</v>
      </c>
      <c r="E383" t="s">
        <v>676</v>
      </c>
      <c r="F383" t="s">
        <v>21</v>
      </c>
      <c r="G383" t="s">
        <v>857</v>
      </c>
      <c r="H383" t="s">
        <v>769</v>
      </c>
    </row>
    <row r="384" spans="1:8" x14ac:dyDescent="0.35">
      <c r="A384" t="s">
        <v>401</v>
      </c>
      <c r="B384">
        <v>3.4848000000000001E-3</v>
      </c>
      <c r="C384" t="s">
        <v>27</v>
      </c>
      <c r="D384" t="s">
        <v>9</v>
      </c>
      <c r="E384" t="s">
        <v>676</v>
      </c>
      <c r="F384" t="s">
        <v>21</v>
      </c>
      <c r="G384" t="s">
        <v>857</v>
      </c>
      <c r="H384" t="s">
        <v>402</v>
      </c>
    </row>
    <row r="385" spans="1:8" x14ac:dyDescent="0.35">
      <c r="A385" t="s">
        <v>691</v>
      </c>
      <c r="B385">
        <v>0.11484</v>
      </c>
      <c r="C385" t="s">
        <v>600</v>
      </c>
      <c r="D385" t="s">
        <v>45</v>
      </c>
      <c r="E385" t="s">
        <v>681</v>
      </c>
      <c r="F385" t="s">
        <v>21</v>
      </c>
      <c r="G385" t="s">
        <v>875</v>
      </c>
      <c r="H385" t="s">
        <v>692</v>
      </c>
    </row>
    <row r="386" spans="1:8" x14ac:dyDescent="0.35">
      <c r="A386" t="s">
        <v>695</v>
      </c>
      <c r="B386">
        <v>7.4923200000000003</v>
      </c>
      <c r="C386" t="s">
        <v>27</v>
      </c>
      <c r="D386" t="s">
        <v>45</v>
      </c>
      <c r="E386" t="s">
        <v>681</v>
      </c>
      <c r="F386" t="s">
        <v>21</v>
      </c>
      <c r="G386" t="s">
        <v>876</v>
      </c>
      <c r="H386" t="s">
        <v>697</v>
      </c>
    </row>
    <row r="387" spans="1:8" x14ac:dyDescent="0.35">
      <c r="A387" t="s">
        <v>699</v>
      </c>
      <c r="B387">
        <v>9.9079200000000006E-3</v>
      </c>
      <c r="C387" t="s">
        <v>665</v>
      </c>
      <c r="D387" t="s">
        <v>31</v>
      </c>
      <c r="E387" t="s">
        <v>676</v>
      </c>
      <c r="F387" t="s">
        <v>21</v>
      </c>
      <c r="G387" t="s">
        <v>857</v>
      </c>
      <c r="H387" t="s">
        <v>701</v>
      </c>
    </row>
    <row r="388" spans="1:8" x14ac:dyDescent="0.35">
      <c r="A388" t="s">
        <v>120</v>
      </c>
      <c r="B388" s="6">
        <f>0.52*(44/12)</f>
        <v>1.9066666666666667</v>
      </c>
      <c r="D388" t="s">
        <v>9</v>
      </c>
      <c r="E388" t="s">
        <v>121</v>
      </c>
      <c r="F388" t="s">
        <v>38</v>
      </c>
      <c r="G388" t="s">
        <v>967</v>
      </c>
    </row>
    <row r="390" spans="1:8" ht="15.5" x14ac:dyDescent="0.35">
      <c r="A390" s="1" t="s">
        <v>1</v>
      </c>
      <c r="B390" s="1" t="s">
        <v>968</v>
      </c>
    </row>
    <row r="391" spans="1:8" x14ac:dyDescent="0.35">
      <c r="A391" t="s">
        <v>2</v>
      </c>
      <c r="B391" t="s">
        <v>600</v>
      </c>
    </row>
    <row r="392" spans="1:8" x14ac:dyDescent="0.35">
      <c r="A392" t="s">
        <v>4</v>
      </c>
      <c r="B392">
        <v>1</v>
      </c>
    </row>
    <row r="393" spans="1:8" ht="15.5" x14ac:dyDescent="0.35">
      <c r="A393" t="s">
        <v>5</v>
      </c>
      <c r="B393" s="2" t="s">
        <v>759</v>
      </c>
    </row>
    <row r="394" spans="1:8" x14ac:dyDescent="0.35">
      <c r="A394" t="s">
        <v>6</v>
      </c>
      <c r="B394" t="s">
        <v>7</v>
      </c>
    </row>
    <row r="395" spans="1:8" x14ac:dyDescent="0.35">
      <c r="A395" t="s">
        <v>8</v>
      </c>
      <c r="B395" t="s">
        <v>9</v>
      </c>
    </row>
    <row r="396" spans="1:8" x14ac:dyDescent="0.35">
      <c r="A396" t="s">
        <v>10</v>
      </c>
      <c r="B396" t="s">
        <v>674</v>
      </c>
    </row>
    <row r="397" spans="1:8" ht="15.5" x14ac:dyDescent="0.35">
      <c r="A397" s="1" t="s">
        <v>13</v>
      </c>
    </row>
    <row r="398" spans="1:8" x14ac:dyDescent="0.35">
      <c r="A398" t="s">
        <v>14</v>
      </c>
      <c r="B398" t="s">
        <v>15</v>
      </c>
      <c r="C398" t="s">
        <v>2</v>
      </c>
      <c r="D398" t="s">
        <v>8</v>
      </c>
      <c r="E398" t="s">
        <v>16</v>
      </c>
      <c r="F398" t="s">
        <v>6</v>
      </c>
      <c r="G398" t="s">
        <v>12</v>
      </c>
      <c r="H398" t="s">
        <v>5</v>
      </c>
    </row>
    <row r="399" spans="1:8" ht="15.5" x14ac:dyDescent="0.35">
      <c r="A399" s="2" t="s">
        <v>968</v>
      </c>
      <c r="B399">
        <v>1</v>
      </c>
      <c r="C399" t="s">
        <v>600</v>
      </c>
      <c r="D399" t="s">
        <v>9</v>
      </c>
      <c r="E399" t="s">
        <v>760</v>
      </c>
      <c r="F399" t="s">
        <v>18</v>
      </c>
      <c r="G399" t="s">
        <v>19</v>
      </c>
      <c r="H399" s="2" t="s">
        <v>759</v>
      </c>
    </row>
    <row r="400" spans="1:8" x14ac:dyDescent="0.35">
      <c r="A400" t="s">
        <v>966</v>
      </c>
      <c r="B400">
        <f>1/0.975</f>
        <v>1.0256410256410258</v>
      </c>
      <c r="C400" t="s">
        <v>600</v>
      </c>
      <c r="D400" t="s">
        <v>9</v>
      </c>
      <c r="E400" t="s">
        <v>676</v>
      </c>
      <c r="F400" t="s">
        <v>21</v>
      </c>
      <c r="G400" t="s">
        <v>761</v>
      </c>
      <c r="H400" t="s">
        <v>890</v>
      </c>
    </row>
    <row r="401" spans="1:8" x14ac:dyDescent="0.35">
      <c r="A401" t="s">
        <v>762</v>
      </c>
      <c r="B401">
        <v>0.11309544000000001</v>
      </c>
      <c r="C401" t="s">
        <v>27</v>
      </c>
      <c r="D401" t="s">
        <v>9</v>
      </c>
      <c r="E401" t="s">
        <v>676</v>
      </c>
      <c r="F401" t="s">
        <v>21</v>
      </c>
      <c r="G401" t="s">
        <v>763</v>
      </c>
      <c r="H401" t="s">
        <v>764</v>
      </c>
    </row>
    <row r="402" spans="1:8" x14ac:dyDescent="0.35">
      <c r="A402" t="s">
        <v>766</v>
      </c>
      <c r="B402">
        <v>7.7480160000000006E-2</v>
      </c>
      <c r="C402" t="s">
        <v>27</v>
      </c>
      <c r="D402" t="s">
        <v>9</v>
      </c>
      <c r="E402" t="s">
        <v>676</v>
      </c>
      <c r="F402" t="s">
        <v>21</v>
      </c>
      <c r="G402" t="s">
        <v>763</v>
      </c>
      <c r="H402" t="s">
        <v>767</v>
      </c>
    </row>
    <row r="403" spans="1:8" x14ac:dyDescent="0.35">
      <c r="A403" t="s">
        <v>768</v>
      </c>
      <c r="B403">
        <v>1.4508E-2</v>
      </c>
      <c r="C403" t="s">
        <v>27</v>
      </c>
      <c r="D403" t="s">
        <v>9</v>
      </c>
      <c r="E403" t="s">
        <v>676</v>
      </c>
      <c r="F403" t="s">
        <v>21</v>
      </c>
      <c r="G403" t="s">
        <v>763</v>
      </c>
      <c r="H403" t="s">
        <v>769</v>
      </c>
    </row>
    <row r="404" spans="1:8" x14ac:dyDescent="0.35">
      <c r="A404" t="s">
        <v>771</v>
      </c>
      <c r="B404">
        <v>1.3392000000000001E-2</v>
      </c>
      <c r="C404" t="s">
        <v>27</v>
      </c>
      <c r="D404" t="s">
        <v>9</v>
      </c>
      <c r="E404" t="s">
        <v>676</v>
      </c>
      <c r="F404" t="s">
        <v>21</v>
      </c>
      <c r="G404" t="s">
        <v>763</v>
      </c>
      <c r="H404" t="s">
        <v>772</v>
      </c>
    </row>
    <row r="405" spans="1:8" x14ac:dyDescent="0.35">
      <c r="A405" t="s">
        <v>773</v>
      </c>
      <c r="B405">
        <v>2.6784000000000002E-2</v>
      </c>
      <c r="C405" t="s">
        <v>27</v>
      </c>
      <c r="D405" t="s">
        <v>9</v>
      </c>
      <c r="E405" t="s">
        <v>676</v>
      </c>
      <c r="F405" t="s">
        <v>21</v>
      </c>
      <c r="G405" t="s">
        <v>763</v>
      </c>
      <c r="H405" t="s">
        <v>774</v>
      </c>
    </row>
    <row r="406" spans="1:8" x14ac:dyDescent="0.35">
      <c r="A406" t="s">
        <v>108</v>
      </c>
      <c r="B406">
        <v>0.37944000000000006</v>
      </c>
      <c r="C406" t="s">
        <v>665</v>
      </c>
      <c r="D406" t="s">
        <v>45</v>
      </c>
      <c r="E406" t="s">
        <v>681</v>
      </c>
      <c r="F406" t="s">
        <v>21</v>
      </c>
      <c r="G406" t="s">
        <v>19</v>
      </c>
      <c r="H406" t="s">
        <v>111</v>
      </c>
    </row>
    <row r="407" spans="1:8" x14ac:dyDescent="0.35">
      <c r="A407" t="s">
        <v>105</v>
      </c>
      <c r="B407">
        <v>0.15252000000000002</v>
      </c>
      <c r="C407" t="s">
        <v>600</v>
      </c>
      <c r="D407" t="s">
        <v>45</v>
      </c>
      <c r="E407" t="s">
        <v>681</v>
      </c>
      <c r="F407" t="s">
        <v>21</v>
      </c>
      <c r="G407" t="s">
        <v>19</v>
      </c>
      <c r="H407" t="s">
        <v>106</v>
      </c>
    </row>
    <row r="408" spans="1:8" x14ac:dyDescent="0.35">
      <c r="A408" t="s">
        <v>691</v>
      </c>
      <c r="B408">
        <v>0.32736000000000004</v>
      </c>
      <c r="C408" t="s">
        <v>600</v>
      </c>
      <c r="D408" t="s">
        <v>45</v>
      </c>
      <c r="E408" t="s">
        <v>681</v>
      </c>
      <c r="F408" t="s">
        <v>21</v>
      </c>
      <c r="G408" t="s">
        <v>775</v>
      </c>
      <c r="H408" t="s">
        <v>692</v>
      </c>
    </row>
    <row r="409" spans="1:8" x14ac:dyDescent="0.35">
      <c r="A409" t="s">
        <v>691</v>
      </c>
      <c r="B409">
        <v>0.15996000000000002</v>
      </c>
      <c r="C409" t="s">
        <v>600</v>
      </c>
      <c r="D409" t="s">
        <v>45</v>
      </c>
      <c r="E409" t="s">
        <v>681</v>
      </c>
      <c r="F409" t="s">
        <v>21</v>
      </c>
      <c r="G409" t="s">
        <v>776</v>
      </c>
      <c r="H409" t="s">
        <v>692</v>
      </c>
    </row>
    <row r="410" spans="1:8" x14ac:dyDescent="0.35">
      <c r="A410" t="s">
        <v>695</v>
      </c>
      <c r="B410">
        <v>1.11972</v>
      </c>
      <c r="C410" t="s">
        <v>27</v>
      </c>
      <c r="D410" t="s">
        <v>45</v>
      </c>
      <c r="E410" t="s">
        <v>681</v>
      </c>
      <c r="F410" t="s">
        <v>21</v>
      </c>
      <c r="G410" t="s">
        <v>19</v>
      </c>
      <c r="H410" t="s">
        <v>697</v>
      </c>
    </row>
    <row r="411" spans="1:8" x14ac:dyDescent="0.35">
      <c r="A411" t="s">
        <v>699</v>
      </c>
      <c r="B411">
        <v>4.2090311999999998E-2</v>
      </c>
      <c r="C411" t="s">
        <v>665</v>
      </c>
      <c r="D411" t="s">
        <v>31</v>
      </c>
      <c r="E411" t="s">
        <v>681</v>
      </c>
      <c r="F411" t="s">
        <v>21</v>
      </c>
      <c r="G411" t="s">
        <v>777</v>
      </c>
      <c r="H411" t="s">
        <v>701</v>
      </c>
    </row>
    <row r="412" spans="1:8" x14ac:dyDescent="0.35">
      <c r="A412" t="s">
        <v>699</v>
      </c>
      <c r="B412">
        <v>8.6869440000000003E-3</v>
      </c>
      <c r="C412" t="s">
        <v>665</v>
      </c>
      <c r="D412" t="s">
        <v>31</v>
      </c>
      <c r="E412" t="s">
        <v>681</v>
      </c>
      <c r="F412" t="s">
        <v>21</v>
      </c>
      <c r="G412" t="s">
        <v>778</v>
      </c>
      <c r="H412" t="s">
        <v>701</v>
      </c>
    </row>
    <row r="413" spans="1:8" x14ac:dyDescent="0.35">
      <c r="A413" t="s">
        <v>699</v>
      </c>
      <c r="B413">
        <v>3.5161440000000002E-2</v>
      </c>
      <c r="C413" t="s">
        <v>665</v>
      </c>
      <c r="D413" t="s">
        <v>31</v>
      </c>
      <c r="E413" t="s">
        <v>681</v>
      </c>
      <c r="F413" t="s">
        <v>21</v>
      </c>
      <c r="G413" t="s">
        <v>779</v>
      </c>
      <c r="H413" t="s">
        <v>701</v>
      </c>
    </row>
    <row r="414" spans="1:8" x14ac:dyDescent="0.35">
      <c r="A414" t="s">
        <v>120</v>
      </c>
      <c r="B414" s="7">
        <f>Allocation!$B$14-(B400*B388)</f>
        <v>0.89444444444444415</v>
      </c>
      <c r="D414" t="s">
        <v>9</v>
      </c>
      <c r="E414" t="s">
        <v>121</v>
      </c>
      <c r="F414" t="s">
        <v>38</v>
      </c>
    </row>
    <row r="416" spans="1:8" ht="15.5" x14ac:dyDescent="0.35">
      <c r="A416" s="1" t="s">
        <v>1</v>
      </c>
      <c r="B416" s="1" t="s">
        <v>757</v>
      </c>
    </row>
    <row r="417" spans="1:11" x14ac:dyDescent="0.35">
      <c r="A417" t="s">
        <v>2</v>
      </c>
      <c r="B417" t="s">
        <v>600</v>
      </c>
    </row>
    <row r="418" spans="1:11" x14ac:dyDescent="0.35">
      <c r="A418" t="s">
        <v>4</v>
      </c>
      <c r="B418">
        <v>1</v>
      </c>
    </row>
    <row r="419" spans="1:11" ht="15.5" x14ac:dyDescent="0.35">
      <c r="A419" t="s">
        <v>5</v>
      </c>
      <c r="B419" s="2" t="s">
        <v>758</v>
      </c>
    </row>
    <row r="420" spans="1:11" x14ac:dyDescent="0.35">
      <c r="A420" t="s">
        <v>6</v>
      </c>
      <c r="B420" t="s">
        <v>7</v>
      </c>
    </row>
    <row r="421" spans="1:11" x14ac:dyDescent="0.35">
      <c r="A421" t="s">
        <v>8</v>
      </c>
      <c r="B421" t="s">
        <v>9</v>
      </c>
    </row>
    <row r="422" spans="1:11" ht="15.5" x14ac:dyDescent="0.35">
      <c r="A422" s="1" t="s">
        <v>13</v>
      </c>
    </row>
    <row r="423" spans="1:11" x14ac:dyDescent="0.35">
      <c r="A423" t="s">
        <v>14</v>
      </c>
      <c r="B423" t="s">
        <v>15</v>
      </c>
      <c r="C423" t="s">
        <v>2</v>
      </c>
      <c r="D423" t="s">
        <v>8</v>
      </c>
      <c r="E423" t="s">
        <v>16</v>
      </c>
      <c r="F423" t="s">
        <v>6</v>
      </c>
      <c r="G423" t="s">
        <v>351</v>
      </c>
      <c r="H423" t="s">
        <v>352</v>
      </c>
      <c r="I423" t="s">
        <v>17</v>
      </c>
      <c r="J423" t="s">
        <v>12</v>
      </c>
      <c r="K423" t="s">
        <v>5</v>
      </c>
    </row>
    <row r="424" spans="1:11" x14ac:dyDescent="0.35">
      <c r="A424" t="s">
        <v>757</v>
      </c>
      <c r="B424">
        <v>1</v>
      </c>
      <c r="C424" t="s">
        <v>600</v>
      </c>
      <c r="D424" t="s">
        <v>9</v>
      </c>
      <c r="F424" t="s">
        <v>18</v>
      </c>
      <c r="I424">
        <v>100</v>
      </c>
      <c r="J424" t="s">
        <v>19</v>
      </c>
      <c r="K424" t="s">
        <v>758</v>
      </c>
    </row>
    <row r="425" spans="1:11" ht="15.5" x14ac:dyDescent="0.35">
      <c r="A425" s="2" t="s">
        <v>968</v>
      </c>
      <c r="B425">
        <v>1.00057</v>
      </c>
      <c r="C425" t="s">
        <v>600</v>
      </c>
      <c r="D425" t="s">
        <v>9</v>
      </c>
      <c r="F425" t="s">
        <v>21</v>
      </c>
      <c r="K425" s="2" t="s">
        <v>759</v>
      </c>
    </row>
    <row r="426" spans="1:11" x14ac:dyDescent="0.35">
      <c r="A426" t="s">
        <v>30</v>
      </c>
      <c r="B426">
        <v>6.7000000000000002E-3</v>
      </c>
      <c r="C426" t="s">
        <v>600</v>
      </c>
      <c r="D426" t="s">
        <v>31</v>
      </c>
      <c r="F426" t="s">
        <v>21</v>
      </c>
      <c r="K426" t="s">
        <v>32</v>
      </c>
    </row>
    <row r="427" spans="1:11" x14ac:dyDescent="0.35">
      <c r="A427" t="s">
        <v>353</v>
      </c>
      <c r="B427">
        <v>-1.6799999999999999E-4</v>
      </c>
      <c r="C427" t="s">
        <v>665</v>
      </c>
      <c r="D427" t="s">
        <v>9</v>
      </c>
      <c r="F427" t="s">
        <v>21</v>
      </c>
      <c r="K427" t="s">
        <v>354</v>
      </c>
    </row>
    <row r="428" spans="1:11" x14ac:dyDescent="0.35">
      <c r="A428" t="s">
        <v>355</v>
      </c>
      <c r="B428" s="7">
        <v>5.8399999999999999E-4</v>
      </c>
      <c r="C428" t="s">
        <v>673</v>
      </c>
      <c r="D428" t="s">
        <v>20</v>
      </c>
      <c r="F428" t="s">
        <v>21</v>
      </c>
      <c r="K428" t="s">
        <v>356</v>
      </c>
    </row>
    <row r="429" spans="1:11" x14ac:dyDescent="0.35">
      <c r="A429" t="s">
        <v>357</v>
      </c>
      <c r="B429" s="7">
        <v>2.5999999999999998E-10</v>
      </c>
      <c r="C429" t="s">
        <v>600</v>
      </c>
      <c r="D429" t="s">
        <v>8</v>
      </c>
      <c r="F429" t="s">
        <v>21</v>
      </c>
      <c r="K429" t="s">
        <v>358</v>
      </c>
    </row>
    <row r="430" spans="1:11" x14ac:dyDescent="0.35">
      <c r="A430" t="s">
        <v>359</v>
      </c>
      <c r="B430" s="7">
        <v>-6.2700000000000001E-6</v>
      </c>
      <c r="C430" t="s">
        <v>673</v>
      </c>
      <c r="D430" t="s">
        <v>9</v>
      </c>
      <c r="F430" t="s">
        <v>21</v>
      </c>
      <c r="K430" t="s">
        <v>360</v>
      </c>
    </row>
    <row r="431" spans="1:11" x14ac:dyDescent="0.35">
      <c r="A431" t="s">
        <v>361</v>
      </c>
      <c r="B431" s="7">
        <v>-7.4999999999999993E-5</v>
      </c>
      <c r="C431" t="s">
        <v>665</v>
      </c>
      <c r="D431" t="s">
        <v>131</v>
      </c>
      <c r="F431" t="s">
        <v>21</v>
      </c>
      <c r="K431" t="s">
        <v>362</v>
      </c>
    </row>
    <row r="432" spans="1:11" x14ac:dyDescent="0.35">
      <c r="A432" t="s">
        <v>363</v>
      </c>
      <c r="B432" s="7">
        <v>6.8900000000000005E-4</v>
      </c>
      <c r="C432" t="s">
        <v>665</v>
      </c>
      <c r="D432" t="s">
        <v>9</v>
      </c>
      <c r="F432" t="s">
        <v>21</v>
      </c>
      <c r="K432" t="s">
        <v>364</v>
      </c>
    </row>
    <row r="433" spans="1:11" x14ac:dyDescent="0.35">
      <c r="A433" t="s">
        <v>108</v>
      </c>
      <c r="B433">
        <v>3.3599999999999998E-2</v>
      </c>
      <c r="C433" t="s">
        <v>665</v>
      </c>
      <c r="D433" t="s">
        <v>45</v>
      </c>
      <c r="F433" t="s">
        <v>21</v>
      </c>
      <c r="K433" t="s">
        <v>111</v>
      </c>
    </row>
    <row r="434" spans="1:11" x14ac:dyDescent="0.35">
      <c r="A434" t="s">
        <v>365</v>
      </c>
      <c r="B434">
        <v>3.2599999999999997E-2</v>
      </c>
      <c r="C434" t="s">
        <v>600</v>
      </c>
      <c r="D434" t="s">
        <v>45</v>
      </c>
      <c r="F434" t="s">
        <v>21</v>
      </c>
      <c r="K434" t="s">
        <v>366</v>
      </c>
    </row>
    <row r="435" spans="1:11" x14ac:dyDescent="0.35">
      <c r="A435" t="s">
        <v>367</v>
      </c>
      <c r="B435" s="7">
        <v>-6.8899999999999999E-7</v>
      </c>
      <c r="C435" t="s">
        <v>665</v>
      </c>
      <c r="D435" t="s">
        <v>131</v>
      </c>
      <c r="F435" t="s">
        <v>21</v>
      </c>
      <c r="K435" t="s">
        <v>368</v>
      </c>
    </row>
    <row r="436" spans="1:11" ht="16.25" customHeight="1" x14ac:dyDescent="0.35">
      <c r="A436" s="1"/>
      <c r="B436" s="1"/>
    </row>
    <row r="437" spans="1:11" ht="15.5" x14ac:dyDescent="0.35">
      <c r="A437" s="1" t="s">
        <v>1</v>
      </c>
      <c r="B437" s="1" t="s">
        <v>971</v>
      </c>
    </row>
    <row r="438" spans="1:11" x14ac:dyDescent="0.35">
      <c r="A438" t="s">
        <v>2</v>
      </c>
      <c r="B438" t="s">
        <v>600</v>
      </c>
    </row>
    <row r="439" spans="1:11" x14ac:dyDescent="0.35">
      <c r="A439" t="s">
        <v>4</v>
      </c>
      <c r="B439">
        <v>1</v>
      </c>
    </row>
    <row r="440" spans="1:11" x14ac:dyDescent="0.35">
      <c r="A440" t="s">
        <v>5</v>
      </c>
      <c r="B440" t="s">
        <v>827</v>
      </c>
    </row>
    <row r="441" spans="1:11" x14ac:dyDescent="0.35">
      <c r="A441" t="s">
        <v>6</v>
      </c>
      <c r="B441" t="s">
        <v>7</v>
      </c>
    </row>
    <row r="442" spans="1:11" x14ac:dyDescent="0.35">
      <c r="A442" t="s">
        <v>8</v>
      </c>
      <c r="B442" t="s">
        <v>9</v>
      </c>
    </row>
    <row r="443" spans="1:11" x14ac:dyDescent="0.35">
      <c r="A443" t="s">
        <v>954</v>
      </c>
      <c r="B443">
        <v>3</v>
      </c>
    </row>
    <row r="444" spans="1:11" x14ac:dyDescent="0.35">
      <c r="A444" t="s">
        <v>931</v>
      </c>
      <c r="B444" s="45">
        <f>27/0.91</f>
        <v>29.670329670329668</v>
      </c>
    </row>
    <row r="445" spans="1:11" x14ac:dyDescent="0.35">
      <c r="A445" t="s">
        <v>937</v>
      </c>
      <c r="B445" s="31">
        <v>0.15</v>
      </c>
    </row>
    <row r="446" spans="1:11" ht="15.5" x14ac:dyDescent="0.35">
      <c r="A446" s="1" t="s">
        <v>13</v>
      </c>
    </row>
    <row r="447" spans="1:11" x14ac:dyDescent="0.35">
      <c r="A447" t="s">
        <v>14</v>
      </c>
      <c r="B447" t="s">
        <v>15</v>
      </c>
      <c r="C447" t="s">
        <v>2</v>
      </c>
      <c r="D447" t="s">
        <v>8</v>
      </c>
      <c r="E447" t="s">
        <v>16</v>
      </c>
      <c r="F447" t="s">
        <v>6</v>
      </c>
      <c r="G447" t="s">
        <v>12</v>
      </c>
      <c r="H447" t="s">
        <v>5</v>
      </c>
    </row>
    <row r="448" spans="1:11" x14ac:dyDescent="0.35">
      <c r="A448" t="s">
        <v>971</v>
      </c>
      <c r="B448">
        <v>1</v>
      </c>
      <c r="C448" t="s">
        <v>600</v>
      </c>
      <c r="D448" t="s">
        <v>9</v>
      </c>
      <c r="E448" t="s">
        <v>782</v>
      </c>
      <c r="F448" t="s">
        <v>18</v>
      </c>
      <c r="G448" t="s">
        <v>19</v>
      </c>
      <c r="H448" t="s">
        <v>827</v>
      </c>
    </row>
    <row r="449" spans="1:8" x14ac:dyDescent="0.35">
      <c r="A449" t="s">
        <v>971</v>
      </c>
      <c r="B449">
        <v>0.14000000000000001</v>
      </c>
      <c r="C449" t="s">
        <v>600</v>
      </c>
      <c r="D449" t="s">
        <v>9</v>
      </c>
      <c r="E449" t="s">
        <v>782</v>
      </c>
      <c r="F449" t="s">
        <v>21</v>
      </c>
      <c r="H449" t="s">
        <v>827</v>
      </c>
    </row>
    <row r="450" spans="1:8" x14ac:dyDescent="0.35">
      <c r="A450" t="s">
        <v>766</v>
      </c>
      <c r="B450">
        <v>3.3196796703296701E-3</v>
      </c>
      <c r="C450" t="s">
        <v>27</v>
      </c>
      <c r="D450" t="s">
        <v>9</v>
      </c>
      <c r="E450" t="s">
        <v>676</v>
      </c>
      <c r="F450" t="s">
        <v>21</v>
      </c>
      <c r="G450" t="s">
        <v>860</v>
      </c>
      <c r="H450" t="s">
        <v>767</v>
      </c>
    </row>
    <row r="451" spans="1:8" x14ac:dyDescent="0.35">
      <c r="A451" t="s">
        <v>838</v>
      </c>
      <c r="B451">
        <v>4.6404395604395604E-2</v>
      </c>
      <c r="C451" t="s">
        <v>27</v>
      </c>
      <c r="D451" t="s">
        <v>9</v>
      </c>
      <c r="E451" t="s">
        <v>676</v>
      </c>
      <c r="F451" t="s">
        <v>21</v>
      </c>
      <c r="G451" t="s">
        <v>861</v>
      </c>
      <c r="H451" t="s">
        <v>840</v>
      </c>
    </row>
    <row r="452" spans="1:8" x14ac:dyDescent="0.35">
      <c r="A452" t="s">
        <v>643</v>
      </c>
      <c r="B452">
        <f>0.00226978021978022/1000</f>
        <v>2.26978021978022E-6</v>
      </c>
      <c r="C452" t="s">
        <v>27</v>
      </c>
      <c r="D452" t="s">
        <v>9</v>
      </c>
      <c r="E452" t="s">
        <v>676</v>
      </c>
      <c r="F452" t="s">
        <v>21</v>
      </c>
      <c r="G452" t="s">
        <v>862</v>
      </c>
      <c r="H452" t="s">
        <v>642</v>
      </c>
    </row>
    <row r="453" spans="1:8" x14ac:dyDescent="0.35">
      <c r="A453" t="s">
        <v>622</v>
      </c>
      <c r="B453">
        <v>1.0340109890109889E-2</v>
      </c>
      <c r="C453" t="s">
        <v>27</v>
      </c>
      <c r="D453" t="s">
        <v>9</v>
      </c>
      <c r="E453" t="s">
        <v>676</v>
      </c>
      <c r="F453" t="s">
        <v>21</v>
      </c>
      <c r="G453" t="s">
        <v>863</v>
      </c>
      <c r="H453" t="s">
        <v>621</v>
      </c>
    </row>
    <row r="454" spans="1:8" x14ac:dyDescent="0.35">
      <c r="A454" t="s">
        <v>845</v>
      </c>
      <c r="B454">
        <v>1.4123076923076919E-2</v>
      </c>
      <c r="C454" t="s">
        <v>27</v>
      </c>
      <c r="D454" t="s">
        <v>9</v>
      </c>
      <c r="E454" t="s">
        <v>676</v>
      </c>
      <c r="F454" t="s">
        <v>21</v>
      </c>
      <c r="G454" t="s">
        <v>864</v>
      </c>
      <c r="H454" t="s">
        <v>847</v>
      </c>
    </row>
    <row r="455" spans="1:8" x14ac:dyDescent="0.35">
      <c r="A455" t="s">
        <v>865</v>
      </c>
      <c r="B455">
        <v>9.0791208791208781E-3</v>
      </c>
      <c r="C455" t="s">
        <v>27</v>
      </c>
      <c r="D455" t="s">
        <v>9</v>
      </c>
      <c r="E455" t="s">
        <v>676</v>
      </c>
      <c r="F455" t="s">
        <v>21</v>
      </c>
      <c r="G455" t="s">
        <v>866</v>
      </c>
      <c r="H455" t="s">
        <v>867</v>
      </c>
    </row>
    <row r="456" spans="1:8" x14ac:dyDescent="0.35">
      <c r="A456" t="s">
        <v>52</v>
      </c>
      <c r="B456">
        <v>0.10214010989010987</v>
      </c>
      <c r="C456" t="s">
        <v>27</v>
      </c>
      <c r="D456" t="s">
        <v>9</v>
      </c>
      <c r="E456" t="s">
        <v>676</v>
      </c>
      <c r="F456" t="s">
        <v>21</v>
      </c>
      <c r="G456" t="s">
        <v>868</v>
      </c>
      <c r="H456" t="s">
        <v>53</v>
      </c>
    </row>
    <row r="457" spans="1:8" x14ac:dyDescent="0.35">
      <c r="A457" t="s">
        <v>23</v>
      </c>
      <c r="B457">
        <f>0.022609532967033*43</f>
        <v>0.97220991758241904</v>
      </c>
      <c r="C457" t="s">
        <v>27</v>
      </c>
      <c r="D457" t="s">
        <v>20</v>
      </c>
      <c r="E457" t="s">
        <v>676</v>
      </c>
      <c r="F457" t="s">
        <v>21</v>
      </c>
      <c r="G457" t="s">
        <v>869</v>
      </c>
      <c r="H457" t="s">
        <v>24</v>
      </c>
    </row>
    <row r="458" spans="1:8" x14ac:dyDescent="0.35">
      <c r="A458" t="s">
        <v>699</v>
      </c>
      <c r="B458">
        <v>2.1103407692307695E-2</v>
      </c>
      <c r="C458" t="s">
        <v>665</v>
      </c>
      <c r="D458" t="s">
        <v>31</v>
      </c>
      <c r="E458" t="s">
        <v>681</v>
      </c>
      <c r="F458" t="s">
        <v>21</v>
      </c>
      <c r="G458" t="s">
        <v>870</v>
      </c>
      <c r="H458" t="s">
        <v>701</v>
      </c>
    </row>
    <row r="459" spans="1:8" x14ac:dyDescent="0.35">
      <c r="A459" t="s">
        <v>850</v>
      </c>
      <c r="B459">
        <v>3.851312637362637E-3</v>
      </c>
      <c r="C459" t="s">
        <v>600</v>
      </c>
      <c r="D459" t="s">
        <v>9</v>
      </c>
      <c r="E459" t="s">
        <v>676</v>
      </c>
      <c r="F459" t="s">
        <v>21</v>
      </c>
      <c r="G459" t="s">
        <v>860</v>
      </c>
      <c r="H459" t="s">
        <v>851</v>
      </c>
    </row>
    <row r="460" spans="1:8" x14ac:dyDescent="0.35">
      <c r="A460" t="s">
        <v>116</v>
      </c>
      <c r="B460">
        <v>25.219780219780215</v>
      </c>
      <c r="D460" t="s">
        <v>20</v>
      </c>
      <c r="E460" t="s">
        <v>122</v>
      </c>
      <c r="F460" t="s">
        <v>38</v>
      </c>
      <c r="G460" t="s">
        <v>871</v>
      </c>
    </row>
    <row r="461" spans="1:8" x14ac:dyDescent="0.35">
      <c r="A461" t="s">
        <v>42</v>
      </c>
      <c r="B461">
        <v>1.4425714285714285E-3</v>
      </c>
      <c r="D461" t="s">
        <v>9</v>
      </c>
      <c r="E461" t="s">
        <v>39</v>
      </c>
      <c r="F461" t="s">
        <v>38</v>
      </c>
      <c r="G461" t="s">
        <v>858</v>
      </c>
    </row>
    <row r="462" spans="1:8" x14ac:dyDescent="0.35">
      <c r="A462" t="s">
        <v>42</v>
      </c>
      <c r="B462">
        <v>3.026373626373626E-6</v>
      </c>
      <c r="D462" t="s">
        <v>9</v>
      </c>
      <c r="E462" t="s">
        <v>39</v>
      </c>
      <c r="F462" t="s">
        <v>38</v>
      </c>
      <c r="G462" t="s">
        <v>859</v>
      </c>
    </row>
    <row r="463" spans="1:8" x14ac:dyDescent="0.35">
      <c r="A463" t="s">
        <v>120</v>
      </c>
      <c r="B463" s="6">
        <f>0.535*(44/12)*(1-B445)</f>
        <v>1.6674166666666665</v>
      </c>
      <c r="D463" t="s">
        <v>9</v>
      </c>
      <c r="E463" t="s">
        <v>121</v>
      </c>
      <c r="F463" t="s">
        <v>38</v>
      </c>
      <c r="G463" t="s">
        <v>972</v>
      </c>
    </row>
    <row r="464" spans="1:8" x14ac:dyDescent="0.35">
      <c r="A464" t="s">
        <v>205</v>
      </c>
      <c r="B464" s="4">
        <f>1/(($B$443*1000)/10000)</f>
        <v>3.3333333333333335</v>
      </c>
      <c r="D464" t="s">
        <v>123</v>
      </c>
      <c r="E464" t="s">
        <v>124</v>
      </c>
      <c r="F464" t="s">
        <v>38</v>
      </c>
      <c r="G464" t="s">
        <v>973</v>
      </c>
    </row>
    <row r="465" spans="1:8" x14ac:dyDescent="0.35">
      <c r="A465" t="s">
        <v>206</v>
      </c>
      <c r="B465" s="4">
        <f>1/(($B$443*1000)/10000)</f>
        <v>3.3333333333333335</v>
      </c>
      <c r="D465" t="s">
        <v>125</v>
      </c>
      <c r="E465" t="s">
        <v>124</v>
      </c>
      <c r="F465" t="s">
        <v>38</v>
      </c>
      <c r="G465" t="s">
        <v>974</v>
      </c>
    </row>
    <row r="466" spans="1:8" x14ac:dyDescent="0.35">
      <c r="A466" t="s">
        <v>207</v>
      </c>
      <c r="B466" s="4">
        <f>1/(($B$443*1000)/10000)</f>
        <v>3.3333333333333335</v>
      </c>
      <c r="D466" t="s">
        <v>125</v>
      </c>
      <c r="E466" t="s">
        <v>124</v>
      </c>
      <c r="F466" t="s">
        <v>38</v>
      </c>
      <c r="G466" t="s">
        <v>974</v>
      </c>
    </row>
    <row r="468" spans="1:8" ht="15.5" x14ac:dyDescent="0.35">
      <c r="A468" s="1" t="s">
        <v>1</v>
      </c>
      <c r="B468" s="1" t="s">
        <v>826</v>
      </c>
    </row>
    <row r="469" spans="1:8" x14ac:dyDescent="0.35">
      <c r="A469" t="s">
        <v>2</v>
      </c>
      <c r="B469" t="s">
        <v>600</v>
      </c>
    </row>
    <row r="470" spans="1:8" x14ac:dyDescent="0.35">
      <c r="A470" t="s">
        <v>4</v>
      </c>
      <c r="B470">
        <v>1</v>
      </c>
    </row>
    <row r="471" spans="1:8" x14ac:dyDescent="0.35">
      <c r="A471" t="s">
        <v>5</v>
      </c>
      <c r="B471" t="s">
        <v>826</v>
      </c>
    </row>
    <row r="472" spans="1:8" x14ac:dyDescent="0.35">
      <c r="A472" t="s">
        <v>6</v>
      </c>
      <c r="B472" t="s">
        <v>7</v>
      </c>
    </row>
    <row r="473" spans="1:8" x14ac:dyDescent="0.35">
      <c r="A473" t="s">
        <v>8</v>
      </c>
      <c r="B473" t="s">
        <v>9</v>
      </c>
    </row>
    <row r="474" spans="1:8" x14ac:dyDescent="0.35">
      <c r="A474" t="s">
        <v>960</v>
      </c>
      <c r="B474">
        <v>37</v>
      </c>
    </row>
    <row r="475" spans="1:8" ht="15.5" x14ac:dyDescent="0.35">
      <c r="A475" s="1" t="s">
        <v>13</v>
      </c>
    </row>
    <row r="476" spans="1:8" x14ac:dyDescent="0.35">
      <c r="A476" t="s">
        <v>14</v>
      </c>
      <c r="B476" t="s">
        <v>15</v>
      </c>
      <c r="C476" t="s">
        <v>2</v>
      </c>
      <c r="D476" t="s">
        <v>8</v>
      </c>
      <c r="E476" t="s">
        <v>16</v>
      </c>
      <c r="F476" t="s">
        <v>6</v>
      </c>
      <c r="G476" t="s">
        <v>12</v>
      </c>
      <c r="H476" t="s">
        <v>5</v>
      </c>
    </row>
    <row r="477" spans="1:8" x14ac:dyDescent="0.35">
      <c r="A477" t="s">
        <v>826</v>
      </c>
      <c r="B477">
        <v>1</v>
      </c>
      <c r="C477" t="s">
        <v>600</v>
      </c>
      <c r="D477" t="s">
        <v>9</v>
      </c>
      <c r="E477" t="s">
        <v>782</v>
      </c>
      <c r="F477" t="s">
        <v>18</v>
      </c>
      <c r="G477" t="s">
        <v>19</v>
      </c>
      <c r="H477" t="s">
        <v>826</v>
      </c>
    </row>
    <row r="478" spans="1:8" x14ac:dyDescent="0.35">
      <c r="A478" t="s">
        <v>971</v>
      </c>
      <c r="B478" s="6">
        <f>1/0.42/0.91</f>
        <v>2.6164311878597593</v>
      </c>
      <c r="C478" t="s">
        <v>600</v>
      </c>
      <c r="D478" t="s">
        <v>9</v>
      </c>
      <c r="E478" t="s">
        <v>676</v>
      </c>
      <c r="F478" t="s">
        <v>21</v>
      </c>
      <c r="G478" t="s">
        <v>828</v>
      </c>
      <c r="H478" t="s">
        <v>827</v>
      </c>
    </row>
    <row r="479" spans="1:8" x14ac:dyDescent="0.35">
      <c r="A479" t="s">
        <v>680</v>
      </c>
      <c r="B479">
        <v>2.826E-2</v>
      </c>
      <c r="C479" t="s">
        <v>600</v>
      </c>
      <c r="D479" t="s">
        <v>20</v>
      </c>
      <c r="E479" t="s">
        <v>676</v>
      </c>
      <c r="F479" t="s">
        <v>21</v>
      </c>
      <c r="G479" t="s">
        <v>829</v>
      </c>
      <c r="H479" t="s">
        <v>683</v>
      </c>
    </row>
    <row r="480" spans="1:8" x14ac:dyDescent="0.35">
      <c r="A480" t="s">
        <v>814</v>
      </c>
      <c r="B480">
        <v>3.3000000000000003E-5</v>
      </c>
      <c r="C480" t="s">
        <v>27</v>
      </c>
      <c r="D480" t="s">
        <v>9</v>
      </c>
      <c r="E480" t="s">
        <v>676</v>
      </c>
      <c r="F480" t="s">
        <v>21</v>
      </c>
      <c r="G480" t="s">
        <v>830</v>
      </c>
      <c r="H480" t="s">
        <v>815</v>
      </c>
    </row>
    <row r="481" spans="1:14" x14ac:dyDescent="0.35">
      <c r="A481" t="s">
        <v>108</v>
      </c>
      <c r="B481">
        <v>1.9900000000000001E-2</v>
      </c>
      <c r="C481" t="s">
        <v>665</v>
      </c>
      <c r="D481" t="s">
        <v>45</v>
      </c>
      <c r="E481" t="s">
        <v>681</v>
      </c>
      <c r="F481" t="s">
        <v>21</v>
      </c>
      <c r="G481" t="s">
        <v>19</v>
      </c>
      <c r="H481" t="s">
        <v>111</v>
      </c>
    </row>
    <row r="482" spans="1:14" x14ac:dyDescent="0.35">
      <c r="A482" t="s">
        <v>105</v>
      </c>
      <c r="B482">
        <v>2.4170000000000001E-2</v>
      </c>
      <c r="C482" t="s">
        <v>600</v>
      </c>
      <c r="D482" t="s">
        <v>45</v>
      </c>
      <c r="E482" t="s">
        <v>681</v>
      </c>
      <c r="F482" t="s">
        <v>21</v>
      </c>
      <c r="G482" t="s">
        <v>19</v>
      </c>
      <c r="H482" t="s">
        <v>106</v>
      </c>
    </row>
    <row r="483" spans="1:14" x14ac:dyDescent="0.35">
      <c r="A483" t="s">
        <v>691</v>
      </c>
      <c r="B483">
        <v>1.04257E-2</v>
      </c>
      <c r="C483" t="s">
        <v>600</v>
      </c>
      <c r="D483" t="s">
        <v>45</v>
      </c>
      <c r="E483" t="s">
        <v>681</v>
      </c>
      <c r="F483" t="s">
        <v>21</v>
      </c>
      <c r="G483" t="s">
        <v>831</v>
      </c>
      <c r="H483" t="s">
        <v>692</v>
      </c>
    </row>
    <row r="484" spans="1:14" x14ac:dyDescent="0.35">
      <c r="A484" t="s">
        <v>695</v>
      </c>
      <c r="B484">
        <v>0.32177499999999998</v>
      </c>
      <c r="C484" t="s">
        <v>27</v>
      </c>
      <c r="D484" t="s">
        <v>45</v>
      </c>
      <c r="E484" t="s">
        <v>681</v>
      </c>
      <c r="F484" t="s">
        <v>21</v>
      </c>
      <c r="G484" t="s">
        <v>19</v>
      </c>
      <c r="H484" t="s">
        <v>697</v>
      </c>
    </row>
    <row r="485" spans="1:14" x14ac:dyDescent="0.35">
      <c r="A485" t="s">
        <v>699</v>
      </c>
      <c r="B485">
        <v>1.7653E-3</v>
      </c>
      <c r="C485" t="s">
        <v>665</v>
      </c>
      <c r="D485" t="s">
        <v>31</v>
      </c>
      <c r="E485" t="s">
        <v>676</v>
      </c>
      <c r="F485" t="s">
        <v>21</v>
      </c>
      <c r="G485" t="s">
        <v>832</v>
      </c>
      <c r="H485" t="s">
        <v>701</v>
      </c>
    </row>
    <row r="487" spans="1:14" ht="15.5" x14ac:dyDescent="0.35">
      <c r="A487" s="1" t="s">
        <v>1</v>
      </c>
      <c r="B487" s="1" t="s">
        <v>783</v>
      </c>
    </row>
    <row r="488" spans="1:14" x14ac:dyDescent="0.35">
      <c r="A488" t="s">
        <v>2</v>
      </c>
      <c r="B488" t="s">
        <v>600</v>
      </c>
    </row>
    <row r="489" spans="1:14" x14ac:dyDescent="0.35">
      <c r="A489" t="s">
        <v>4</v>
      </c>
      <c r="B489">
        <v>1</v>
      </c>
    </row>
    <row r="490" spans="1:14" x14ac:dyDescent="0.35">
      <c r="A490" t="s">
        <v>5</v>
      </c>
      <c r="B490" t="s">
        <v>783</v>
      </c>
    </row>
    <row r="491" spans="1:14" x14ac:dyDescent="0.35">
      <c r="A491" t="s">
        <v>6</v>
      </c>
      <c r="B491" t="s">
        <v>7</v>
      </c>
    </row>
    <row r="492" spans="1:14" x14ac:dyDescent="0.35">
      <c r="A492" t="s">
        <v>8</v>
      </c>
      <c r="B492" t="s">
        <v>9</v>
      </c>
    </row>
    <row r="493" spans="1:14" x14ac:dyDescent="0.35">
      <c r="A493" t="s">
        <v>960</v>
      </c>
      <c r="B493">
        <v>37</v>
      </c>
    </row>
    <row r="494" spans="1:14" ht="15.5" x14ac:dyDescent="0.35">
      <c r="A494" s="1" t="s">
        <v>13</v>
      </c>
    </row>
    <row r="495" spans="1:14" x14ac:dyDescent="0.35">
      <c r="A495" t="s">
        <v>14</v>
      </c>
      <c r="B495" t="s">
        <v>15</v>
      </c>
      <c r="C495" t="s">
        <v>2</v>
      </c>
      <c r="D495" t="s">
        <v>8</v>
      </c>
      <c r="E495" t="s">
        <v>16</v>
      </c>
      <c r="F495" t="s">
        <v>6</v>
      </c>
      <c r="G495" t="s">
        <v>351</v>
      </c>
      <c r="H495" t="s">
        <v>352</v>
      </c>
      <c r="I495" t="s">
        <v>17</v>
      </c>
      <c r="J495" t="s">
        <v>12</v>
      </c>
      <c r="K495" t="s">
        <v>675</v>
      </c>
      <c r="L495" t="s">
        <v>5</v>
      </c>
      <c r="M495" t="s">
        <v>707</v>
      </c>
      <c r="N495" t="s">
        <v>708</v>
      </c>
    </row>
    <row r="496" spans="1:14" x14ac:dyDescent="0.35">
      <c r="A496" t="s">
        <v>783</v>
      </c>
      <c r="B496">
        <v>1</v>
      </c>
      <c r="C496" t="s">
        <v>600</v>
      </c>
      <c r="D496" t="s">
        <v>9</v>
      </c>
      <c r="E496" t="s">
        <v>782</v>
      </c>
      <c r="F496" t="s">
        <v>18</v>
      </c>
      <c r="I496">
        <v>100</v>
      </c>
      <c r="J496" t="s">
        <v>19</v>
      </c>
      <c r="K496" t="s">
        <v>783</v>
      </c>
    </row>
    <row r="497" spans="1:14" x14ac:dyDescent="0.35">
      <c r="A497" t="s">
        <v>826</v>
      </c>
      <c r="B497">
        <v>1.0246</v>
      </c>
      <c r="C497" t="s">
        <v>600</v>
      </c>
      <c r="D497" t="s">
        <v>9</v>
      </c>
      <c r="E497" t="s">
        <v>676</v>
      </c>
      <c r="F497" t="s">
        <v>21</v>
      </c>
      <c r="G497">
        <v>0</v>
      </c>
      <c r="H497">
        <v>1.0246</v>
      </c>
      <c r="J497" t="s">
        <v>857</v>
      </c>
      <c r="K497" t="s">
        <v>826</v>
      </c>
    </row>
    <row r="498" spans="1:14" x14ac:dyDescent="0.35">
      <c r="A498" t="s">
        <v>680</v>
      </c>
      <c r="B498">
        <v>4.0000000000000001E-3</v>
      </c>
      <c r="C498" t="s">
        <v>600</v>
      </c>
      <c r="D498" t="s">
        <v>20</v>
      </c>
      <c r="E498" t="s">
        <v>676</v>
      </c>
      <c r="F498" t="s">
        <v>21</v>
      </c>
      <c r="G498">
        <v>0</v>
      </c>
      <c r="H498">
        <v>4.0000000000000001E-3</v>
      </c>
      <c r="J498" t="s">
        <v>857</v>
      </c>
      <c r="K498" t="s">
        <v>683</v>
      </c>
      <c r="L498" t="s">
        <v>683</v>
      </c>
      <c r="M498" t="s">
        <v>712</v>
      </c>
      <c r="N498" t="s">
        <v>713</v>
      </c>
    </row>
    <row r="499" spans="1:14" x14ac:dyDescent="0.35">
      <c r="A499" t="s">
        <v>768</v>
      </c>
      <c r="B499">
        <v>3.1999999999999999E-5</v>
      </c>
      <c r="C499" t="s">
        <v>27</v>
      </c>
      <c r="D499" t="s">
        <v>9</v>
      </c>
      <c r="E499" t="s">
        <v>676</v>
      </c>
      <c r="F499" t="s">
        <v>21</v>
      </c>
      <c r="G499">
        <v>0</v>
      </c>
      <c r="H499">
        <v>3.1999999999999999E-5</v>
      </c>
      <c r="J499" t="s">
        <v>857</v>
      </c>
      <c r="K499" t="s">
        <v>769</v>
      </c>
      <c r="L499" t="s">
        <v>769</v>
      </c>
      <c r="M499" t="s">
        <v>770</v>
      </c>
      <c r="N499" t="s">
        <v>713</v>
      </c>
    </row>
    <row r="500" spans="1:14" x14ac:dyDescent="0.35">
      <c r="A500" t="s">
        <v>401</v>
      </c>
      <c r="B500">
        <v>8.7999999999999998E-5</v>
      </c>
      <c r="C500" t="s">
        <v>27</v>
      </c>
      <c r="D500" t="s">
        <v>9</v>
      </c>
      <c r="E500" t="s">
        <v>676</v>
      </c>
      <c r="F500" t="s">
        <v>21</v>
      </c>
      <c r="G500">
        <v>0</v>
      </c>
      <c r="H500">
        <v>8.7999999999999998E-5</v>
      </c>
      <c r="J500" t="s">
        <v>857</v>
      </c>
      <c r="K500" t="s">
        <v>402</v>
      </c>
      <c r="L500" t="s">
        <v>402</v>
      </c>
      <c r="M500" t="s">
        <v>730</v>
      </c>
      <c r="N500" t="s">
        <v>713</v>
      </c>
    </row>
    <row r="501" spans="1:14" x14ac:dyDescent="0.35">
      <c r="A501" t="s">
        <v>699</v>
      </c>
      <c r="B501">
        <v>2.5020000000000001E-4</v>
      </c>
      <c r="C501" t="s">
        <v>665</v>
      </c>
      <c r="D501" t="s">
        <v>31</v>
      </c>
      <c r="E501" t="s">
        <v>676</v>
      </c>
      <c r="F501" t="s">
        <v>21</v>
      </c>
      <c r="G501">
        <v>0</v>
      </c>
      <c r="H501">
        <v>8.9999999999999998E-4</v>
      </c>
      <c r="J501" t="s">
        <v>857</v>
      </c>
      <c r="K501" t="s">
        <v>701</v>
      </c>
      <c r="L501" t="s">
        <v>701</v>
      </c>
      <c r="M501" t="s">
        <v>721</v>
      </c>
      <c r="N501" t="s">
        <v>713</v>
      </c>
    </row>
    <row r="503" spans="1:14" ht="15.5" x14ac:dyDescent="0.35">
      <c r="A503" s="1" t="s">
        <v>1</v>
      </c>
      <c r="B503" s="1" t="s">
        <v>975</v>
      </c>
    </row>
    <row r="504" spans="1:14" x14ac:dyDescent="0.35">
      <c r="A504" t="s">
        <v>2</v>
      </c>
      <c r="B504" t="s">
        <v>600</v>
      </c>
    </row>
    <row r="505" spans="1:14" x14ac:dyDescent="0.35">
      <c r="A505" t="s">
        <v>4</v>
      </c>
      <c r="B505">
        <v>1</v>
      </c>
    </row>
    <row r="506" spans="1:14" ht="15.5" x14ac:dyDescent="0.35">
      <c r="A506" t="s">
        <v>5</v>
      </c>
      <c r="B506" s="2" t="s">
        <v>781</v>
      </c>
    </row>
    <row r="507" spans="1:14" x14ac:dyDescent="0.35">
      <c r="A507" t="s">
        <v>6</v>
      </c>
      <c r="B507" t="s">
        <v>7</v>
      </c>
    </row>
    <row r="508" spans="1:14" x14ac:dyDescent="0.35">
      <c r="A508" t="s">
        <v>8</v>
      </c>
      <c r="B508" t="s">
        <v>9</v>
      </c>
    </row>
    <row r="509" spans="1:14" x14ac:dyDescent="0.35">
      <c r="A509" t="s">
        <v>10</v>
      </c>
      <c r="B509" t="s">
        <v>674</v>
      </c>
    </row>
    <row r="510" spans="1:14" ht="15.5" x14ac:dyDescent="0.35">
      <c r="A510" s="1" t="s">
        <v>13</v>
      </c>
    </row>
    <row r="511" spans="1:14" x14ac:dyDescent="0.35">
      <c r="A511" t="s">
        <v>14</v>
      </c>
      <c r="B511" t="s">
        <v>15</v>
      </c>
      <c r="C511" t="s">
        <v>2</v>
      </c>
      <c r="D511" t="s">
        <v>8</v>
      </c>
      <c r="E511" t="s">
        <v>16</v>
      </c>
      <c r="F511" t="s">
        <v>6</v>
      </c>
      <c r="G511" t="s">
        <v>12</v>
      </c>
      <c r="H511" t="s">
        <v>5</v>
      </c>
    </row>
    <row r="512" spans="1:14" ht="15.5" x14ac:dyDescent="0.35">
      <c r="A512" s="2" t="s">
        <v>975</v>
      </c>
      <c r="B512">
        <v>1</v>
      </c>
      <c r="C512" t="s">
        <v>600</v>
      </c>
      <c r="D512" t="s">
        <v>9</v>
      </c>
      <c r="E512" t="s">
        <v>782</v>
      </c>
      <c r="F512" t="s">
        <v>18</v>
      </c>
      <c r="G512" t="s">
        <v>19</v>
      </c>
    </row>
    <row r="513" spans="1:8" x14ac:dyDescent="0.35">
      <c r="A513" t="s">
        <v>783</v>
      </c>
      <c r="B513" s="5">
        <f>37.223436/B493</f>
        <v>1.0060388108108107</v>
      </c>
      <c r="C513" t="s">
        <v>600</v>
      </c>
      <c r="D513" t="s">
        <v>9</v>
      </c>
      <c r="E513" t="s">
        <v>676</v>
      </c>
      <c r="F513" t="s">
        <v>21</v>
      </c>
      <c r="G513" t="s">
        <v>784</v>
      </c>
    </row>
    <row r="514" spans="1:8" x14ac:dyDescent="0.35">
      <c r="A514" t="s">
        <v>680</v>
      </c>
      <c r="B514">
        <v>1.2276000000000002</v>
      </c>
      <c r="C514" t="s">
        <v>600</v>
      </c>
      <c r="D514" t="s">
        <v>20</v>
      </c>
      <c r="E514" t="s">
        <v>681</v>
      </c>
      <c r="F514" t="s">
        <v>21</v>
      </c>
      <c r="G514" t="s">
        <v>785</v>
      </c>
      <c r="H514" t="s">
        <v>683</v>
      </c>
    </row>
    <row r="515" spans="1:8" x14ac:dyDescent="0.35">
      <c r="A515" t="s">
        <v>786</v>
      </c>
      <c r="B515">
        <v>3.6084000000000003E-3</v>
      </c>
      <c r="C515" t="s">
        <v>600</v>
      </c>
      <c r="D515" t="s">
        <v>9</v>
      </c>
      <c r="E515" t="s">
        <v>676</v>
      </c>
      <c r="F515" t="s">
        <v>21</v>
      </c>
      <c r="G515" t="s">
        <v>784</v>
      </c>
      <c r="H515" t="s">
        <v>787</v>
      </c>
    </row>
    <row r="516" spans="1:8" x14ac:dyDescent="0.35">
      <c r="A516" t="s">
        <v>762</v>
      </c>
      <c r="B516">
        <v>9.5284080000000007E-2</v>
      </c>
      <c r="C516" t="s">
        <v>27</v>
      </c>
      <c r="D516" t="s">
        <v>9</v>
      </c>
      <c r="E516" t="s">
        <v>676</v>
      </c>
      <c r="F516" t="s">
        <v>21</v>
      </c>
      <c r="G516" t="s">
        <v>784</v>
      </c>
      <c r="H516" t="s">
        <v>764</v>
      </c>
    </row>
    <row r="517" spans="1:8" x14ac:dyDescent="0.35">
      <c r="A517" t="s">
        <v>789</v>
      </c>
      <c r="B517">
        <v>4.2594000000000009E-3</v>
      </c>
      <c r="C517" t="s">
        <v>27</v>
      </c>
      <c r="D517" t="s">
        <v>9</v>
      </c>
      <c r="E517" t="s">
        <v>676</v>
      </c>
      <c r="F517" t="s">
        <v>21</v>
      </c>
      <c r="G517" t="s">
        <v>790</v>
      </c>
      <c r="H517" t="s">
        <v>791</v>
      </c>
    </row>
    <row r="518" spans="1:8" x14ac:dyDescent="0.35">
      <c r="A518" t="s">
        <v>108</v>
      </c>
      <c r="B518">
        <v>0.37944000000000006</v>
      </c>
      <c r="C518" t="s">
        <v>665</v>
      </c>
      <c r="D518" t="s">
        <v>45</v>
      </c>
      <c r="E518" t="s">
        <v>681</v>
      </c>
      <c r="F518" t="s">
        <v>21</v>
      </c>
      <c r="G518" t="s">
        <v>19</v>
      </c>
      <c r="H518" t="s">
        <v>111</v>
      </c>
    </row>
    <row r="519" spans="1:8" x14ac:dyDescent="0.35">
      <c r="A519" t="s">
        <v>105</v>
      </c>
      <c r="B519">
        <v>0.15252000000000002</v>
      </c>
      <c r="C519" t="s">
        <v>600</v>
      </c>
      <c r="D519" t="s">
        <v>45</v>
      </c>
      <c r="E519" t="s">
        <v>681</v>
      </c>
      <c r="F519" t="s">
        <v>21</v>
      </c>
      <c r="G519" t="s">
        <v>19</v>
      </c>
      <c r="H519" t="s">
        <v>106</v>
      </c>
    </row>
    <row r="520" spans="1:8" x14ac:dyDescent="0.35">
      <c r="A520" t="s">
        <v>691</v>
      </c>
      <c r="B520">
        <v>0.32736000000000004</v>
      </c>
      <c r="C520" t="s">
        <v>600</v>
      </c>
      <c r="D520" t="s">
        <v>45</v>
      </c>
      <c r="E520" t="s">
        <v>681</v>
      </c>
      <c r="F520" t="s">
        <v>21</v>
      </c>
      <c r="G520" t="s">
        <v>793</v>
      </c>
      <c r="H520" t="s">
        <v>692</v>
      </c>
    </row>
    <row r="521" spans="1:8" x14ac:dyDescent="0.35">
      <c r="A521" t="s">
        <v>691</v>
      </c>
      <c r="B521">
        <v>0.15996000000000002</v>
      </c>
      <c r="C521" t="s">
        <v>600</v>
      </c>
      <c r="D521" t="s">
        <v>45</v>
      </c>
      <c r="E521" t="s">
        <v>681</v>
      </c>
      <c r="F521" t="s">
        <v>21</v>
      </c>
      <c r="G521" t="s">
        <v>794</v>
      </c>
      <c r="H521" t="s">
        <v>692</v>
      </c>
    </row>
    <row r="522" spans="1:8" x14ac:dyDescent="0.35">
      <c r="A522" t="s">
        <v>695</v>
      </c>
      <c r="B522">
        <v>1.11972</v>
      </c>
      <c r="C522" t="s">
        <v>27</v>
      </c>
      <c r="D522" t="s">
        <v>45</v>
      </c>
      <c r="E522" t="s">
        <v>681</v>
      </c>
      <c r="F522" t="s">
        <v>21</v>
      </c>
      <c r="G522" t="s">
        <v>19</v>
      </c>
      <c r="H522" t="s">
        <v>697</v>
      </c>
    </row>
    <row r="523" spans="1:8" x14ac:dyDescent="0.35">
      <c r="A523" t="s">
        <v>795</v>
      </c>
      <c r="B523">
        <v>7.4400000000000013E-3</v>
      </c>
      <c r="C523" t="s">
        <v>600</v>
      </c>
      <c r="D523" t="s">
        <v>45</v>
      </c>
      <c r="E523" t="s">
        <v>681</v>
      </c>
      <c r="F523" t="s">
        <v>21</v>
      </c>
      <c r="G523" t="s">
        <v>19</v>
      </c>
      <c r="H523" t="s">
        <v>796</v>
      </c>
    </row>
    <row r="524" spans="1:8" x14ac:dyDescent="0.35">
      <c r="A524" t="s">
        <v>699</v>
      </c>
      <c r="B524">
        <v>4.1883480000000001E-2</v>
      </c>
      <c r="C524" t="s">
        <v>665</v>
      </c>
      <c r="D524" t="s">
        <v>31</v>
      </c>
      <c r="E524" t="s">
        <v>681</v>
      </c>
      <c r="F524" t="s">
        <v>21</v>
      </c>
      <c r="G524" t="s">
        <v>797</v>
      </c>
      <c r="H524" t="s">
        <v>701</v>
      </c>
    </row>
    <row r="525" spans="1:8" x14ac:dyDescent="0.35">
      <c r="A525" t="s">
        <v>699</v>
      </c>
      <c r="B525">
        <v>8.6869440000000003E-3</v>
      </c>
      <c r="C525" t="s">
        <v>665</v>
      </c>
      <c r="D525" t="s">
        <v>31</v>
      </c>
      <c r="E525" t="s">
        <v>681</v>
      </c>
      <c r="F525" t="s">
        <v>21</v>
      </c>
      <c r="G525" t="s">
        <v>798</v>
      </c>
      <c r="H525" t="s">
        <v>701</v>
      </c>
    </row>
    <row r="526" spans="1:8" x14ac:dyDescent="0.35">
      <c r="A526" t="s">
        <v>699</v>
      </c>
      <c r="B526">
        <v>3.5161440000000002E-2</v>
      </c>
      <c r="C526" t="s">
        <v>665</v>
      </c>
      <c r="D526" t="s">
        <v>31</v>
      </c>
      <c r="E526" t="s">
        <v>681</v>
      </c>
      <c r="F526" t="s">
        <v>21</v>
      </c>
      <c r="G526" t="s">
        <v>799</v>
      </c>
      <c r="H526" t="s">
        <v>701</v>
      </c>
    </row>
    <row r="527" spans="1:8" x14ac:dyDescent="0.35">
      <c r="A527" t="s">
        <v>201</v>
      </c>
      <c r="B527">
        <f>(B513*B497*B478*(1+B449)*B463)-Allocation!B14</f>
        <v>2.2765759229602005</v>
      </c>
      <c r="D527" t="s">
        <v>9</v>
      </c>
      <c r="E527" t="s">
        <v>39</v>
      </c>
      <c r="F527" t="s">
        <v>38</v>
      </c>
    </row>
    <row r="529" spans="1:11" ht="15.5" x14ac:dyDescent="0.35">
      <c r="A529" s="1" t="s">
        <v>1</v>
      </c>
      <c r="B529" s="1" t="s">
        <v>780</v>
      </c>
    </row>
    <row r="530" spans="1:11" x14ac:dyDescent="0.35">
      <c r="A530" t="s">
        <v>2</v>
      </c>
      <c r="B530" t="s">
        <v>600</v>
      </c>
    </row>
    <row r="531" spans="1:11" x14ac:dyDescent="0.35">
      <c r="A531" t="s">
        <v>4</v>
      </c>
      <c r="B531">
        <v>1</v>
      </c>
    </row>
    <row r="532" spans="1:11" ht="15.5" x14ac:dyDescent="0.35">
      <c r="A532" t="s">
        <v>5</v>
      </c>
      <c r="B532" s="2" t="s">
        <v>758</v>
      </c>
    </row>
    <row r="533" spans="1:11" x14ac:dyDescent="0.35">
      <c r="A533" t="s">
        <v>6</v>
      </c>
      <c r="B533" t="s">
        <v>7</v>
      </c>
    </row>
    <row r="534" spans="1:11" x14ac:dyDescent="0.35">
      <c r="A534" t="s">
        <v>8</v>
      </c>
      <c r="B534" t="s">
        <v>9</v>
      </c>
    </row>
    <row r="535" spans="1:11" ht="15.5" x14ac:dyDescent="0.35">
      <c r="A535" s="1" t="s">
        <v>13</v>
      </c>
    </row>
    <row r="536" spans="1:11" x14ac:dyDescent="0.35">
      <c r="A536" t="s">
        <v>14</v>
      </c>
      <c r="B536" t="s">
        <v>15</v>
      </c>
      <c r="C536" t="s">
        <v>2</v>
      </c>
      <c r="D536" t="s">
        <v>8</v>
      </c>
      <c r="E536" t="s">
        <v>16</v>
      </c>
      <c r="F536" t="s">
        <v>6</v>
      </c>
      <c r="G536" t="s">
        <v>351</v>
      </c>
      <c r="H536" t="s">
        <v>352</v>
      </c>
      <c r="I536" t="s">
        <v>17</v>
      </c>
      <c r="J536" t="s">
        <v>12</v>
      </c>
      <c r="K536" t="s">
        <v>5</v>
      </c>
    </row>
    <row r="537" spans="1:11" x14ac:dyDescent="0.35">
      <c r="A537" t="s">
        <v>780</v>
      </c>
      <c r="B537">
        <v>1</v>
      </c>
      <c r="C537" t="s">
        <v>600</v>
      </c>
      <c r="D537" t="s">
        <v>9</v>
      </c>
      <c r="F537" t="s">
        <v>18</v>
      </c>
      <c r="I537">
        <v>100</v>
      </c>
      <c r="J537" t="s">
        <v>19</v>
      </c>
      <c r="K537" t="s">
        <v>758</v>
      </c>
    </row>
    <row r="538" spans="1:11" ht="15.5" x14ac:dyDescent="0.35">
      <c r="A538" s="2" t="s">
        <v>975</v>
      </c>
      <c r="B538">
        <v>1.00057</v>
      </c>
      <c r="C538" t="s">
        <v>600</v>
      </c>
      <c r="D538" t="s">
        <v>9</v>
      </c>
      <c r="F538" t="s">
        <v>21</v>
      </c>
      <c r="K538" s="2" t="s">
        <v>781</v>
      </c>
    </row>
    <row r="539" spans="1:11" x14ac:dyDescent="0.35">
      <c r="A539" t="s">
        <v>30</v>
      </c>
      <c r="B539">
        <v>6.7000000000000002E-3</v>
      </c>
      <c r="C539" t="s">
        <v>600</v>
      </c>
      <c r="D539" t="s">
        <v>31</v>
      </c>
      <c r="F539" t="s">
        <v>21</v>
      </c>
      <c r="K539" t="s">
        <v>32</v>
      </c>
    </row>
    <row r="540" spans="1:11" x14ac:dyDescent="0.35">
      <c r="A540" t="s">
        <v>353</v>
      </c>
      <c r="B540">
        <v>-1.6799999999999999E-4</v>
      </c>
      <c r="C540" t="s">
        <v>665</v>
      </c>
      <c r="D540" t="s">
        <v>9</v>
      </c>
      <c r="F540" t="s">
        <v>21</v>
      </c>
      <c r="K540" t="s">
        <v>354</v>
      </c>
    </row>
    <row r="541" spans="1:11" x14ac:dyDescent="0.35">
      <c r="A541" t="s">
        <v>355</v>
      </c>
      <c r="B541" s="7">
        <v>5.8399999999999999E-4</v>
      </c>
      <c r="C541" t="s">
        <v>673</v>
      </c>
      <c r="D541" t="s">
        <v>20</v>
      </c>
      <c r="F541" t="s">
        <v>21</v>
      </c>
      <c r="K541" t="s">
        <v>356</v>
      </c>
    </row>
    <row r="542" spans="1:11" x14ac:dyDescent="0.35">
      <c r="A542" t="s">
        <v>357</v>
      </c>
      <c r="B542" s="7">
        <v>2.5999999999999998E-10</v>
      </c>
      <c r="C542" t="s">
        <v>600</v>
      </c>
      <c r="D542" t="s">
        <v>8</v>
      </c>
      <c r="F542" t="s">
        <v>21</v>
      </c>
      <c r="K542" t="s">
        <v>358</v>
      </c>
    </row>
    <row r="543" spans="1:11" x14ac:dyDescent="0.35">
      <c r="A543" t="s">
        <v>359</v>
      </c>
      <c r="B543" s="7">
        <v>-6.2700000000000001E-6</v>
      </c>
      <c r="C543" t="s">
        <v>673</v>
      </c>
      <c r="D543" t="s">
        <v>9</v>
      </c>
      <c r="F543" t="s">
        <v>21</v>
      </c>
      <c r="K543" t="s">
        <v>360</v>
      </c>
    </row>
    <row r="544" spans="1:11" x14ac:dyDescent="0.35">
      <c r="A544" t="s">
        <v>361</v>
      </c>
      <c r="B544" s="7">
        <v>-7.4999999999999993E-5</v>
      </c>
      <c r="C544" t="s">
        <v>665</v>
      </c>
      <c r="D544" t="s">
        <v>131</v>
      </c>
      <c r="F544" t="s">
        <v>21</v>
      </c>
      <c r="K544" t="s">
        <v>362</v>
      </c>
    </row>
    <row r="545" spans="1:11" x14ac:dyDescent="0.35">
      <c r="A545" t="s">
        <v>363</v>
      </c>
      <c r="B545" s="7">
        <v>6.8900000000000005E-4</v>
      </c>
      <c r="C545" t="s">
        <v>665</v>
      </c>
      <c r="D545" t="s">
        <v>9</v>
      </c>
      <c r="F545" t="s">
        <v>21</v>
      </c>
      <c r="K545" t="s">
        <v>364</v>
      </c>
    </row>
    <row r="546" spans="1:11" x14ac:dyDescent="0.35">
      <c r="A546" t="s">
        <v>108</v>
      </c>
      <c r="B546">
        <v>3.3599999999999998E-2</v>
      </c>
      <c r="C546" t="s">
        <v>665</v>
      </c>
      <c r="D546" t="s">
        <v>45</v>
      </c>
      <c r="F546" t="s">
        <v>21</v>
      </c>
      <c r="K546" t="s">
        <v>111</v>
      </c>
    </row>
    <row r="547" spans="1:11" x14ac:dyDescent="0.35">
      <c r="A547" t="s">
        <v>365</v>
      </c>
      <c r="B547">
        <v>3.2599999999999997E-2</v>
      </c>
      <c r="C547" t="s">
        <v>600</v>
      </c>
      <c r="D547" t="s">
        <v>45</v>
      </c>
      <c r="F547" t="s">
        <v>21</v>
      </c>
      <c r="K547" t="s">
        <v>366</v>
      </c>
    </row>
    <row r="548" spans="1:11" x14ac:dyDescent="0.35">
      <c r="A548" t="s">
        <v>367</v>
      </c>
      <c r="B548" s="7">
        <v>-6.8899999999999999E-7</v>
      </c>
      <c r="C548" t="s">
        <v>665</v>
      </c>
      <c r="D548" t="s">
        <v>131</v>
      </c>
      <c r="F548" t="s">
        <v>21</v>
      </c>
      <c r="K548" t="s">
        <v>368</v>
      </c>
    </row>
    <row r="549" spans="1:11" ht="16.25" customHeight="1" x14ac:dyDescent="0.35">
      <c r="A549" s="1"/>
      <c r="B549" s="1"/>
    </row>
    <row r="550" spans="1:11" ht="15.5" x14ac:dyDescent="0.35">
      <c r="A550" s="1" t="s">
        <v>1</v>
      </c>
      <c r="B550" s="1" t="s">
        <v>977</v>
      </c>
    </row>
    <row r="551" spans="1:11" x14ac:dyDescent="0.35">
      <c r="A551" t="s">
        <v>2</v>
      </c>
      <c r="B551" t="s">
        <v>600</v>
      </c>
    </row>
    <row r="552" spans="1:11" x14ac:dyDescent="0.35">
      <c r="A552" t="s">
        <v>4</v>
      </c>
      <c r="B552">
        <v>1</v>
      </c>
    </row>
    <row r="553" spans="1:11" x14ac:dyDescent="0.35">
      <c r="A553" t="s">
        <v>5</v>
      </c>
      <c r="B553" t="s">
        <v>819</v>
      </c>
    </row>
    <row r="554" spans="1:11" x14ac:dyDescent="0.35">
      <c r="A554" t="s">
        <v>6</v>
      </c>
      <c r="B554" t="s">
        <v>7</v>
      </c>
    </row>
    <row r="555" spans="1:11" x14ac:dyDescent="0.35">
      <c r="A555" t="s">
        <v>8</v>
      </c>
      <c r="B555" t="s">
        <v>9</v>
      </c>
    </row>
    <row r="556" spans="1:11" x14ac:dyDescent="0.35">
      <c r="A556" t="s">
        <v>960</v>
      </c>
      <c r="B556">
        <v>24</v>
      </c>
    </row>
    <row r="557" spans="1:11" x14ac:dyDescent="0.35">
      <c r="A557" t="s">
        <v>937</v>
      </c>
      <c r="B557" s="31">
        <v>0.08</v>
      </c>
    </row>
    <row r="558" spans="1:11" ht="15.5" x14ac:dyDescent="0.35">
      <c r="A558" s="1" t="s">
        <v>13</v>
      </c>
    </row>
    <row r="559" spans="1:11" x14ac:dyDescent="0.35">
      <c r="A559" t="s">
        <v>14</v>
      </c>
      <c r="B559" t="s">
        <v>15</v>
      </c>
      <c r="C559" t="s">
        <v>2</v>
      </c>
      <c r="D559" t="s">
        <v>8</v>
      </c>
      <c r="E559" t="s">
        <v>16</v>
      </c>
      <c r="F559" t="s">
        <v>6</v>
      </c>
      <c r="G559" t="s">
        <v>12</v>
      </c>
      <c r="H559" t="s">
        <v>5</v>
      </c>
    </row>
    <row r="560" spans="1:11" x14ac:dyDescent="0.35">
      <c r="A560" t="s">
        <v>977</v>
      </c>
      <c r="B560">
        <v>1</v>
      </c>
      <c r="C560" t="s">
        <v>600</v>
      </c>
      <c r="D560" t="s">
        <v>9</v>
      </c>
      <c r="E560" t="s">
        <v>802</v>
      </c>
      <c r="F560" t="s">
        <v>18</v>
      </c>
      <c r="G560" t="s">
        <v>19</v>
      </c>
      <c r="H560" t="s">
        <v>819</v>
      </c>
    </row>
    <row r="561" spans="1:8" x14ac:dyDescent="0.35">
      <c r="A561" t="s">
        <v>977</v>
      </c>
      <c r="B561">
        <v>0.14000000000000001</v>
      </c>
      <c r="C561" t="s">
        <v>600</v>
      </c>
      <c r="D561" t="s">
        <v>9</v>
      </c>
      <c r="E561" t="s">
        <v>802</v>
      </c>
      <c r="F561" t="s">
        <v>21</v>
      </c>
      <c r="H561" t="s">
        <v>819</v>
      </c>
    </row>
    <row r="562" spans="1:8" x14ac:dyDescent="0.35">
      <c r="A562" t="s">
        <v>852</v>
      </c>
      <c r="B562">
        <v>0.31353600000000004</v>
      </c>
      <c r="C562" t="s">
        <v>27</v>
      </c>
      <c r="D562" t="s">
        <v>9</v>
      </c>
      <c r="E562" t="s">
        <v>676</v>
      </c>
      <c r="F562" t="s">
        <v>21</v>
      </c>
      <c r="G562" t="s">
        <v>19</v>
      </c>
      <c r="H562" t="s">
        <v>853</v>
      </c>
    </row>
    <row r="563" spans="1:8" x14ac:dyDescent="0.35">
      <c r="A563" t="s">
        <v>838</v>
      </c>
      <c r="B563">
        <v>7.0656000000000017E-3</v>
      </c>
      <c r="C563" t="s">
        <v>27</v>
      </c>
      <c r="D563" t="s">
        <v>9</v>
      </c>
      <c r="E563" t="s">
        <v>676</v>
      </c>
      <c r="F563" t="s">
        <v>21</v>
      </c>
      <c r="G563" t="s">
        <v>19</v>
      </c>
      <c r="H563" t="s">
        <v>840</v>
      </c>
    </row>
    <row r="564" spans="1:8" x14ac:dyDescent="0.35">
      <c r="A564" t="s">
        <v>643</v>
      </c>
      <c r="B564">
        <f>0.001104/1000</f>
        <v>1.1039999999999999E-6</v>
      </c>
      <c r="C564" t="s">
        <v>27</v>
      </c>
      <c r="D564" t="s">
        <v>9</v>
      </c>
      <c r="E564" t="s">
        <v>676</v>
      </c>
      <c r="F564" t="s">
        <v>21</v>
      </c>
      <c r="G564" t="s">
        <v>19</v>
      </c>
      <c r="H564" t="s">
        <v>642</v>
      </c>
    </row>
    <row r="565" spans="1:8" x14ac:dyDescent="0.35">
      <c r="A565" t="s">
        <v>622</v>
      </c>
      <c r="B565">
        <v>2.2080000000000003E-3</v>
      </c>
      <c r="C565" t="s">
        <v>27</v>
      </c>
      <c r="D565" t="s">
        <v>9</v>
      </c>
      <c r="E565" t="s">
        <v>676</v>
      </c>
      <c r="F565" t="s">
        <v>21</v>
      </c>
      <c r="G565" t="s">
        <v>19</v>
      </c>
      <c r="H565" t="s">
        <v>621</v>
      </c>
    </row>
    <row r="566" spans="1:8" x14ac:dyDescent="0.35">
      <c r="A566" t="s">
        <v>845</v>
      </c>
      <c r="B566">
        <v>1.2806400000000003E-2</v>
      </c>
      <c r="C566" t="s">
        <v>27</v>
      </c>
      <c r="D566" t="s">
        <v>9</v>
      </c>
      <c r="E566" t="s">
        <v>676</v>
      </c>
      <c r="F566" t="s">
        <v>21</v>
      </c>
      <c r="G566" t="s">
        <v>19</v>
      </c>
      <c r="H566" t="s">
        <v>847</v>
      </c>
    </row>
    <row r="567" spans="1:8" x14ac:dyDescent="0.35">
      <c r="A567" t="s">
        <v>23</v>
      </c>
      <c r="B567">
        <f>0.002751168*43</f>
        <v>0.118300224</v>
      </c>
      <c r="C567" t="s">
        <v>27</v>
      </c>
      <c r="D567" t="s">
        <v>20</v>
      </c>
      <c r="E567" t="s">
        <v>676</v>
      </c>
      <c r="F567" t="s">
        <v>21</v>
      </c>
      <c r="G567" t="s">
        <v>19</v>
      </c>
      <c r="H567" t="s">
        <v>24</v>
      </c>
    </row>
    <row r="568" spans="1:8" x14ac:dyDescent="0.35">
      <c r="A568" t="s">
        <v>116</v>
      </c>
      <c r="B568">
        <v>22.080000000000002</v>
      </c>
      <c r="D568" t="s">
        <v>20</v>
      </c>
      <c r="E568" t="s">
        <v>122</v>
      </c>
      <c r="F568" t="s">
        <v>38</v>
      </c>
      <c r="G568" t="s">
        <v>833</v>
      </c>
    </row>
    <row r="569" spans="1:8" x14ac:dyDescent="0.35">
      <c r="A569" t="s">
        <v>42</v>
      </c>
      <c r="B569">
        <v>6.5820480000000007E-4</v>
      </c>
      <c r="D569" t="s">
        <v>9</v>
      </c>
      <c r="E569" t="s">
        <v>39</v>
      </c>
      <c r="F569" t="s">
        <v>38</v>
      </c>
      <c r="G569" t="s">
        <v>19</v>
      </c>
    </row>
    <row r="570" spans="1:8" x14ac:dyDescent="0.35">
      <c r="A570" t="s">
        <v>120</v>
      </c>
      <c r="B570" s="6">
        <f>0.506*(44/12)*(1-B557)</f>
        <v>1.7069066666666668</v>
      </c>
      <c r="D570" t="s">
        <v>9</v>
      </c>
      <c r="E570" t="s">
        <v>121</v>
      </c>
      <c r="F570" t="s">
        <v>38</v>
      </c>
      <c r="G570" t="s">
        <v>978</v>
      </c>
    </row>
    <row r="572" spans="1:8" ht="15.5" x14ac:dyDescent="0.35">
      <c r="A572" s="1" t="s">
        <v>1</v>
      </c>
      <c r="B572" s="1" t="s">
        <v>818</v>
      </c>
    </row>
    <row r="573" spans="1:8" x14ac:dyDescent="0.35">
      <c r="A573" t="s">
        <v>2</v>
      </c>
      <c r="B573" t="s">
        <v>600</v>
      </c>
    </row>
    <row r="574" spans="1:8" x14ac:dyDescent="0.35">
      <c r="A574" t="s">
        <v>4</v>
      </c>
      <c r="B574">
        <v>1</v>
      </c>
    </row>
    <row r="575" spans="1:8" x14ac:dyDescent="0.35">
      <c r="A575" t="s">
        <v>5</v>
      </c>
      <c r="B575" t="s">
        <v>818</v>
      </c>
    </row>
    <row r="576" spans="1:8" x14ac:dyDescent="0.35">
      <c r="A576" t="s">
        <v>6</v>
      </c>
      <c r="B576" t="s">
        <v>7</v>
      </c>
    </row>
    <row r="577" spans="1:8" x14ac:dyDescent="0.35">
      <c r="A577" t="s">
        <v>8</v>
      </c>
      <c r="B577" t="s">
        <v>9</v>
      </c>
    </row>
    <row r="578" spans="1:8" x14ac:dyDescent="0.35">
      <c r="A578" t="s">
        <v>954</v>
      </c>
      <c r="B578">
        <v>5</v>
      </c>
    </row>
    <row r="579" spans="1:8" x14ac:dyDescent="0.35">
      <c r="A579" t="s">
        <v>960</v>
      </c>
      <c r="B579">
        <v>37</v>
      </c>
    </row>
    <row r="580" spans="1:8" ht="15.5" x14ac:dyDescent="0.35">
      <c r="A580" s="1" t="s">
        <v>13</v>
      </c>
    </row>
    <row r="581" spans="1:8" x14ac:dyDescent="0.35">
      <c r="A581" t="s">
        <v>14</v>
      </c>
      <c r="B581" t="s">
        <v>15</v>
      </c>
      <c r="C581" t="s">
        <v>2</v>
      </c>
      <c r="D581" t="s">
        <v>8</v>
      </c>
      <c r="E581" t="s">
        <v>16</v>
      </c>
      <c r="F581" t="s">
        <v>6</v>
      </c>
      <c r="G581" t="s">
        <v>12</v>
      </c>
      <c r="H581" t="s">
        <v>5</v>
      </c>
    </row>
    <row r="582" spans="1:8" x14ac:dyDescent="0.35">
      <c r="A582" t="s">
        <v>818</v>
      </c>
      <c r="B582">
        <v>1</v>
      </c>
      <c r="C582" t="s">
        <v>600</v>
      </c>
      <c r="D582" t="s">
        <v>9</v>
      </c>
      <c r="E582" t="s">
        <v>802</v>
      </c>
      <c r="F582" t="s">
        <v>18</v>
      </c>
      <c r="G582" t="s">
        <v>19</v>
      </c>
      <c r="H582" t="s">
        <v>818</v>
      </c>
    </row>
    <row r="583" spans="1:8" x14ac:dyDescent="0.35">
      <c r="A583" t="s">
        <v>977</v>
      </c>
      <c r="B583" s="37">
        <f>(1.8535*B579)/B568</f>
        <v>3.1059556159420287</v>
      </c>
      <c r="C583" t="s">
        <v>600</v>
      </c>
      <c r="D583" t="s">
        <v>9</v>
      </c>
      <c r="E583" t="s">
        <v>676</v>
      </c>
      <c r="F583" t="s">
        <v>21</v>
      </c>
      <c r="G583" t="s">
        <v>19</v>
      </c>
      <c r="H583" t="s">
        <v>819</v>
      </c>
    </row>
    <row r="584" spans="1:8" x14ac:dyDescent="0.35">
      <c r="A584" t="s">
        <v>820</v>
      </c>
      <c r="B584">
        <v>0.25370900000000002</v>
      </c>
      <c r="C584" t="s">
        <v>600</v>
      </c>
      <c r="D584" t="s">
        <v>45</v>
      </c>
      <c r="E584" t="s">
        <v>681</v>
      </c>
      <c r="F584" t="s">
        <v>21</v>
      </c>
      <c r="G584" t="s">
        <v>821</v>
      </c>
      <c r="H584" t="s">
        <v>822</v>
      </c>
    </row>
    <row r="585" spans="1:8" x14ac:dyDescent="0.35">
      <c r="A585" t="s">
        <v>23</v>
      </c>
      <c r="B585">
        <f>0.0033041*43</f>
        <v>0.14207629999999999</v>
      </c>
      <c r="C585" t="s">
        <v>27</v>
      </c>
      <c r="D585" t="s">
        <v>20</v>
      </c>
      <c r="E585" t="s">
        <v>676</v>
      </c>
      <c r="F585" t="s">
        <v>21</v>
      </c>
      <c r="G585" t="s">
        <v>19</v>
      </c>
      <c r="H585" t="s">
        <v>24</v>
      </c>
    </row>
    <row r="586" spans="1:8" x14ac:dyDescent="0.35">
      <c r="A586" t="s">
        <v>699</v>
      </c>
      <c r="B586">
        <v>6.9399641999999995E-4</v>
      </c>
      <c r="C586" t="s">
        <v>665</v>
      </c>
      <c r="D586" t="s">
        <v>31</v>
      </c>
      <c r="E586" t="s">
        <v>681</v>
      </c>
      <c r="F586" t="s">
        <v>21</v>
      </c>
      <c r="G586" t="s">
        <v>825</v>
      </c>
      <c r="H586" t="s">
        <v>701</v>
      </c>
    </row>
    <row r="587" spans="1:8" x14ac:dyDescent="0.35">
      <c r="A587" t="s">
        <v>205</v>
      </c>
      <c r="B587" s="4">
        <f>1/((B578*1000)/10000)</f>
        <v>2</v>
      </c>
      <c r="D587" t="s">
        <v>123</v>
      </c>
      <c r="E587" t="s">
        <v>124</v>
      </c>
      <c r="F587" t="s">
        <v>38</v>
      </c>
    </row>
    <row r="588" spans="1:8" x14ac:dyDescent="0.35">
      <c r="A588" t="s">
        <v>206</v>
      </c>
      <c r="B588" s="4">
        <v>0.26</v>
      </c>
      <c r="D588" t="s">
        <v>125</v>
      </c>
      <c r="E588" t="s">
        <v>124</v>
      </c>
      <c r="F588" t="s">
        <v>38</v>
      </c>
    </row>
    <row r="589" spans="1:8" x14ac:dyDescent="0.35">
      <c r="A589" t="s">
        <v>207</v>
      </c>
      <c r="B589" s="4">
        <v>0.26</v>
      </c>
      <c r="D589" t="s">
        <v>125</v>
      </c>
      <c r="E589" t="s">
        <v>124</v>
      </c>
      <c r="F589" t="s">
        <v>38</v>
      </c>
    </row>
    <row r="590" spans="1:8" x14ac:dyDescent="0.35">
      <c r="A590" t="s">
        <v>42</v>
      </c>
      <c r="B590">
        <v>3.6851999999999992E-5</v>
      </c>
      <c r="D590" t="s">
        <v>9</v>
      </c>
      <c r="E590" t="s">
        <v>39</v>
      </c>
      <c r="F590" t="s">
        <v>38</v>
      </c>
      <c r="G590" t="s">
        <v>19</v>
      </c>
    </row>
    <row r="591" spans="1:8" x14ac:dyDescent="0.35">
      <c r="A591" t="s">
        <v>204</v>
      </c>
      <c r="B591">
        <v>5.4649000000000008E-3</v>
      </c>
      <c r="D591" t="s">
        <v>9</v>
      </c>
      <c r="E591" t="s">
        <v>39</v>
      </c>
      <c r="F591" t="s">
        <v>38</v>
      </c>
      <c r="G591" t="s">
        <v>19</v>
      </c>
    </row>
    <row r="592" spans="1:8" x14ac:dyDescent="0.35">
      <c r="A592" t="s">
        <v>204</v>
      </c>
      <c r="B592">
        <v>2.5899999999999999E-5</v>
      </c>
      <c r="D592" t="s">
        <v>9</v>
      </c>
      <c r="E592" t="s">
        <v>39</v>
      </c>
      <c r="F592" t="s">
        <v>38</v>
      </c>
      <c r="G592" t="s">
        <v>19</v>
      </c>
    </row>
    <row r="594" spans="1:8" ht="15.5" x14ac:dyDescent="0.35">
      <c r="A594" s="1" t="s">
        <v>1</v>
      </c>
      <c r="B594" s="1" t="s">
        <v>803</v>
      </c>
    </row>
    <row r="595" spans="1:8" x14ac:dyDescent="0.35">
      <c r="A595" t="s">
        <v>2</v>
      </c>
      <c r="B595" t="s">
        <v>600</v>
      </c>
    </row>
    <row r="596" spans="1:8" x14ac:dyDescent="0.35">
      <c r="A596" t="s">
        <v>4</v>
      </c>
      <c r="B596">
        <v>1</v>
      </c>
    </row>
    <row r="597" spans="1:8" x14ac:dyDescent="0.35">
      <c r="A597" t="s">
        <v>5</v>
      </c>
      <c r="B597" t="s">
        <v>803</v>
      </c>
    </row>
    <row r="598" spans="1:8" x14ac:dyDescent="0.35">
      <c r="A598" t="s">
        <v>6</v>
      </c>
      <c r="B598" t="s">
        <v>7</v>
      </c>
    </row>
    <row r="599" spans="1:8" x14ac:dyDescent="0.35">
      <c r="A599" t="s">
        <v>8</v>
      </c>
      <c r="B599" t="s">
        <v>9</v>
      </c>
    </row>
    <row r="600" spans="1:8" x14ac:dyDescent="0.35">
      <c r="A600" t="s">
        <v>960</v>
      </c>
      <c r="B600">
        <v>37</v>
      </c>
    </row>
    <row r="601" spans="1:8" ht="15.5" x14ac:dyDescent="0.35">
      <c r="A601" s="1" t="s">
        <v>13</v>
      </c>
    </row>
    <row r="602" spans="1:8" x14ac:dyDescent="0.35">
      <c r="A602" t="s">
        <v>14</v>
      </c>
      <c r="B602" t="s">
        <v>15</v>
      </c>
      <c r="C602" t="s">
        <v>2</v>
      </c>
      <c r="D602" t="s">
        <v>8</v>
      </c>
      <c r="E602" t="s">
        <v>16</v>
      </c>
      <c r="F602" t="s">
        <v>6</v>
      </c>
      <c r="G602" t="s">
        <v>12</v>
      </c>
      <c r="H602" t="s">
        <v>5</v>
      </c>
    </row>
    <row r="603" spans="1:8" x14ac:dyDescent="0.35">
      <c r="A603" t="s">
        <v>803</v>
      </c>
      <c r="B603">
        <v>1</v>
      </c>
      <c r="C603" t="s">
        <v>600</v>
      </c>
      <c r="D603" t="s">
        <v>9</v>
      </c>
      <c r="E603" t="s">
        <v>802</v>
      </c>
      <c r="F603" t="s">
        <v>18</v>
      </c>
      <c r="G603" t="s">
        <v>19</v>
      </c>
      <c r="H603" t="s">
        <v>803</v>
      </c>
    </row>
    <row r="604" spans="1:8" x14ac:dyDescent="0.35">
      <c r="A604" t="s">
        <v>818</v>
      </c>
      <c r="B604">
        <v>1.0245899999999999</v>
      </c>
      <c r="C604" t="s">
        <v>600</v>
      </c>
      <c r="D604" t="s">
        <v>9</v>
      </c>
      <c r="E604" t="s">
        <v>676</v>
      </c>
      <c r="F604" t="s">
        <v>21</v>
      </c>
      <c r="G604" t="s">
        <v>19</v>
      </c>
      <c r="H604" t="s">
        <v>818</v>
      </c>
    </row>
    <row r="605" spans="1:8" x14ac:dyDescent="0.35">
      <c r="A605" t="s">
        <v>680</v>
      </c>
      <c r="B605">
        <v>0.14910999999999999</v>
      </c>
      <c r="C605" t="s">
        <v>600</v>
      </c>
      <c r="D605" t="s">
        <v>20</v>
      </c>
      <c r="E605" t="s">
        <v>681</v>
      </c>
      <c r="F605" t="s">
        <v>21</v>
      </c>
      <c r="G605" t="s">
        <v>19</v>
      </c>
      <c r="H605" t="s">
        <v>683</v>
      </c>
    </row>
    <row r="606" spans="1:8" x14ac:dyDescent="0.35">
      <c r="A606" t="s">
        <v>768</v>
      </c>
      <c r="B606">
        <v>1.1100000000000001E-3</v>
      </c>
      <c r="C606" t="s">
        <v>27</v>
      </c>
      <c r="D606" t="s">
        <v>9</v>
      </c>
      <c r="E606" t="s">
        <v>676</v>
      </c>
      <c r="F606" t="s">
        <v>21</v>
      </c>
      <c r="G606" t="s">
        <v>19</v>
      </c>
      <c r="H606" t="s">
        <v>769</v>
      </c>
    </row>
    <row r="607" spans="1:8" x14ac:dyDescent="0.35">
      <c r="A607" t="s">
        <v>401</v>
      </c>
      <c r="B607">
        <v>3.3300000000000001E-3</v>
      </c>
      <c r="C607" t="s">
        <v>27</v>
      </c>
      <c r="D607" t="s">
        <v>9</v>
      </c>
      <c r="E607" t="s">
        <v>676</v>
      </c>
      <c r="F607" t="s">
        <v>21</v>
      </c>
      <c r="G607" t="s">
        <v>19</v>
      </c>
      <c r="H607" t="s">
        <v>402</v>
      </c>
    </row>
    <row r="608" spans="1:8" x14ac:dyDescent="0.35">
      <c r="A608" t="s">
        <v>691</v>
      </c>
      <c r="B608">
        <v>0.1295</v>
      </c>
      <c r="C608" t="s">
        <v>600</v>
      </c>
      <c r="D608" t="s">
        <v>45</v>
      </c>
      <c r="E608" t="s">
        <v>681</v>
      </c>
      <c r="F608" t="s">
        <v>21</v>
      </c>
      <c r="G608" t="s">
        <v>854</v>
      </c>
      <c r="H608" t="s">
        <v>692</v>
      </c>
    </row>
    <row r="609" spans="1:14" x14ac:dyDescent="0.35">
      <c r="A609" t="s">
        <v>695</v>
      </c>
      <c r="B609">
        <v>16.287399999999998</v>
      </c>
      <c r="C609" t="s">
        <v>27</v>
      </c>
      <c r="D609" t="s">
        <v>45</v>
      </c>
      <c r="E609" t="s">
        <v>681</v>
      </c>
      <c r="F609" t="s">
        <v>21</v>
      </c>
      <c r="G609" t="s">
        <v>855</v>
      </c>
      <c r="H609" t="s">
        <v>697</v>
      </c>
    </row>
    <row r="610" spans="1:14" x14ac:dyDescent="0.35">
      <c r="A610" t="s">
        <v>699</v>
      </c>
      <c r="B610">
        <v>9.5659799999999982E-3</v>
      </c>
      <c r="C610" t="s">
        <v>665</v>
      </c>
      <c r="D610" t="s">
        <v>31</v>
      </c>
      <c r="E610" t="s">
        <v>681</v>
      </c>
      <c r="F610" t="s">
        <v>21</v>
      </c>
      <c r="G610" t="s">
        <v>19</v>
      </c>
      <c r="H610" t="s">
        <v>701</v>
      </c>
    </row>
    <row r="611" spans="1:14" x14ac:dyDescent="0.35">
      <c r="A611" t="s">
        <v>699</v>
      </c>
      <c r="B611">
        <v>1.8411940000000002E-2</v>
      </c>
      <c r="C611" t="s">
        <v>665</v>
      </c>
      <c r="D611" t="s">
        <v>31</v>
      </c>
      <c r="E611" t="s">
        <v>681</v>
      </c>
      <c r="F611" t="s">
        <v>21</v>
      </c>
      <c r="G611" t="s">
        <v>856</v>
      </c>
      <c r="H611" t="s">
        <v>701</v>
      </c>
    </row>
    <row r="613" spans="1:14" ht="15.5" x14ac:dyDescent="0.35">
      <c r="A613" s="1" t="s">
        <v>1</v>
      </c>
      <c r="B613" s="1" t="s">
        <v>979</v>
      </c>
    </row>
    <row r="614" spans="1:14" x14ac:dyDescent="0.35">
      <c r="A614" t="s">
        <v>2</v>
      </c>
      <c r="B614" t="s">
        <v>600</v>
      </c>
    </row>
    <row r="615" spans="1:14" x14ac:dyDescent="0.35">
      <c r="A615" t="s">
        <v>4</v>
      </c>
      <c r="B615">
        <v>1</v>
      </c>
    </row>
    <row r="616" spans="1:14" ht="15.5" x14ac:dyDescent="0.35">
      <c r="A616" t="s">
        <v>5</v>
      </c>
      <c r="B616" s="2" t="s">
        <v>801</v>
      </c>
    </row>
    <row r="617" spans="1:14" x14ac:dyDescent="0.35">
      <c r="A617" t="s">
        <v>6</v>
      </c>
      <c r="B617" t="s">
        <v>7</v>
      </c>
    </row>
    <row r="618" spans="1:14" x14ac:dyDescent="0.35">
      <c r="A618" t="s">
        <v>8</v>
      </c>
      <c r="B618" t="s">
        <v>9</v>
      </c>
    </row>
    <row r="619" spans="1:14" x14ac:dyDescent="0.35">
      <c r="A619" t="s">
        <v>10</v>
      </c>
      <c r="B619" t="s">
        <v>674</v>
      </c>
    </row>
    <row r="620" spans="1:14" ht="15.5" x14ac:dyDescent="0.35">
      <c r="A620" s="1" t="s">
        <v>13</v>
      </c>
    </row>
    <row r="621" spans="1:14" x14ac:dyDescent="0.35">
      <c r="A621" t="s">
        <v>14</v>
      </c>
      <c r="B621" t="s">
        <v>15</v>
      </c>
      <c r="C621" t="s">
        <v>2</v>
      </c>
      <c r="D621" t="s">
        <v>8</v>
      </c>
      <c r="E621" t="s">
        <v>16</v>
      </c>
      <c r="F621" t="s">
        <v>6</v>
      </c>
      <c r="G621" t="s">
        <v>351</v>
      </c>
      <c r="H621" t="s">
        <v>352</v>
      </c>
      <c r="I621" t="s">
        <v>17</v>
      </c>
      <c r="J621" t="s">
        <v>12</v>
      </c>
      <c r="K621" t="s">
        <v>675</v>
      </c>
      <c r="L621" t="s">
        <v>5</v>
      </c>
      <c r="M621" t="s">
        <v>707</v>
      </c>
      <c r="N621" t="s">
        <v>708</v>
      </c>
    </row>
    <row r="622" spans="1:14" ht="15.5" x14ac:dyDescent="0.35">
      <c r="A622" s="2" t="s">
        <v>979</v>
      </c>
      <c r="B622">
        <v>1</v>
      </c>
      <c r="C622" t="s">
        <v>600</v>
      </c>
      <c r="D622" t="s">
        <v>9</v>
      </c>
      <c r="E622" t="s">
        <v>802</v>
      </c>
      <c r="F622" t="s">
        <v>18</v>
      </c>
      <c r="I622">
        <v>100</v>
      </c>
      <c r="J622" t="s">
        <v>19</v>
      </c>
      <c r="K622" s="2" t="s">
        <v>801</v>
      </c>
    </row>
    <row r="623" spans="1:14" x14ac:dyDescent="0.35">
      <c r="A623" t="s">
        <v>803</v>
      </c>
      <c r="B623" s="4">
        <f>37.223436/B600</f>
        <v>1.0060388108108107</v>
      </c>
      <c r="C623" t="s">
        <v>600</v>
      </c>
      <c r="D623" t="s">
        <v>9</v>
      </c>
      <c r="E623" t="s">
        <v>681</v>
      </c>
      <c r="F623" t="s">
        <v>21</v>
      </c>
      <c r="G623">
        <v>0</v>
      </c>
      <c r="H623">
        <v>1.0006299999999999</v>
      </c>
      <c r="J623" t="s">
        <v>19</v>
      </c>
      <c r="K623" t="s">
        <v>803</v>
      </c>
    </row>
    <row r="624" spans="1:14" x14ac:dyDescent="0.35">
      <c r="A624" t="s">
        <v>680</v>
      </c>
      <c r="B624">
        <v>1.2290000000000001</v>
      </c>
      <c r="C624" t="s">
        <v>600</v>
      </c>
      <c r="D624" t="s">
        <v>20</v>
      </c>
      <c r="E624" t="s">
        <v>681</v>
      </c>
      <c r="F624" t="s">
        <v>21</v>
      </c>
      <c r="G624">
        <v>0</v>
      </c>
      <c r="H624">
        <v>0.33029999999999998</v>
      </c>
      <c r="J624" t="s">
        <v>19</v>
      </c>
      <c r="K624" t="s">
        <v>683</v>
      </c>
      <c r="L624" t="s">
        <v>683</v>
      </c>
      <c r="M624" t="s">
        <v>712</v>
      </c>
      <c r="N624" t="s">
        <v>713</v>
      </c>
    </row>
    <row r="625" spans="1:14" x14ac:dyDescent="0.35">
      <c r="A625" t="s">
        <v>786</v>
      </c>
      <c r="B625">
        <v>3.7200000000000006E-3</v>
      </c>
      <c r="C625" t="s">
        <v>600</v>
      </c>
      <c r="D625" t="s">
        <v>9</v>
      </c>
      <c r="E625" t="s">
        <v>681</v>
      </c>
      <c r="F625" t="s">
        <v>21</v>
      </c>
      <c r="G625">
        <v>0</v>
      </c>
      <c r="H625">
        <v>1E-4</v>
      </c>
      <c r="J625" t="s">
        <v>19</v>
      </c>
      <c r="K625" t="s">
        <v>787</v>
      </c>
      <c r="L625" t="s">
        <v>787</v>
      </c>
      <c r="M625" t="s">
        <v>788</v>
      </c>
      <c r="N625" t="s">
        <v>713</v>
      </c>
    </row>
    <row r="626" spans="1:14" x14ac:dyDescent="0.35">
      <c r="A626" t="s">
        <v>762</v>
      </c>
      <c r="B626">
        <v>9.5522160000000009E-2</v>
      </c>
      <c r="C626" t="s">
        <v>27</v>
      </c>
      <c r="D626" t="s">
        <v>9</v>
      </c>
      <c r="E626" t="s">
        <v>681</v>
      </c>
      <c r="F626" t="s">
        <v>21</v>
      </c>
      <c r="G626">
        <v>0</v>
      </c>
      <c r="H626">
        <v>2.5677999999999999E-3</v>
      </c>
      <c r="J626" t="s">
        <v>19</v>
      </c>
      <c r="K626" t="s">
        <v>764</v>
      </c>
      <c r="L626" t="s">
        <v>764</v>
      </c>
      <c r="M626" t="s">
        <v>765</v>
      </c>
      <c r="N626" t="s">
        <v>713</v>
      </c>
    </row>
    <row r="627" spans="1:14" x14ac:dyDescent="0.35">
      <c r="A627" t="s">
        <v>789</v>
      </c>
      <c r="B627">
        <v>1.3764E-2</v>
      </c>
      <c r="C627" t="s">
        <v>27</v>
      </c>
      <c r="D627" t="s">
        <v>9</v>
      </c>
      <c r="E627" t="s">
        <v>681</v>
      </c>
      <c r="F627" t="s">
        <v>21</v>
      </c>
      <c r="G627">
        <v>0</v>
      </c>
      <c r="H627">
        <v>3.6999999999999999E-4</v>
      </c>
      <c r="J627" t="s">
        <v>19</v>
      </c>
      <c r="K627" t="s">
        <v>791</v>
      </c>
      <c r="L627" t="s">
        <v>791</v>
      </c>
      <c r="M627" t="s">
        <v>792</v>
      </c>
      <c r="N627" t="s">
        <v>713</v>
      </c>
    </row>
    <row r="628" spans="1:14" x14ac:dyDescent="0.35">
      <c r="A628" t="s">
        <v>108</v>
      </c>
      <c r="B628">
        <v>0.37944000000000006</v>
      </c>
      <c r="C628" t="s">
        <v>665</v>
      </c>
      <c r="D628" t="s">
        <v>45</v>
      </c>
      <c r="E628" t="s">
        <v>681</v>
      </c>
      <c r="F628" t="s">
        <v>21</v>
      </c>
      <c r="G628">
        <v>0</v>
      </c>
      <c r="H628">
        <v>1.0200000000000001E-2</v>
      </c>
      <c r="J628" t="s">
        <v>19</v>
      </c>
      <c r="K628" t="s">
        <v>111</v>
      </c>
      <c r="L628" t="s">
        <v>111</v>
      </c>
      <c r="M628" t="s">
        <v>714</v>
      </c>
      <c r="N628" t="s">
        <v>713</v>
      </c>
    </row>
    <row r="629" spans="1:14" x14ac:dyDescent="0.35">
      <c r="A629" t="s">
        <v>105</v>
      </c>
      <c r="B629">
        <v>0.15252000000000002</v>
      </c>
      <c r="C629" t="s">
        <v>600</v>
      </c>
      <c r="D629" t="s">
        <v>45</v>
      </c>
      <c r="E629" t="s">
        <v>681</v>
      </c>
      <c r="F629" t="s">
        <v>21</v>
      </c>
      <c r="G629">
        <v>0</v>
      </c>
      <c r="H629">
        <v>4.1000000000000003E-3</v>
      </c>
      <c r="J629" t="s">
        <v>19</v>
      </c>
      <c r="K629" t="s">
        <v>106</v>
      </c>
      <c r="L629" t="s">
        <v>106</v>
      </c>
      <c r="M629" t="s">
        <v>715</v>
      </c>
      <c r="N629" t="s">
        <v>713</v>
      </c>
    </row>
    <row r="630" spans="1:14" x14ac:dyDescent="0.35">
      <c r="A630" t="s">
        <v>691</v>
      </c>
      <c r="B630">
        <v>0.32736000000000004</v>
      </c>
      <c r="C630" t="s">
        <v>600</v>
      </c>
      <c r="D630" t="s">
        <v>45</v>
      </c>
      <c r="E630" t="s">
        <v>681</v>
      </c>
      <c r="F630" t="s">
        <v>21</v>
      </c>
      <c r="G630">
        <v>0</v>
      </c>
      <c r="H630">
        <v>8.8000000000000005E-3</v>
      </c>
      <c r="J630" t="s">
        <v>804</v>
      </c>
      <c r="K630" t="s">
        <v>692</v>
      </c>
      <c r="L630" t="s">
        <v>692</v>
      </c>
      <c r="M630" t="s">
        <v>717</v>
      </c>
      <c r="N630" t="s">
        <v>713</v>
      </c>
    </row>
    <row r="631" spans="1:14" x14ac:dyDescent="0.35">
      <c r="A631" t="s">
        <v>691</v>
      </c>
      <c r="B631">
        <v>0.15996000000000002</v>
      </c>
      <c r="C631" t="s">
        <v>600</v>
      </c>
      <c r="D631" t="s">
        <v>45</v>
      </c>
      <c r="E631" t="s">
        <v>681</v>
      </c>
      <c r="F631" t="s">
        <v>21</v>
      </c>
      <c r="G631">
        <v>0</v>
      </c>
      <c r="H631">
        <v>4.3E-3</v>
      </c>
      <c r="J631" t="s">
        <v>805</v>
      </c>
      <c r="K631" t="s">
        <v>692</v>
      </c>
      <c r="L631" t="s">
        <v>692</v>
      </c>
      <c r="M631" t="s">
        <v>717</v>
      </c>
      <c r="N631" t="s">
        <v>713</v>
      </c>
    </row>
    <row r="632" spans="1:14" x14ac:dyDescent="0.35">
      <c r="A632" t="s">
        <v>695</v>
      </c>
      <c r="B632">
        <v>1.11972</v>
      </c>
      <c r="C632" t="s">
        <v>27</v>
      </c>
      <c r="D632" t="s">
        <v>45</v>
      </c>
      <c r="E632" t="s">
        <v>681</v>
      </c>
      <c r="F632" t="s">
        <v>21</v>
      </c>
      <c r="G632">
        <v>0</v>
      </c>
      <c r="H632">
        <v>3.0099999999999998E-2</v>
      </c>
      <c r="J632" t="s">
        <v>19</v>
      </c>
      <c r="K632" t="s">
        <v>697</v>
      </c>
      <c r="L632" t="s">
        <v>697</v>
      </c>
      <c r="M632" t="s">
        <v>720</v>
      </c>
      <c r="N632" t="s">
        <v>713</v>
      </c>
    </row>
    <row r="633" spans="1:14" x14ac:dyDescent="0.35">
      <c r="A633" t="s">
        <v>699</v>
      </c>
      <c r="B633">
        <v>4.1883480000000001E-2</v>
      </c>
      <c r="C633" t="s">
        <v>665</v>
      </c>
      <c r="D633" t="s">
        <v>31</v>
      </c>
      <c r="E633" t="s">
        <v>681</v>
      </c>
      <c r="F633" t="s">
        <v>21</v>
      </c>
      <c r="G633">
        <v>0</v>
      </c>
      <c r="H633">
        <v>4.0499999999999998E-3</v>
      </c>
      <c r="J633" t="s">
        <v>19</v>
      </c>
      <c r="K633" t="s">
        <v>701</v>
      </c>
      <c r="L633" t="s">
        <v>701</v>
      </c>
      <c r="M633" t="s">
        <v>721</v>
      </c>
      <c r="N633" t="s">
        <v>713</v>
      </c>
    </row>
    <row r="634" spans="1:14" x14ac:dyDescent="0.35">
      <c r="A634" t="s">
        <v>699</v>
      </c>
      <c r="B634">
        <v>8.6869440000000003E-3</v>
      </c>
      <c r="C634" t="s">
        <v>665</v>
      </c>
      <c r="D634" t="s">
        <v>31</v>
      </c>
      <c r="E634" t="s">
        <v>681</v>
      </c>
      <c r="F634" t="s">
        <v>21</v>
      </c>
      <c r="G634">
        <v>0</v>
      </c>
      <c r="H634">
        <v>8.4000000000000003E-4</v>
      </c>
      <c r="J634" t="s">
        <v>806</v>
      </c>
      <c r="K634" t="s">
        <v>701</v>
      </c>
      <c r="L634" t="s">
        <v>701</v>
      </c>
      <c r="M634" t="s">
        <v>721</v>
      </c>
      <c r="N634" t="s">
        <v>713</v>
      </c>
    </row>
    <row r="635" spans="1:14" x14ac:dyDescent="0.35">
      <c r="A635" t="s">
        <v>699</v>
      </c>
      <c r="B635">
        <v>3.5161440000000002E-2</v>
      </c>
      <c r="C635" t="s">
        <v>665</v>
      </c>
      <c r="D635" t="s">
        <v>31</v>
      </c>
      <c r="E635" t="s">
        <v>681</v>
      </c>
      <c r="F635" t="s">
        <v>21</v>
      </c>
      <c r="G635">
        <v>0</v>
      </c>
      <c r="H635">
        <v>3.3999999999999998E-3</v>
      </c>
      <c r="J635" t="s">
        <v>807</v>
      </c>
      <c r="K635" t="s">
        <v>701</v>
      </c>
      <c r="L635" t="s">
        <v>701</v>
      </c>
      <c r="M635" t="s">
        <v>721</v>
      </c>
      <c r="N635" t="s">
        <v>713</v>
      </c>
    </row>
    <row r="636" spans="1:14" x14ac:dyDescent="0.35">
      <c r="A636" t="s">
        <v>201</v>
      </c>
      <c r="B636">
        <f>(B623*B604*B583*B570*(1+B561))-Allocation!B14</f>
        <v>3.3798088215825497</v>
      </c>
      <c r="D636" t="s">
        <v>9</v>
      </c>
      <c r="E636" t="s">
        <v>39</v>
      </c>
      <c r="F636" t="s">
        <v>38</v>
      </c>
      <c r="G636">
        <v>0</v>
      </c>
      <c r="H636">
        <v>5.4000000000000003E-3</v>
      </c>
    </row>
    <row r="638" spans="1:14" ht="15.5" x14ac:dyDescent="0.35">
      <c r="A638" s="1" t="s">
        <v>1</v>
      </c>
      <c r="B638" s="1" t="s">
        <v>800</v>
      </c>
    </row>
    <row r="639" spans="1:14" x14ac:dyDescent="0.35">
      <c r="A639" t="s">
        <v>2</v>
      </c>
      <c r="B639" t="s">
        <v>600</v>
      </c>
    </row>
    <row r="640" spans="1:14" x14ac:dyDescent="0.35">
      <c r="A640" t="s">
        <v>4</v>
      </c>
      <c r="B640">
        <v>1</v>
      </c>
    </row>
    <row r="641" spans="1:11" ht="15.5" x14ac:dyDescent="0.35">
      <c r="A641" t="s">
        <v>5</v>
      </c>
      <c r="B641" s="2" t="s">
        <v>758</v>
      </c>
    </row>
    <row r="642" spans="1:11" x14ac:dyDescent="0.35">
      <c r="A642" t="s">
        <v>6</v>
      </c>
      <c r="B642" t="s">
        <v>7</v>
      </c>
    </row>
    <row r="643" spans="1:11" x14ac:dyDescent="0.35">
      <c r="A643" t="s">
        <v>8</v>
      </c>
      <c r="B643" t="s">
        <v>9</v>
      </c>
    </row>
    <row r="644" spans="1:11" ht="15.5" x14ac:dyDescent="0.35">
      <c r="A644" s="1" t="s">
        <v>13</v>
      </c>
    </row>
    <row r="645" spans="1:11" x14ac:dyDescent="0.35">
      <c r="A645" t="s">
        <v>14</v>
      </c>
      <c r="B645" t="s">
        <v>15</v>
      </c>
      <c r="C645" t="s">
        <v>2</v>
      </c>
      <c r="D645" t="s">
        <v>8</v>
      </c>
      <c r="E645" t="s">
        <v>16</v>
      </c>
      <c r="F645" t="s">
        <v>6</v>
      </c>
      <c r="G645" t="s">
        <v>351</v>
      </c>
      <c r="H645" t="s">
        <v>352</v>
      </c>
      <c r="I645" t="s">
        <v>17</v>
      </c>
      <c r="J645" t="s">
        <v>12</v>
      </c>
      <c r="K645" t="s">
        <v>5</v>
      </c>
    </row>
    <row r="646" spans="1:11" x14ac:dyDescent="0.35">
      <c r="A646" t="s">
        <v>800</v>
      </c>
      <c r="B646">
        <v>1</v>
      </c>
      <c r="C646" t="s">
        <v>600</v>
      </c>
      <c r="D646" t="s">
        <v>9</v>
      </c>
      <c r="F646" t="s">
        <v>18</v>
      </c>
      <c r="I646">
        <v>100</v>
      </c>
      <c r="J646" t="s">
        <v>19</v>
      </c>
      <c r="K646" t="s">
        <v>758</v>
      </c>
    </row>
    <row r="647" spans="1:11" ht="15.5" x14ac:dyDescent="0.35">
      <c r="A647" t="s">
        <v>801</v>
      </c>
      <c r="B647">
        <v>1.00057</v>
      </c>
      <c r="C647" t="s">
        <v>600</v>
      </c>
      <c r="D647" t="s">
        <v>9</v>
      </c>
      <c r="F647" t="s">
        <v>21</v>
      </c>
      <c r="K647" s="2" t="s">
        <v>801</v>
      </c>
    </row>
    <row r="648" spans="1:11" x14ac:dyDescent="0.35">
      <c r="A648" t="s">
        <v>30</v>
      </c>
      <c r="B648">
        <v>6.7000000000000002E-3</v>
      </c>
      <c r="C648" t="s">
        <v>600</v>
      </c>
      <c r="D648" t="s">
        <v>31</v>
      </c>
      <c r="F648" t="s">
        <v>21</v>
      </c>
      <c r="K648" t="s">
        <v>32</v>
      </c>
    </row>
    <row r="649" spans="1:11" x14ac:dyDescent="0.35">
      <c r="A649" t="s">
        <v>353</v>
      </c>
      <c r="B649">
        <v>-1.6799999999999999E-4</v>
      </c>
      <c r="C649" t="s">
        <v>665</v>
      </c>
      <c r="D649" t="s">
        <v>9</v>
      </c>
      <c r="F649" t="s">
        <v>21</v>
      </c>
      <c r="K649" t="s">
        <v>354</v>
      </c>
    </row>
    <row r="650" spans="1:11" x14ac:dyDescent="0.35">
      <c r="A650" t="s">
        <v>355</v>
      </c>
      <c r="B650" s="7">
        <v>5.8399999999999999E-4</v>
      </c>
      <c r="C650" t="s">
        <v>673</v>
      </c>
      <c r="D650" t="s">
        <v>20</v>
      </c>
      <c r="F650" t="s">
        <v>21</v>
      </c>
      <c r="K650" t="s">
        <v>356</v>
      </c>
    </row>
    <row r="651" spans="1:11" x14ac:dyDescent="0.35">
      <c r="A651" t="s">
        <v>357</v>
      </c>
      <c r="B651" s="7">
        <v>2.5999999999999998E-10</v>
      </c>
      <c r="C651" t="s">
        <v>600</v>
      </c>
      <c r="D651" t="s">
        <v>8</v>
      </c>
      <c r="F651" t="s">
        <v>21</v>
      </c>
      <c r="K651" t="s">
        <v>358</v>
      </c>
    </row>
    <row r="652" spans="1:11" x14ac:dyDescent="0.35">
      <c r="A652" t="s">
        <v>359</v>
      </c>
      <c r="B652" s="7">
        <v>-6.2700000000000001E-6</v>
      </c>
      <c r="C652" t="s">
        <v>673</v>
      </c>
      <c r="D652" t="s">
        <v>9</v>
      </c>
      <c r="F652" t="s">
        <v>21</v>
      </c>
      <c r="K652" t="s">
        <v>360</v>
      </c>
    </row>
    <row r="653" spans="1:11" x14ac:dyDescent="0.35">
      <c r="A653" t="s">
        <v>361</v>
      </c>
      <c r="B653" s="7">
        <v>-7.4999999999999993E-5</v>
      </c>
      <c r="C653" t="s">
        <v>665</v>
      </c>
      <c r="D653" t="s">
        <v>131</v>
      </c>
      <c r="F653" t="s">
        <v>21</v>
      </c>
      <c r="K653" t="s">
        <v>362</v>
      </c>
    </row>
    <row r="654" spans="1:11" x14ac:dyDescent="0.35">
      <c r="A654" t="s">
        <v>363</v>
      </c>
      <c r="B654" s="7">
        <v>6.8900000000000005E-4</v>
      </c>
      <c r="C654" t="s">
        <v>665</v>
      </c>
      <c r="D654" t="s">
        <v>9</v>
      </c>
      <c r="F654" t="s">
        <v>21</v>
      </c>
      <c r="K654" t="s">
        <v>364</v>
      </c>
    </row>
    <row r="655" spans="1:11" x14ac:dyDescent="0.35">
      <c r="A655" t="s">
        <v>108</v>
      </c>
      <c r="B655">
        <v>3.3599999999999998E-2</v>
      </c>
      <c r="C655" t="s">
        <v>665</v>
      </c>
      <c r="D655" t="s">
        <v>45</v>
      </c>
      <c r="F655" t="s">
        <v>21</v>
      </c>
      <c r="K655" t="s">
        <v>111</v>
      </c>
    </row>
    <row r="656" spans="1:11" x14ac:dyDescent="0.35">
      <c r="A656" t="s">
        <v>365</v>
      </c>
      <c r="B656">
        <v>3.2599999999999997E-2</v>
      </c>
      <c r="C656" t="s">
        <v>600</v>
      </c>
      <c r="D656" t="s">
        <v>45</v>
      </c>
      <c r="F656" t="s">
        <v>21</v>
      </c>
      <c r="K656" t="s">
        <v>366</v>
      </c>
    </row>
    <row r="657" spans="1:14" x14ac:dyDescent="0.35">
      <c r="A657" t="s">
        <v>367</v>
      </c>
      <c r="B657" s="7">
        <v>-6.8899999999999999E-7</v>
      </c>
      <c r="C657" t="s">
        <v>665</v>
      </c>
      <c r="D657" t="s">
        <v>131</v>
      </c>
      <c r="F657" t="s">
        <v>21</v>
      </c>
      <c r="K657" t="s">
        <v>368</v>
      </c>
    </row>
    <row r="658" spans="1:14" ht="16.25" customHeight="1" x14ac:dyDescent="0.35">
      <c r="A658" s="1"/>
      <c r="B658" s="1"/>
    </row>
    <row r="659" spans="1:14" ht="15.5" x14ac:dyDescent="0.35">
      <c r="A659" s="1" t="s">
        <v>1</v>
      </c>
      <c r="B659" s="1" t="s">
        <v>898</v>
      </c>
    </row>
    <row r="660" spans="1:14" x14ac:dyDescent="0.35">
      <c r="A660" t="s">
        <v>2</v>
      </c>
      <c r="B660" t="s">
        <v>600</v>
      </c>
    </row>
    <row r="661" spans="1:14" x14ac:dyDescent="0.35">
      <c r="A661" t="s">
        <v>4</v>
      </c>
      <c r="B661">
        <v>1</v>
      </c>
    </row>
    <row r="662" spans="1:14" x14ac:dyDescent="0.35">
      <c r="A662" t="s">
        <v>5</v>
      </c>
      <c r="B662" t="s">
        <v>898</v>
      </c>
    </row>
    <row r="663" spans="1:14" x14ac:dyDescent="0.35">
      <c r="A663" t="s">
        <v>6</v>
      </c>
      <c r="B663" t="s">
        <v>7</v>
      </c>
    </row>
    <row r="664" spans="1:14" x14ac:dyDescent="0.35">
      <c r="A664" t="s">
        <v>8</v>
      </c>
      <c r="B664" t="s">
        <v>9</v>
      </c>
    </row>
    <row r="665" spans="1:14" ht="15.5" x14ac:dyDescent="0.35">
      <c r="A665" s="1" t="s">
        <v>13</v>
      </c>
    </row>
    <row r="666" spans="1:14" x14ac:dyDescent="0.35">
      <c r="A666" t="s">
        <v>14</v>
      </c>
      <c r="B666" t="s">
        <v>15</v>
      </c>
      <c r="C666" t="s">
        <v>2</v>
      </c>
      <c r="D666" t="s">
        <v>8</v>
      </c>
      <c r="E666" t="s">
        <v>16</v>
      </c>
      <c r="F666" t="s">
        <v>6</v>
      </c>
      <c r="G666" t="s">
        <v>351</v>
      </c>
      <c r="H666" t="s">
        <v>352</v>
      </c>
      <c r="I666" t="s">
        <v>17</v>
      </c>
      <c r="J666" t="s">
        <v>12</v>
      </c>
      <c r="K666" t="s">
        <v>675</v>
      </c>
      <c r="L666" t="s">
        <v>5</v>
      </c>
      <c r="M666" t="s">
        <v>707</v>
      </c>
      <c r="N666" t="s">
        <v>708</v>
      </c>
    </row>
    <row r="667" spans="1:14" x14ac:dyDescent="0.35">
      <c r="A667" t="s">
        <v>898</v>
      </c>
      <c r="B667">
        <v>1</v>
      </c>
      <c r="C667" t="s">
        <v>600</v>
      </c>
      <c r="D667" t="s">
        <v>9</v>
      </c>
      <c r="E667" t="s">
        <v>810</v>
      </c>
      <c r="F667" t="s">
        <v>18</v>
      </c>
      <c r="I667">
        <v>100</v>
      </c>
      <c r="J667" t="s">
        <v>19</v>
      </c>
      <c r="K667" t="s">
        <v>898</v>
      </c>
    </row>
    <row r="668" spans="1:14" x14ac:dyDescent="0.35">
      <c r="A668" t="s">
        <v>899</v>
      </c>
      <c r="B668">
        <v>2.244E-10</v>
      </c>
      <c r="C668" t="s">
        <v>600</v>
      </c>
      <c r="D668" t="s">
        <v>9</v>
      </c>
      <c r="E668" t="s">
        <v>676</v>
      </c>
      <c r="F668" t="s">
        <v>21</v>
      </c>
      <c r="G668">
        <v>0</v>
      </c>
      <c r="H668">
        <v>2.244E-10</v>
      </c>
      <c r="J668" t="s">
        <v>19</v>
      </c>
      <c r="K668" t="s">
        <v>900</v>
      </c>
      <c r="L668" t="s">
        <v>900</v>
      </c>
      <c r="M668" t="s">
        <v>901</v>
      </c>
      <c r="N668" t="s">
        <v>713</v>
      </c>
    </row>
    <row r="669" spans="1:14" x14ac:dyDescent="0.35">
      <c r="A669" t="s">
        <v>902</v>
      </c>
      <c r="B669">
        <v>7.9500000000000002E-14</v>
      </c>
      <c r="C669" t="s">
        <v>27</v>
      </c>
      <c r="D669" t="s">
        <v>9</v>
      </c>
      <c r="E669" t="s">
        <v>676</v>
      </c>
      <c r="F669" t="s">
        <v>21</v>
      </c>
      <c r="G669">
        <v>0</v>
      </c>
      <c r="H669">
        <v>7.9500000000000002E-14</v>
      </c>
      <c r="J669" t="s">
        <v>19</v>
      </c>
      <c r="K669" t="s">
        <v>903</v>
      </c>
      <c r="L669" t="s">
        <v>903</v>
      </c>
      <c r="M669" t="s">
        <v>904</v>
      </c>
      <c r="N669" t="s">
        <v>713</v>
      </c>
    </row>
    <row r="670" spans="1:14" x14ac:dyDescent="0.35">
      <c r="A670" t="s">
        <v>905</v>
      </c>
      <c r="B670">
        <v>9.7172999999999991E-10</v>
      </c>
      <c r="C670" t="s">
        <v>27</v>
      </c>
      <c r="D670" t="s">
        <v>9</v>
      </c>
      <c r="E670" t="s">
        <v>676</v>
      </c>
      <c r="F670" t="s">
        <v>21</v>
      </c>
      <c r="G670">
        <v>0</v>
      </c>
      <c r="H670">
        <v>9.7172999999999991E-10</v>
      </c>
      <c r="J670" t="s">
        <v>19</v>
      </c>
      <c r="K670" t="s">
        <v>906</v>
      </c>
      <c r="L670" t="s">
        <v>906</v>
      </c>
      <c r="M670" t="s">
        <v>907</v>
      </c>
      <c r="N670" t="s">
        <v>713</v>
      </c>
    </row>
    <row r="671" spans="1:14" x14ac:dyDescent="0.35">
      <c r="A671" t="s">
        <v>838</v>
      </c>
      <c r="B671">
        <v>1.751E-4</v>
      </c>
      <c r="C671" t="s">
        <v>27</v>
      </c>
      <c r="D671" t="s">
        <v>9</v>
      </c>
      <c r="E671" t="s">
        <v>676</v>
      </c>
      <c r="F671" t="s">
        <v>21</v>
      </c>
      <c r="G671">
        <v>0</v>
      </c>
      <c r="H671">
        <v>1.751E-4</v>
      </c>
      <c r="J671" t="s">
        <v>19</v>
      </c>
      <c r="K671" t="s">
        <v>840</v>
      </c>
      <c r="L671" t="s">
        <v>840</v>
      </c>
      <c r="M671" t="s">
        <v>841</v>
      </c>
      <c r="N671" t="s">
        <v>713</v>
      </c>
    </row>
    <row r="672" spans="1:14" x14ac:dyDescent="0.35">
      <c r="A672" t="s">
        <v>622</v>
      </c>
      <c r="B672">
        <v>1.751E-4</v>
      </c>
      <c r="C672" t="s">
        <v>27</v>
      </c>
      <c r="D672" t="s">
        <v>9</v>
      </c>
      <c r="E672" t="s">
        <v>676</v>
      </c>
      <c r="F672" t="s">
        <v>21</v>
      </c>
      <c r="G672">
        <v>0</v>
      </c>
      <c r="H672">
        <v>1.751E-4</v>
      </c>
      <c r="J672" t="s">
        <v>19</v>
      </c>
      <c r="K672" t="s">
        <v>621</v>
      </c>
      <c r="L672" t="s">
        <v>621</v>
      </c>
      <c r="M672" t="s">
        <v>844</v>
      </c>
      <c r="N672" t="s">
        <v>713</v>
      </c>
    </row>
    <row r="673" spans="1:14" x14ac:dyDescent="0.35">
      <c r="A673" t="s">
        <v>908</v>
      </c>
      <c r="B673">
        <v>3.3126999999999998E-12</v>
      </c>
      <c r="C673" t="s">
        <v>27</v>
      </c>
      <c r="D673" t="s">
        <v>9</v>
      </c>
      <c r="E673" t="s">
        <v>676</v>
      </c>
      <c r="F673" t="s">
        <v>21</v>
      </c>
      <c r="G673">
        <v>0</v>
      </c>
      <c r="H673">
        <v>3.3126999999999998E-12</v>
      </c>
      <c r="J673" t="s">
        <v>19</v>
      </c>
      <c r="K673" t="s">
        <v>909</v>
      </c>
      <c r="L673" t="s">
        <v>909</v>
      </c>
      <c r="M673" t="s">
        <v>910</v>
      </c>
      <c r="N673" t="s">
        <v>713</v>
      </c>
    </row>
    <row r="674" spans="1:14" x14ac:dyDescent="0.35">
      <c r="A674" t="s">
        <v>626</v>
      </c>
      <c r="B674">
        <v>3.8929999999999998E-4</v>
      </c>
      <c r="C674" t="s">
        <v>27</v>
      </c>
      <c r="D674" t="s">
        <v>9</v>
      </c>
      <c r="E674" t="s">
        <v>676</v>
      </c>
      <c r="F674" t="s">
        <v>21</v>
      </c>
      <c r="G674">
        <v>0</v>
      </c>
      <c r="H674">
        <v>3.8929999999999998E-4</v>
      </c>
      <c r="J674" t="s">
        <v>19</v>
      </c>
      <c r="K674" t="s">
        <v>625</v>
      </c>
      <c r="L674" t="s">
        <v>625</v>
      </c>
      <c r="M674" t="s">
        <v>911</v>
      </c>
      <c r="N674" t="s">
        <v>713</v>
      </c>
    </row>
    <row r="675" spans="1:14" x14ac:dyDescent="0.35">
      <c r="A675" t="s">
        <v>912</v>
      </c>
      <c r="B675">
        <v>0.97946</v>
      </c>
      <c r="C675" t="s">
        <v>27</v>
      </c>
      <c r="D675" t="s">
        <v>9</v>
      </c>
      <c r="E675" t="s">
        <v>676</v>
      </c>
      <c r="F675" t="s">
        <v>21</v>
      </c>
      <c r="G675">
        <v>0</v>
      </c>
      <c r="H675">
        <v>0.97946</v>
      </c>
      <c r="J675" t="s">
        <v>19</v>
      </c>
      <c r="K675" t="s">
        <v>913</v>
      </c>
      <c r="L675" t="s">
        <v>913</v>
      </c>
      <c r="M675" t="s">
        <v>914</v>
      </c>
      <c r="N675" t="s">
        <v>713</v>
      </c>
    </row>
    <row r="676" spans="1:14" x14ac:dyDescent="0.35">
      <c r="A676" t="s">
        <v>699</v>
      </c>
      <c r="B676">
        <v>6.9788000000000003E-3</v>
      </c>
      <c r="C676" t="s">
        <v>665</v>
      </c>
      <c r="D676" t="s">
        <v>31</v>
      </c>
      <c r="E676" t="s">
        <v>676</v>
      </c>
      <c r="F676" t="s">
        <v>21</v>
      </c>
      <c r="G676">
        <v>0</v>
      </c>
      <c r="H676">
        <v>6.9788000000000003E-3</v>
      </c>
      <c r="J676" t="s">
        <v>19</v>
      </c>
      <c r="K676" t="s">
        <v>701</v>
      </c>
      <c r="L676" t="s">
        <v>701</v>
      </c>
      <c r="M676" t="s">
        <v>721</v>
      </c>
      <c r="N676" t="s">
        <v>713</v>
      </c>
    </row>
    <row r="678" spans="1:14" ht="15.5" x14ac:dyDescent="0.35">
      <c r="A678" s="1" t="s">
        <v>1</v>
      </c>
      <c r="B678" s="1" t="s">
        <v>981</v>
      </c>
    </row>
    <row r="679" spans="1:14" x14ac:dyDescent="0.35">
      <c r="A679" t="s">
        <v>2</v>
      </c>
      <c r="B679" t="s">
        <v>600</v>
      </c>
    </row>
    <row r="680" spans="1:14" x14ac:dyDescent="0.35">
      <c r="A680" t="s">
        <v>4</v>
      </c>
      <c r="B680">
        <v>1</v>
      </c>
    </row>
    <row r="681" spans="1:14" x14ac:dyDescent="0.35">
      <c r="A681" t="s">
        <v>5</v>
      </c>
      <c r="B681" t="s">
        <v>811</v>
      </c>
    </row>
    <row r="682" spans="1:14" x14ac:dyDescent="0.35">
      <c r="A682" t="s">
        <v>6</v>
      </c>
      <c r="B682" t="s">
        <v>7</v>
      </c>
    </row>
    <row r="683" spans="1:14" x14ac:dyDescent="0.35">
      <c r="A683" t="s">
        <v>8</v>
      </c>
      <c r="B683" t="s">
        <v>9</v>
      </c>
    </row>
    <row r="684" spans="1:14" ht="15.5" x14ac:dyDescent="0.35">
      <c r="A684" s="1" t="s">
        <v>13</v>
      </c>
    </row>
    <row r="685" spans="1:14" x14ac:dyDescent="0.35">
      <c r="A685" t="s">
        <v>14</v>
      </c>
      <c r="B685" t="s">
        <v>15</v>
      </c>
      <c r="C685" t="s">
        <v>2</v>
      </c>
      <c r="D685" t="s">
        <v>8</v>
      </c>
      <c r="E685" t="s">
        <v>16</v>
      </c>
      <c r="F685" t="s">
        <v>6</v>
      </c>
      <c r="G685" t="s">
        <v>12</v>
      </c>
      <c r="H685" t="s">
        <v>5</v>
      </c>
    </row>
    <row r="686" spans="1:14" x14ac:dyDescent="0.35">
      <c r="A686" t="s">
        <v>981</v>
      </c>
      <c r="B686">
        <v>1</v>
      </c>
      <c r="C686" t="s">
        <v>600</v>
      </c>
      <c r="D686" t="s">
        <v>9</v>
      </c>
      <c r="E686" t="s">
        <v>810</v>
      </c>
      <c r="F686" t="s">
        <v>18</v>
      </c>
      <c r="G686" t="s">
        <v>19</v>
      </c>
      <c r="H686" t="s">
        <v>811</v>
      </c>
    </row>
    <row r="687" spans="1:14" x14ac:dyDescent="0.35">
      <c r="A687" t="s">
        <v>898</v>
      </c>
      <c r="B687">
        <v>55.302999999999997</v>
      </c>
      <c r="C687" t="s">
        <v>600</v>
      </c>
      <c r="D687" t="s">
        <v>9</v>
      </c>
      <c r="E687" t="s">
        <v>676</v>
      </c>
      <c r="F687" t="s">
        <v>21</v>
      </c>
      <c r="G687" t="s">
        <v>19</v>
      </c>
      <c r="H687" t="s">
        <v>898</v>
      </c>
    </row>
    <row r="688" spans="1:14" x14ac:dyDescent="0.35">
      <c r="A688" t="s">
        <v>699</v>
      </c>
      <c r="B688">
        <v>0.74892000000000003</v>
      </c>
      <c r="C688" t="s">
        <v>665</v>
      </c>
      <c r="D688" t="s">
        <v>31</v>
      </c>
      <c r="E688" t="s">
        <v>676</v>
      </c>
      <c r="F688" t="s">
        <v>21</v>
      </c>
      <c r="G688" t="s">
        <v>19</v>
      </c>
      <c r="H688" t="s">
        <v>701</v>
      </c>
    </row>
    <row r="689" spans="1:8" x14ac:dyDescent="0.35">
      <c r="A689" t="s">
        <v>116</v>
      </c>
      <c r="B689">
        <v>13.6</v>
      </c>
      <c r="D689" t="s">
        <v>20</v>
      </c>
      <c r="E689" t="s">
        <v>122</v>
      </c>
      <c r="F689" t="s">
        <v>38</v>
      </c>
      <c r="G689" t="s">
        <v>871</v>
      </c>
    </row>
    <row r="690" spans="1:8" x14ac:dyDescent="0.35">
      <c r="A690" t="s">
        <v>120</v>
      </c>
      <c r="B690" s="6">
        <f>0.53*(44/12)</f>
        <v>1.9433333333333334</v>
      </c>
      <c r="D690" t="s">
        <v>9</v>
      </c>
      <c r="E690" t="s">
        <v>121</v>
      </c>
      <c r="F690" t="s">
        <v>38</v>
      </c>
      <c r="G690" t="s">
        <v>978</v>
      </c>
    </row>
    <row r="692" spans="1:8" ht="15.5" x14ac:dyDescent="0.35">
      <c r="A692" s="1" t="s">
        <v>1</v>
      </c>
      <c r="B692" s="1" t="s">
        <v>982</v>
      </c>
    </row>
    <row r="693" spans="1:8" x14ac:dyDescent="0.35">
      <c r="A693" t="s">
        <v>2</v>
      </c>
      <c r="B693" t="s">
        <v>600</v>
      </c>
    </row>
    <row r="694" spans="1:8" x14ac:dyDescent="0.35">
      <c r="A694" t="s">
        <v>4</v>
      </c>
      <c r="B694">
        <v>1</v>
      </c>
    </row>
    <row r="695" spans="1:8" ht="15.5" x14ac:dyDescent="0.35">
      <c r="A695" t="s">
        <v>5</v>
      </c>
      <c r="B695" s="2" t="s">
        <v>809</v>
      </c>
    </row>
    <row r="696" spans="1:8" x14ac:dyDescent="0.35">
      <c r="A696" t="s">
        <v>6</v>
      </c>
      <c r="B696" t="s">
        <v>7</v>
      </c>
    </row>
    <row r="697" spans="1:8" x14ac:dyDescent="0.35">
      <c r="A697" t="s">
        <v>8</v>
      </c>
      <c r="B697" t="s">
        <v>9</v>
      </c>
    </row>
    <row r="698" spans="1:8" x14ac:dyDescent="0.35">
      <c r="A698" t="s">
        <v>10</v>
      </c>
      <c r="B698" t="s">
        <v>674</v>
      </c>
    </row>
    <row r="699" spans="1:8" ht="15.5" x14ac:dyDescent="0.35">
      <c r="A699" s="1" t="s">
        <v>13</v>
      </c>
    </row>
    <row r="700" spans="1:8" x14ac:dyDescent="0.35">
      <c r="A700" t="s">
        <v>14</v>
      </c>
      <c r="B700" t="s">
        <v>15</v>
      </c>
      <c r="C700" t="s">
        <v>2</v>
      </c>
      <c r="D700" t="s">
        <v>8</v>
      </c>
      <c r="E700" t="s">
        <v>16</v>
      </c>
      <c r="F700" t="s">
        <v>6</v>
      </c>
      <c r="G700" t="s">
        <v>12</v>
      </c>
      <c r="H700" t="s">
        <v>5</v>
      </c>
    </row>
    <row r="701" spans="1:8" ht="15.5" x14ac:dyDescent="0.35">
      <c r="A701" s="2" t="s">
        <v>982</v>
      </c>
      <c r="B701">
        <v>1</v>
      </c>
      <c r="C701" t="s">
        <v>600</v>
      </c>
      <c r="D701" t="s">
        <v>9</v>
      </c>
      <c r="E701" t="s">
        <v>810</v>
      </c>
      <c r="F701" t="s">
        <v>18</v>
      </c>
      <c r="G701" t="s">
        <v>19</v>
      </c>
      <c r="H701" s="2" t="s">
        <v>809</v>
      </c>
    </row>
    <row r="702" spans="1:8" x14ac:dyDescent="0.35">
      <c r="A702" t="s">
        <v>981</v>
      </c>
      <c r="B702">
        <v>2.2084524000000001</v>
      </c>
      <c r="C702" t="s">
        <v>600</v>
      </c>
      <c r="D702" t="s">
        <v>9</v>
      </c>
      <c r="E702" t="s">
        <v>676</v>
      </c>
      <c r="F702" t="s">
        <v>21</v>
      </c>
      <c r="G702" t="s">
        <v>19</v>
      </c>
      <c r="H702" t="s">
        <v>811</v>
      </c>
    </row>
    <row r="703" spans="1:8" x14ac:dyDescent="0.35">
      <c r="A703" t="s">
        <v>812</v>
      </c>
      <c r="B703">
        <v>6.6731592000000006E-2</v>
      </c>
      <c r="C703" t="s">
        <v>600</v>
      </c>
      <c r="D703" t="s">
        <v>9</v>
      </c>
      <c r="E703" t="s">
        <v>676</v>
      </c>
      <c r="F703" t="s">
        <v>21</v>
      </c>
      <c r="G703" t="s">
        <v>19</v>
      </c>
      <c r="H703" t="s">
        <v>813</v>
      </c>
    </row>
    <row r="704" spans="1:8" x14ac:dyDescent="0.35">
      <c r="A704" t="s">
        <v>680</v>
      </c>
      <c r="B704">
        <v>1.0994459999999999</v>
      </c>
      <c r="C704" t="s">
        <v>600</v>
      </c>
      <c r="D704" t="s">
        <v>20</v>
      </c>
      <c r="E704" t="s">
        <v>676</v>
      </c>
      <c r="F704" t="s">
        <v>21</v>
      </c>
      <c r="G704" t="s">
        <v>19</v>
      </c>
      <c r="H704" t="s">
        <v>683</v>
      </c>
    </row>
    <row r="705" spans="1:8" x14ac:dyDescent="0.35">
      <c r="A705" t="s">
        <v>680</v>
      </c>
      <c r="B705">
        <v>1.0994459999999999</v>
      </c>
      <c r="C705" t="s">
        <v>600</v>
      </c>
      <c r="D705" t="s">
        <v>20</v>
      </c>
      <c r="E705" t="s">
        <v>676</v>
      </c>
      <c r="F705" t="s">
        <v>21</v>
      </c>
      <c r="G705" t="s">
        <v>19</v>
      </c>
      <c r="H705" t="s">
        <v>683</v>
      </c>
    </row>
    <row r="706" spans="1:8" x14ac:dyDescent="0.35">
      <c r="A706" t="s">
        <v>680</v>
      </c>
      <c r="B706">
        <v>0.71703000000000006</v>
      </c>
      <c r="C706" t="s">
        <v>600</v>
      </c>
      <c r="D706" t="s">
        <v>20</v>
      </c>
      <c r="E706" t="s">
        <v>676</v>
      </c>
      <c r="F706" t="s">
        <v>21</v>
      </c>
      <c r="G706" t="s">
        <v>19</v>
      </c>
      <c r="H706" t="s">
        <v>683</v>
      </c>
    </row>
    <row r="707" spans="1:8" x14ac:dyDescent="0.35">
      <c r="A707" t="s">
        <v>680</v>
      </c>
      <c r="B707">
        <v>2.6728200000000002</v>
      </c>
      <c r="C707" t="s">
        <v>600</v>
      </c>
      <c r="D707" t="s">
        <v>20</v>
      </c>
      <c r="E707" t="s">
        <v>676</v>
      </c>
      <c r="F707" t="s">
        <v>21</v>
      </c>
      <c r="G707" t="s">
        <v>19</v>
      </c>
      <c r="H707" t="s">
        <v>683</v>
      </c>
    </row>
    <row r="708" spans="1:8" x14ac:dyDescent="0.35">
      <c r="A708" t="s">
        <v>814</v>
      </c>
      <c r="B708">
        <v>1.410159E-3</v>
      </c>
      <c r="C708" t="s">
        <v>27</v>
      </c>
      <c r="D708" t="s">
        <v>9</v>
      </c>
      <c r="E708" t="s">
        <v>676</v>
      </c>
      <c r="F708" t="s">
        <v>21</v>
      </c>
      <c r="G708" t="s">
        <v>19</v>
      </c>
      <c r="H708" t="s">
        <v>815</v>
      </c>
    </row>
    <row r="709" spans="1:8" x14ac:dyDescent="0.35">
      <c r="A709" t="s">
        <v>762</v>
      </c>
      <c r="B709">
        <v>3.5373480000000001E-3</v>
      </c>
      <c r="C709" t="s">
        <v>27</v>
      </c>
      <c r="D709" t="s">
        <v>9</v>
      </c>
      <c r="E709" t="s">
        <v>676</v>
      </c>
      <c r="F709" t="s">
        <v>21</v>
      </c>
      <c r="G709" t="s">
        <v>19</v>
      </c>
      <c r="H709" t="s">
        <v>764</v>
      </c>
    </row>
    <row r="710" spans="1:8" x14ac:dyDescent="0.35">
      <c r="A710" t="s">
        <v>762</v>
      </c>
      <c r="B710">
        <v>5.9706000000000009E-2</v>
      </c>
      <c r="C710" t="s">
        <v>27</v>
      </c>
      <c r="D710" t="s">
        <v>9</v>
      </c>
      <c r="E710" t="s">
        <v>676</v>
      </c>
      <c r="F710" t="s">
        <v>21</v>
      </c>
      <c r="G710" t="s">
        <v>19</v>
      </c>
      <c r="H710" t="s">
        <v>764</v>
      </c>
    </row>
    <row r="711" spans="1:8" x14ac:dyDescent="0.35">
      <c r="A711" t="s">
        <v>401</v>
      </c>
      <c r="B711">
        <v>5.0220000000000004E-3</v>
      </c>
      <c r="C711" t="s">
        <v>27</v>
      </c>
      <c r="D711" t="s">
        <v>9</v>
      </c>
      <c r="E711" t="s">
        <v>676</v>
      </c>
      <c r="F711" t="s">
        <v>21</v>
      </c>
      <c r="G711" t="s">
        <v>19</v>
      </c>
      <c r="H711" t="s">
        <v>402</v>
      </c>
    </row>
    <row r="712" spans="1:8" x14ac:dyDescent="0.35">
      <c r="A712" t="s">
        <v>263</v>
      </c>
      <c r="B712">
        <v>7.552716000000001E-3</v>
      </c>
      <c r="C712" t="s">
        <v>600</v>
      </c>
      <c r="D712" t="s">
        <v>9</v>
      </c>
      <c r="E712" t="s">
        <v>676</v>
      </c>
      <c r="F712" t="s">
        <v>21</v>
      </c>
      <c r="G712" t="s">
        <v>19</v>
      </c>
      <c r="H712" t="s">
        <v>264</v>
      </c>
    </row>
    <row r="713" spans="1:8" x14ac:dyDescent="0.35">
      <c r="A713" t="s">
        <v>816</v>
      </c>
      <c r="B713">
        <v>6.6960000000000006E-2</v>
      </c>
      <c r="C713" t="s">
        <v>27</v>
      </c>
      <c r="D713" t="s">
        <v>9</v>
      </c>
      <c r="E713" t="s">
        <v>676</v>
      </c>
      <c r="F713" t="s">
        <v>21</v>
      </c>
      <c r="G713" t="s">
        <v>19</v>
      </c>
      <c r="H713" t="s">
        <v>817</v>
      </c>
    </row>
    <row r="714" spans="1:8" x14ac:dyDescent="0.35">
      <c r="A714" t="s">
        <v>699</v>
      </c>
      <c r="B714">
        <v>3.8241599999999994E-2</v>
      </c>
      <c r="C714" t="s">
        <v>665</v>
      </c>
      <c r="D714" t="s">
        <v>31</v>
      </c>
      <c r="E714" t="s">
        <v>676</v>
      </c>
      <c r="F714" t="s">
        <v>21</v>
      </c>
      <c r="G714" t="s">
        <v>19</v>
      </c>
      <c r="H714" t="s">
        <v>701</v>
      </c>
    </row>
    <row r="715" spans="1:8" x14ac:dyDescent="0.35">
      <c r="A715" t="s">
        <v>699</v>
      </c>
      <c r="B715">
        <v>3.8241599999999994E-2</v>
      </c>
      <c r="C715" t="s">
        <v>665</v>
      </c>
      <c r="D715" t="s">
        <v>31</v>
      </c>
      <c r="E715" t="s">
        <v>676</v>
      </c>
      <c r="F715" t="s">
        <v>21</v>
      </c>
      <c r="G715" t="s">
        <v>19</v>
      </c>
      <c r="H715" t="s">
        <v>701</v>
      </c>
    </row>
    <row r="716" spans="1:8" x14ac:dyDescent="0.35">
      <c r="A716" t="s">
        <v>699</v>
      </c>
      <c r="B716">
        <v>0.15298500000000001</v>
      </c>
      <c r="C716" t="s">
        <v>665</v>
      </c>
      <c r="D716" t="s">
        <v>31</v>
      </c>
      <c r="E716" t="s">
        <v>676</v>
      </c>
      <c r="F716" t="s">
        <v>21</v>
      </c>
      <c r="G716" t="s">
        <v>19</v>
      </c>
      <c r="H716" t="s">
        <v>701</v>
      </c>
    </row>
    <row r="717" spans="1:8" x14ac:dyDescent="0.35">
      <c r="A717" t="s">
        <v>699</v>
      </c>
      <c r="B717">
        <v>1.9598819999999999E-2</v>
      </c>
      <c r="C717" t="s">
        <v>665</v>
      </c>
      <c r="D717" t="s">
        <v>31</v>
      </c>
      <c r="E717" t="s">
        <v>676</v>
      </c>
      <c r="F717" t="s">
        <v>21</v>
      </c>
      <c r="G717" t="s">
        <v>19</v>
      </c>
      <c r="H717" t="s">
        <v>701</v>
      </c>
    </row>
    <row r="718" spans="1:8" x14ac:dyDescent="0.35">
      <c r="A718" t="s">
        <v>201</v>
      </c>
      <c r="B718" s="7">
        <f>(B702*B690)-Allocation!B14</f>
        <v>1.441759164</v>
      </c>
      <c r="D718" t="s">
        <v>9</v>
      </c>
      <c r="E718" t="s">
        <v>121</v>
      </c>
      <c r="F718" t="s">
        <v>38</v>
      </c>
    </row>
    <row r="720" spans="1:8" ht="15.5" x14ac:dyDescent="0.35">
      <c r="A720" s="1" t="s">
        <v>1</v>
      </c>
      <c r="B720" s="1" t="s">
        <v>808</v>
      </c>
    </row>
    <row r="721" spans="1:11" x14ac:dyDescent="0.35">
      <c r="A721" t="s">
        <v>2</v>
      </c>
      <c r="B721" t="s">
        <v>600</v>
      </c>
    </row>
    <row r="722" spans="1:11" x14ac:dyDescent="0.35">
      <c r="A722" t="s">
        <v>4</v>
      </c>
      <c r="B722">
        <v>1</v>
      </c>
    </row>
    <row r="723" spans="1:11" ht="15.5" x14ac:dyDescent="0.35">
      <c r="A723" t="s">
        <v>5</v>
      </c>
      <c r="B723" s="2" t="s">
        <v>758</v>
      </c>
    </row>
    <row r="724" spans="1:11" x14ac:dyDescent="0.35">
      <c r="A724" t="s">
        <v>6</v>
      </c>
      <c r="B724" t="s">
        <v>7</v>
      </c>
    </row>
    <row r="725" spans="1:11" x14ac:dyDescent="0.35">
      <c r="A725" t="s">
        <v>8</v>
      </c>
      <c r="B725" t="s">
        <v>9</v>
      </c>
    </row>
    <row r="726" spans="1:11" ht="15.5" x14ac:dyDescent="0.35">
      <c r="A726" s="1" t="s">
        <v>13</v>
      </c>
    </row>
    <row r="727" spans="1:11" x14ac:dyDescent="0.35">
      <c r="A727" t="s">
        <v>14</v>
      </c>
      <c r="B727" t="s">
        <v>15</v>
      </c>
      <c r="C727" t="s">
        <v>2</v>
      </c>
      <c r="D727" t="s">
        <v>8</v>
      </c>
      <c r="E727" t="s">
        <v>16</v>
      </c>
      <c r="F727" t="s">
        <v>6</v>
      </c>
      <c r="G727" t="s">
        <v>351</v>
      </c>
      <c r="H727" t="s">
        <v>352</v>
      </c>
      <c r="I727" t="s">
        <v>17</v>
      </c>
      <c r="J727" t="s">
        <v>12</v>
      </c>
      <c r="K727" t="s">
        <v>5</v>
      </c>
    </row>
    <row r="728" spans="1:11" x14ac:dyDescent="0.35">
      <c r="A728" t="s">
        <v>808</v>
      </c>
      <c r="B728">
        <v>1</v>
      </c>
      <c r="C728" t="s">
        <v>600</v>
      </c>
      <c r="D728" t="s">
        <v>9</v>
      </c>
      <c r="F728" t="s">
        <v>18</v>
      </c>
      <c r="I728">
        <v>100</v>
      </c>
      <c r="J728" t="s">
        <v>19</v>
      </c>
      <c r="K728" t="s">
        <v>758</v>
      </c>
    </row>
    <row r="729" spans="1:11" ht="15.5" x14ac:dyDescent="0.35">
      <c r="A729" s="2" t="s">
        <v>982</v>
      </c>
      <c r="B729">
        <v>1.00057</v>
      </c>
      <c r="C729" t="s">
        <v>600</v>
      </c>
      <c r="D729" t="s">
        <v>9</v>
      </c>
      <c r="F729" t="s">
        <v>21</v>
      </c>
      <c r="K729" s="2" t="s">
        <v>809</v>
      </c>
    </row>
    <row r="730" spans="1:11" x14ac:dyDescent="0.35">
      <c r="A730" t="s">
        <v>30</v>
      </c>
      <c r="B730">
        <v>6.7000000000000002E-3</v>
      </c>
      <c r="C730" t="s">
        <v>600</v>
      </c>
      <c r="D730" t="s">
        <v>31</v>
      </c>
      <c r="F730" t="s">
        <v>21</v>
      </c>
      <c r="K730" t="s">
        <v>32</v>
      </c>
    </row>
    <row r="731" spans="1:11" x14ac:dyDescent="0.35">
      <c r="A731" t="s">
        <v>353</v>
      </c>
      <c r="B731">
        <v>-1.6799999999999999E-4</v>
      </c>
      <c r="C731" t="s">
        <v>665</v>
      </c>
      <c r="D731" t="s">
        <v>9</v>
      </c>
      <c r="F731" t="s">
        <v>21</v>
      </c>
      <c r="K731" t="s">
        <v>354</v>
      </c>
    </row>
    <row r="732" spans="1:11" x14ac:dyDescent="0.35">
      <c r="A732" t="s">
        <v>355</v>
      </c>
      <c r="B732" s="7">
        <v>5.8399999999999999E-4</v>
      </c>
      <c r="C732" t="s">
        <v>673</v>
      </c>
      <c r="D732" t="s">
        <v>20</v>
      </c>
      <c r="F732" t="s">
        <v>21</v>
      </c>
      <c r="K732" t="s">
        <v>356</v>
      </c>
    </row>
    <row r="733" spans="1:11" x14ac:dyDescent="0.35">
      <c r="A733" t="s">
        <v>357</v>
      </c>
      <c r="B733" s="7">
        <v>2.5999999999999998E-10</v>
      </c>
      <c r="C733" t="s">
        <v>600</v>
      </c>
      <c r="D733" t="s">
        <v>8</v>
      </c>
      <c r="F733" t="s">
        <v>21</v>
      </c>
      <c r="K733" t="s">
        <v>358</v>
      </c>
    </row>
    <row r="734" spans="1:11" x14ac:dyDescent="0.35">
      <c r="A734" t="s">
        <v>359</v>
      </c>
      <c r="B734" s="7">
        <v>-6.2700000000000001E-6</v>
      </c>
      <c r="C734" t="s">
        <v>673</v>
      </c>
      <c r="D734" t="s">
        <v>9</v>
      </c>
      <c r="F734" t="s">
        <v>21</v>
      </c>
      <c r="K734" t="s">
        <v>360</v>
      </c>
    </row>
    <row r="735" spans="1:11" x14ac:dyDescent="0.35">
      <c r="A735" t="s">
        <v>361</v>
      </c>
      <c r="B735" s="7">
        <v>-7.4999999999999993E-5</v>
      </c>
      <c r="C735" t="s">
        <v>665</v>
      </c>
      <c r="D735" t="s">
        <v>131</v>
      </c>
      <c r="F735" t="s">
        <v>21</v>
      </c>
      <c r="K735" t="s">
        <v>362</v>
      </c>
    </row>
    <row r="736" spans="1:11" x14ac:dyDescent="0.35">
      <c r="A736" t="s">
        <v>363</v>
      </c>
      <c r="B736" s="7">
        <v>6.8900000000000005E-4</v>
      </c>
      <c r="C736" t="s">
        <v>665</v>
      </c>
      <c r="D736" t="s">
        <v>9</v>
      </c>
      <c r="F736" t="s">
        <v>21</v>
      </c>
      <c r="K736" t="s">
        <v>364</v>
      </c>
    </row>
    <row r="737" spans="1:14" x14ac:dyDescent="0.35">
      <c r="A737" t="s">
        <v>108</v>
      </c>
      <c r="B737">
        <v>3.3599999999999998E-2</v>
      </c>
      <c r="C737" t="s">
        <v>665</v>
      </c>
      <c r="D737" t="s">
        <v>45</v>
      </c>
      <c r="F737" t="s">
        <v>21</v>
      </c>
      <c r="K737" t="s">
        <v>111</v>
      </c>
    </row>
    <row r="738" spans="1:14" x14ac:dyDescent="0.35">
      <c r="A738" t="s">
        <v>365</v>
      </c>
      <c r="B738">
        <v>3.2599999999999997E-2</v>
      </c>
      <c r="C738" t="s">
        <v>600</v>
      </c>
      <c r="D738" t="s">
        <v>45</v>
      </c>
      <c r="F738" t="s">
        <v>21</v>
      </c>
      <c r="K738" t="s">
        <v>366</v>
      </c>
    </row>
    <row r="739" spans="1:14" x14ac:dyDescent="0.35">
      <c r="A739" t="s">
        <v>367</v>
      </c>
      <c r="B739" s="7">
        <v>-6.8899999999999999E-7</v>
      </c>
      <c r="C739" t="s">
        <v>665</v>
      </c>
      <c r="D739" t="s">
        <v>131</v>
      </c>
      <c r="F739" t="s">
        <v>21</v>
      </c>
      <c r="K739" t="s">
        <v>368</v>
      </c>
    </row>
    <row r="740" spans="1:14" ht="16.25" customHeight="1" x14ac:dyDescent="0.35">
      <c r="A740" s="1"/>
      <c r="B740" s="1"/>
    </row>
    <row r="744" spans="1:14" ht="15.5" x14ac:dyDescent="0.35">
      <c r="A744" s="1" t="s">
        <v>1</v>
      </c>
      <c r="B744" s="1" t="s">
        <v>915</v>
      </c>
    </row>
    <row r="745" spans="1:14" x14ac:dyDescent="0.35">
      <c r="A745" t="s">
        <v>2</v>
      </c>
      <c r="B745" t="s">
        <v>600</v>
      </c>
    </row>
    <row r="746" spans="1:14" x14ac:dyDescent="0.35">
      <c r="A746" t="s">
        <v>4</v>
      </c>
      <c r="B746">
        <v>1</v>
      </c>
    </row>
    <row r="747" spans="1:14" x14ac:dyDescent="0.35">
      <c r="A747" t="s">
        <v>5</v>
      </c>
      <c r="B747" t="s">
        <v>915</v>
      </c>
    </row>
    <row r="748" spans="1:14" x14ac:dyDescent="0.35">
      <c r="A748" t="s">
        <v>6</v>
      </c>
      <c r="B748" t="s">
        <v>7</v>
      </c>
    </row>
    <row r="749" spans="1:14" x14ac:dyDescent="0.35">
      <c r="A749" t="s">
        <v>8</v>
      </c>
      <c r="B749" t="s">
        <v>20</v>
      </c>
    </row>
    <row r="750" spans="1:14" ht="15.5" x14ac:dyDescent="0.35">
      <c r="A750" s="1" t="s">
        <v>13</v>
      </c>
    </row>
    <row r="751" spans="1:14" x14ac:dyDescent="0.35">
      <c r="A751" t="s">
        <v>14</v>
      </c>
      <c r="B751" t="s">
        <v>15</v>
      </c>
      <c r="C751" t="s">
        <v>2</v>
      </c>
      <c r="D751" t="s">
        <v>8</v>
      </c>
      <c r="E751" t="s">
        <v>16</v>
      </c>
      <c r="F751" t="s">
        <v>6</v>
      </c>
      <c r="G751" t="s">
        <v>351</v>
      </c>
      <c r="H751" t="s">
        <v>352</v>
      </c>
      <c r="I751" t="s">
        <v>17</v>
      </c>
      <c r="J751" t="s">
        <v>12</v>
      </c>
      <c r="K751" t="s">
        <v>675</v>
      </c>
      <c r="L751" t="s">
        <v>5</v>
      </c>
      <c r="M751" t="s">
        <v>707</v>
      </c>
      <c r="N751" t="s">
        <v>708</v>
      </c>
    </row>
    <row r="752" spans="1:14" x14ac:dyDescent="0.35">
      <c r="A752" t="s">
        <v>915</v>
      </c>
      <c r="B752">
        <v>1</v>
      </c>
      <c r="C752" t="s">
        <v>600</v>
      </c>
      <c r="D752" t="s">
        <v>20</v>
      </c>
      <c r="E752" t="s">
        <v>709</v>
      </c>
      <c r="F752" t="s">
        <v>18</v>
      </c>
      <c r="I752">
        <v>100</v>
      </c>
      <c r="J752" t="s">
        <v>19</v>
      </c>
      <c r="K752" t="s">
        <v>915</v>
      </c>
    </row>
    <row r="753" spans="1:14" x14ac:dyDescent="0.35">
      <c r="A753" t="s">
        <v>710</v>
      </c>
      <c r="B753">
        <v>1.8388</v>
      </c>
      <c r="C753" t="s">
        <v>600</v>
      </c>
      <c r="D753" t="s">
        <v>20</v>
      </c>
      <c r="E753" t="s">
        <v>676</v>
      </c>
      <c r="F753" t="s">
        <v>21</v>
      </c>
      <c r="G753">
        <v>0</v>
      </c>
      <c r="H753">
        <v>1.8388</v>
      </c>
      <c r="J753" t="s">
        <v>19</v>
      </c>
      <c r="K753" t="s">
        <v>710</v>
      </c>
    </row>
    <row r="754" spans="1:14" x14ac:dyDescent="0.35">
      <c r="A754" t="s">
        <v>680</v>
      </c>
      <c r="B754">
        <v>0.28060000000000002</v>
      </c>
      <c r="C754" t="s">
        <v>600</v>
      </c>
      <c r="D754" t="s">
        <v>20</v>
      </c>
      <c r="E754" t="s">
        <v>681</v>
      </c>
      <c r="F754" t="s">
        <v>21</v>
      </c>
      <c r="G754">
        <v>0</v>
      </c>
      <c r="H754">
        <v>0.28060000000000002</v>
      </c>
      <c r="J754" t="s">
        <v>19</v>
      </c>
      <c r="K754" t="s">
        <v>683</v>
      </c>
      <c r="L754" t="s">
        <v>683</v>
      </c>
      <c r="M754" t="s">
        <v>712</v>
      </c>
      <c r="N754" t="s">
        <v>713</v>
      </c>
    </row>
    <row r="755" spans="1:14" x14ac:dyDescent="0.35">
      <c r="A755" t="s">
        <v>691</v>
      </c>
      <c r="B755">
        <v>1.3610000000000001E-2</v>
      </c>
      <c r="C755" t="s">
        <v>600</v>
      </c>
      <c r="D755" t="s">
        <v>45</v>
      </c>
      <c r="E755" t="s">
        <v>681</v>
      </c>
      <c r="F755" t="s">
        <v>21</v>
      </c>
      <c r="G755">
        <v>0</v>
      </c>
      <c r="H755">
        <v>1.3610000000000001E-2</v>
      </c>
      <c r="J755" t="s">
        <v>19</v>
      </c>
      <c r="K755" t="s">
        <v>692</v>
      </c>
      <c r="L755" t="s">
        <v>692</v>
      </c>
      <c r="M755" t="s">
        <v>717</v>
      </c>
      <c r="N755" t="s">
        <v>713</v>
      </c>
    </row>
    <row r="756" spans="1:14" x14ac:dyDescent="0.35">
      <c r="A756" t="s">
        <v>691</v>
      </c>
      <c r="B756">
        <v>1.83E-2</v>
      </c>
      <c r="C756" t="s">
        <v>600</v>
      </c>
      <c r="D756" t="s">
        <v>45</v>
      </c>
      <c r="E756" t="s">
        <v>681</v>
      </c>
      <c r="F756" t="s">
        <v>21</v>
      </c>
      <c r="G756">
        <v>0</v>
      </c>
      <c r="H756">
        <v>1.83E-2</v>
      </c>
      <c r="J756" t="s">
        <v>19</v>
      </c>
      <c r="K756" t="s">
        <v>692</v>
      </c>
      <c r="L756" t="s">
        <v>692</v>
      </c>
      <c r="M756" t="s">
        <v>717</v>
      </c>
      <c r="N756" t="s">
        <v>713</v>
      </c>
    </row>
    <row r="757" spans="1:14" x14ac:dyDescent="0.35">
      <c r="A757" t="s">
        <v>699</v>
      </c>
      <c r="B757">
        <v>8.3677999999999999E-3</v>
      </c>
      <c r="C757" t="s">
        <v>665</v>
      </c>
      <c r="D757" t="s">
        <v>31</v>
      </c>
      <c r="E757" t="s">
        <v>681</v>
      </c>
      <c r="F757" t="s">
        <v>21</v>
      </c>
      <c r="G757">
        <v>0</v>
      </c>
      <c r="H757">
        <v>3.0099999999999998E-2</v>
      </c>
      <c r="J757" t="s">
        <v>19</v>
      </c>
      <c r="K757" t="s">
        <v>701</v>
      </c>
      <c r="L757" t="s">
        <v>701</v>
      </c>
      <c r="M757" t="s">
        <v>721</v>
      </c>
      <c r="N757" t="s">
        <v>713</v>
      </c>
    </row>
    <row r="758" spans="1:14" x14ac:dyDescent="0.35">
      <c r="A758" t="s">
        <v>699</v>
      </c>
      <c r="B758">
        <v>1.1787200000000001E-3</v>
      </c>
      <c r="C758" t="s">
        <v>665</v>
      </c>
      <c r="D758" t="s">
        <v>31</v>
      </c>
      <c r="E758" t="s">
        <v>681</v>
      </c>
      <c r="F758" t="s">
        <v>21</v>
      </c>
      <c r="G758">
        <v>0</v>
      </c>
      <c r="H758">
        <v>4.2399999999999998E-3</v>
      </c>
      <c r="J758" t="s">
        <v>19</v>
      </c>
      <c r="K758" t="s">
        <v>701</v>
      </c>
      <c r="L758" t="s">
        <v>701</v>
      </c>
      <c r="M758" t="s">
        <v>721</v>
      </c>
      <c r="N758" t="s">
        <v>713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4"/>
  <sheetViews>
    <sheetView workbookViewId="0">
      <selection activeCell="B14" sqref="B14"/>
    </sheetView>
  </sheetViews>
  <sheetFormatPr defaultRowHeight="14.5" x14ac:dyDescent="0.35"/>
  <cols>
    <col min="1" max="1" width="34.54296875" bestFit="1" customWidth="1"/>
    <col min="2" max="2" width="50" customWidth="1"/>
    <col min="3" max="3" width="16.6328125" customWidth="1"/>
    <col min="4" max="4" width="22" customWidth="1"/>
    <col min="5" max="5" width="13.54296875" bestFit="1" customWidth="1"/>
    <col min="6" max="6" width="25.453125" bestFit="1" customWidth="1"/>
    <col min="7" max="7" width="16" customWidth="1"/>
  </cols>
  <sheetData>
    <row r="1" spans="1:7" x14ac:dyDescent="0.35">
      <c r="A1" t="s">
        <v>25</v>
      </c>
    </row>
    <row r="2" spans="1:7" x14ac:dyDescent="0.35">
      <c r="A2" s="10" t="s">
        <v>242</v>
      </c>
    </row>
    <row r="3" spans="1:7" x14ac:dyDescent="0.35">
      <c r="A3" t="s">
        <v>26</v>
      </c>
      <c r="B3">
        <v>1.0550558999999999E-3</v>
      </c>
    </row>
    <row r="4" spans="1:7" x14ac:dyDescent="0.35">
      <c r="A4" t="s">
        <v>34</v>
      </c>
      <c r="B4">
        <v>3.7850000000000001</v>
      </c>
    </row>
    <row r="5" spans="1:7" x14ac:dyDescent="0.35">
      <c r="A5" t="s">
        <v>35</v>
      </c>
      <c r="B5">
        <v>29.7</v>
      </c>
    </row>
    <row r="6" spans="1:7" x14ac:dyDescent="0.35">
      <c r="A6" t="s">
        <v>61</v>
      </c>
      <c r="B6">
        <v>0.4536</v>
      </c>
    </row>
    <row r="7" spans="1:7" x14ac:dyDescent="0.35">
      <c r="A7" t="s">
        <v>75</v>
      </c>
      <c r="B7">
        <v>1.61</v>
      </c>
      <c r="E7">
        <f>15827*B3</f>
        <v>16.698369729299998</v>
      </c>
    </row>
    <row r="8" spans="1:7" x14ac:dyDescent="0.35">
      <c r="A8" t="s">
        <v>102</v>
      </c>
      <c r="B8">
        <f>1/39.37</f>
        <v>2.5400050800101603E-2</v>
      </c>
      <c r="E8">
        <f>B4*B10</f>
        <v>2.9863650000000002</v>
      </c>
    </row>
    <row r="9" spans="1:7" x14ac:dyDescent="0.35">
      <c r="A9" t="s">
        <v>112</v>
      </c>
      <c r="B9">
        <v>10000</v>
      </c>
    </row>
    <row r="10" spans="1:7" x14ac:dyDescent="0.35">
      <c r="A10" t="s">
        <v>231</v>
      </c>
      <c r="B10">
        <v>0.78900000000000003</v>
      </c>
    </row>
    <row r="11" spans="1:7" x14ac:dyDescent="0.35">
      <c r="A11" t="s">
        <v>236</v>
      </c>
      <c r="B11">
        <v>4047</v>
      </c>
    </row>
    <row r="12" spans="1:7" x14ac:dyDescent="0.35">
      <c r="A12" t="s">
        <v>439</v>
      </c>
      <c r="B12">
        <v>0.52200000000000002</v>
      </c>
    </row>
    <row r="13" spans="1:7" x14ac:dyDescent="0.35">
      <c r="A13" t="s">
        <v>440</v>
      </c>
      <c r="B13">
        <f>B12*(44/12)</f>
        <v>1.9139999999999999</v>
      </c>
    </row>
    <row r="14" spans="1:7" x14ac:dyDescent="0.35">
      <c r="A14" t="s">
        <v>969</v>
      </c>
      <c r="B14">
        <v>2.85</v>
      </c>
    </row>
    <row r="15" spans="1:7" x14ac:dyDescent="0.35">
      <c r="A15" s="10" t="s">
        <v>282</v>
      </c>
      <c r="G15" s="7"/>
    </row>
    <row r="16" spans="1:7" x14ac:dyDescent="0.35">
      <c r="A16" s="10" t="s">
        <v>17</v>
      </c>
      <c r="G16" s="7"/>
    </row>
    <row r="17" spans="1:8" x14ac:dyDescent="0.35">
      <c r="B17" s="11"/>
      <c r="C17" s="12" t="s">
        <v>243</v>
      </c>
      <c r="D17" s="13"/>
      <c r="E17" s="14"/>
      <c r="F17" s="14"/>
      <c r="G17" s="14"/>
      <c r="H17" s="26"/>
    </row>
    <row r="18" spans="1:8" x14ac:dyDescent="0.35">
      <c r="B18" s="15"/>
      <c r="C18" s="16" t="s">
        <v>244</v>
      </c>
      <c r="D18" s="17" t="s">
        <v>245</v>
      </c>
      <c r="E18" s="18" t="s">
        <v>246</v>
      </c>
      <c r="F18" s="18" t="s">
        <v>247</v>
      </c>
      <c r="G18" s="17" t="s">
        <v>248</v>
      </c>
      <c r="H18" s="27" t="s">
        <v>249</v>
      </c>
    </row>
    <row r="19" spans="1:8" x14ac:dyDescent="0.35">
      <c r="B19" s="19" t="s">
        <v>250</v>
      </c>
      <c r="C19" s="20">
        <v>2.4117647058823501</v>
      </c>
      <c r="D19" s="21">
        <v>2.4117647058823501</v>
      </c>
      <c r="E19" s="21">
        <v>2.4117647058823501</v>
      </c>
      <c r="F19" s="21">
        <v>2.4117647058823501</v>
      </c>
      <c r="G19" s="22">
        <v>2.4117647058823501</v>
      </c>
      <c r="H19" s="28">
        <v>2.4117647058823501</v>
      </c>
    </row>
    <row r="20" spans="1:8" x14ac:dyDescent="0.35">
      <c r="B20" s="19" t="s">
        <v>251</v>
      </c>
      <c r="C20" s="33">
        <v>85</v>
      </c>
      <c r="D20" s="35">
        <v>85</v>
      </c>
      <c r="E20" s="35">
        <v>85</v>
      </c>
      <c r="F20" s="35">
        <v>85</v>
      </c>
      <c r="G20" s="42">
        <v>85</v>
      </c>
      <c r="H20" s="51">
        <v>85</v>
      </c>
    </row>
    <row r="21" spans="1:8" x14ac:dyDescent="0.35">
      <c r="B21" s="52" t="s">
        <v>438</v>
      </c>
      <c r="C21" s="24">
        <f>8576/1000</f>
        <v>8.5760000000000005</v>
      </c>
      <c r="D21" s="24">
        <f>8823/1000</f>
        <v>8.8230000000000004</v>
      </c>
      <c r="E21" s="24">
        <f>7294/1000</f>
        <v>7.2939999999999996</v>
      </c>
      <c r="F21" s="24">
        <f>7451/1000</f>
        <v>7.4509999999999996</v>
      </c>
      <c r="G21" s="25">
        <f>7310/1000</f>
        <v>7.31</v>
      </c>
      <c r="H21" s="29">
        <f>7874/1000</f>
        <v>7.8739999999999997</v>
      </c>
    </row>
    <row r="23" spans="1:8" x14ac:dyDescent="0.35">
      <c r="C23" t="s">
        <v>10</v>
      </c>
      <c r="G23" s="7"/>
    </row>
    <row r="24" spans="1:8" x14ac:dyDescent="0.35">
      <c r="A24" t="s">
        <v>253</v>
      </c>
      <c r="B24">
        <v>2.36</v>
      </c>
      <c r="C24" t="s">
        <v>22</v>
      </c>
    </row>
    <row r="25" spans="1:8" x14ac:dyDescent="0.35">
      <c r="A25" t="s">
        <v>254</v>
      </c>
      <c r="B25">
        <v>0.107</v>
      </c>
      <c r="C25" t="s">
        <v>252</v>
      </c>
    </row>
    <row r="26" spans="1:8" x14ac:dyDescent="0.35">
      <c r="A26" t="s">
        <v>255</v>
      </c>
      <c r="B26">
        <v>0.82</v>
      </c>
      <c r="G26" s="7"/>
    </row>
    <row r="28" spans="1:8" x14ac:dyDescent="0.35">
      <c r="A28" t="s">
        <v>391</v>
      </c>
    </row>
    <row r="29" spans="1:8" x14ac:dyDescent="0.35">
      <c r="A29" t="s">
        <v>256</v>
      </c>
    </row>
    <row r="30" spans="1:8" x14ac:dyDescent="0.35">
      <c r="A30" t="s">
        <v>392</v>
      </c>
      <c r="B30" s="6">
        <f>((1/C20)/(B4*B10))*1000</f>
        <v>3.9394735346660368</v>
      </c>
      <c r="C30" t="s">
        <v>115</v>
      </c>
      <c r="F30" s="10" t="s">
        <v>283</v>
      </c>
      <c r="G30" s="10" t="s">
        <v>284</v>
      </c>
    </row>
    <row r="31" spans="1:8" x14ac:dyDescent="0.35">
      <c r="A31" t="s">
        <v>257</v>
      </c>
      <c r="D31" t="s">
        <v>260</v>
      </c>
      <c r="F31" t="s">
        <v>262</v>
      </c>
      <c r="G31" t="s">
        <v>285</v>
      </c>
    </row>
    <row r="32" spans="1:8" x14ac:dyDescent="0.35">
      <c r="A32" t="s">
        <v>269</v>
      </c>
      <c r="B32">
        <v>1</v>
      </c>
      <c r="C32" t="s">
        <v>115</v>
      </c>
      <c r="D32" s="6">
        <f>B32*($B$24/$B$4*$B$10*$B$26)</f>
        <v>0.40340100396301187</v>
      </c>
      <c r="E32" s="30" t="s">
        <v>261</v>
      </c>
      <c r="F32" s="31">
        <f>D32/(D32+D33)</f>
        <v>0.82358106218638572</v>
      </c>
      <c r="G32" s="31">
        <f>(B32*$B$5)/((B32*$B$5)+(B33*3.6))</f>
        <v>0.91083810487881589</v>
      </c>
    </row>
    <row r="33" spans="1:8" x14ac:dyDescent="0.35">
      <c r="A33" t="s">
        <v>258</v>
      </c>
      <c r="B33" s="6">
        <f>C19/(B4*B10)</f>
        <v>0.8075920746065367</v>
      </c>
      <c r="C33" t="s">
        <v>259</v>
      </c>
      <c r="D33" s="6">
        <f>B33*$B$25</f>
        <v>8.6412351982899427E-2</v>
      </c>
      <c r="E33" s="30" t="s">
        <v>261</v>
      </c>
      <c r="F33" s="31">
        <f>D33/(D33+D32)</f>
        <v>0.17641893781361426</v>
      </c>
      <c r="G33" s="31">
        <f>1-G32</f>
        <v>8.9161895121184109E-2</v>
      </c>
    </row>
    <row r="36" spans="1:8" x14ac:dyDescent="0.35">
      <c r="B36" s="11"/>
      <c r="C36" s="12" t="s">
        <v>243</v>
      </c>
      <c r="D36" s="40"/>
      <c r="E36" s="41"/>
      <c r="F36" s="41"/>
      <c r="G36" s="41"/>
      <c r="H36" s="41"/>
    </row>
    <row r="37" spans="1:8" x14ac:dyDescent="0.35">
      <c r="B37" s="15"/>
      <c r="C37" s="16" t="s">
        <v>287</v>
      </c>
      <c r="D37" s="43"/>
      <c r="E37" s="44"/>
      <c r="F37" s="44"/>
      <c r="G37" s="41"/>
      <c r="H37" s="41"/>
    </row>
    <row r="38" spans="1:8" x14ac:dyDescent="0.35">
      <c r="B38" s="19" t="s">
        <v>250</v>
      </c>
      <c r="C38" s="34">
        <v>3.5049999999999999</v>
      </c>
      <c r="D38" s="20"/>
      <c r="E38" s="21"/>
      <c r="F38" s="21"/>
      <c r="G38" s="22"/>
      <c r="H38" s="22"/>
    </row>
    <row r="39" spans="1:8" x14ac:dyDescent="0.35">
      <c r="B39" s="19" t="s">
        <v>423</v>
      </c>
      <c r="C39" s="33">
        <v>21.4</v>
      </c>
      <c r="D39" s="33"/>
      <c r="E39" s="35"/>
      <c r="F39" s="35"/>
      <c r="G39" s="42"/>
      <c r="H39" s="42"/>
    </row>
    <row r="40" spans="1:8" x14ac:dyDescent="0.35">
      <c r="B40" s="52" t="s">
        <v>438</v>
      </c>
      <c r="C40" s="53">
        <f>14776/1000</f>
        <v>14.776</v>
      </c>
      <c r="D40" s="35"/>
      <c r="E40" s="35"/>
      <c r="F40" s="35"/>
      <c r="G40" s="42"/>
      <c r="H40" s="42"/>
    </row>
    <row r="43" spans="1:8" x14ac:dyDescent="0.35">
      <c r="A43" t="s">
        <v>292</v>
      </c>
    </row>
    <row r="44" spans="1:8" x14ac:dyDescent="0.35">
      <c r="A44" t="s">
        <v>256</v>
      </c>
    </row>
    <row r="45" spans="1:8" x14ac:dyDescent="0.35">
      <c r="A45" t="s">
        <v>424</v>
      </c>
      <c r="B45" s="6">
        <f>((1/C39)/(B4*B10))*1000</f>
        <v>15.647441609654821</v>
      </c>
      <c r="C45" t="s">
        <v>115</v>
      </c>
      <c r="F45" s="10" t="s">
        <v>283</v>
      </c>
      <c r="G45" s="10" t="s">
        <v>284</v>
      </c>
    </row>
    <row r="46" spans="1:8" x14ac:dyDescent="0.35">
      <c r="A46" t="s">
        <v>257</v>
      </c>
      <c r="D46" t="s">
        <v>260</v>
      </c>
      <c r="F46" t="s">
        <v>262</v>
      </c>
      <c r="G46" t="s">
        <v>285</v>
      </c>
    </row>
    <row r="47" spans="1:8" x14ac:dyDescent="0.35">
      <c r="A47" t="s">
        <v>269</v>
      </c>
      <c r="B47">
        <v>1</v>
      </c>
      <c r="C47" t="s">
        <v>115</v>
      </c>
      <c r="D47" s="6">
        <f>B47*($B$24/$B$4*$B$10*$B$26)</f>
        <v>0.40340100396301187</v>
      </c>
      <c r="E47" s="30" t="s">
        <v>261</v>
      </c>
      <c r="F47" s="31">
        <f>D47/(D47+D48)</f>
        <v>0.76259665485344597</v>
      </c>
      <c r="G47" s="31">
        <f>(B47*$B$5)/((B47*$B$5)+(B48*3.6))</f>
        <v>0.87545532206192156</v>
      </c>
    </row>
    <row r="48" spans="1:8" x14ac:dyDescent="0.35">
      <c r="A48" t="s">
        <v>258</v>
      </c>
      <c r="B48" s="6">
        <f>C38/(B4*B10)</f>
        <v>1.1736676528153791</v>
      </c>
      <c r="C48" t="s">
        <v>259</v>
      </c>
      <c r="D48" s="6">
        <f>B48*$B$25</f>
        <v>0.12558243885124556</v>
      </c>
      <c r="E48" s="30" t="s">
        <v>261</v>
      </c>
      <c r="F48" s="31">
        <f>D48/(D48+D47)</f>
        <v>0.23740334514655398</v>
      </c>
      <c r="G48" s="31">
        <f>1-G47</f>
        <v>0.12454467793807844</v>
      </c>
    </row>
    <row r="52" spans="2:6" x14ac:dyDescent="0.35">
      <c r="B52" s="11"/>
      <c r="C52" s="12" t="s">
        <v>243</v>
      </c>
      <c r="D52" s="48"/>
      <c r="E52" s="48"/>
      <c r="F52" s="49"/>
    </row>
    <row r="53" spans="2:6" x14ac:dyDescent="0.35">
      <c r="B53" s="15"/>
      <c r="C53" s="16" t="s">
        <v>434</v>
      </c>
      <c r="D53" t="s">
        <v>435</v>
      </c>
      <c r="E53" t="s">
        <v>436</v>
      </c>
      <c r="F53" s="50" t="s">
        <v>437</v>
      </c>
    </row>
    <row r="54" spans="2:6" x14ac:dyDescent="0.35">
      <c r="B54" s="19" t="s">
        <v>250</v>
      </c>
      <c r="C54" s="33">
        <v>0</v>
      </c>
      <c r="D54" s="48">
        <v>0</v>
      </c>
      <c r="E54" s="48">
        <v>13.83</v>
      </c>
      <c r="F54" s="49">
        <v>2.59</v>
      </c>
    </row>
    <row r="55" spans="2:6" x14ac:dyDescent="0.35">
      <c r="B55" s="19" t="s">
        <v>423</v>
      </c>
      <c r="C55" s="34">
        <f>2.86/B8</f>
        <v>112.59819999999998</v>
      </c>
      <c r="D55" s="46">
        <f>2.81/B8</f>
        <v>110.62969999999999</v>
      </c>
      <c r="E55" s="6">
        <v>9.57</v>
      </c>
      <c r="F55" s="50">
        <v>17.809999999999999</v>
      </c>
    </row>
    <row r="56" spans="2:6" x14ac:dyDescent="0.35">
      <c r="B56" s="54" t="s">
        <v>541</v>
      </c>
      <c r="C56" s="55">
        <f>5.63*B6</f>
        <v>2.5537679999999998</v>
      </c>
      <c r="D56" s="56">
        <v>5.63</v>
      </c>
      <c r="E56" s="56">
        <v>0</v>
      </c>
      <c r="F56" s="50">
        <v>0</v>
      </c>
    </row>
    <row r="57" spans="2:6" x14ac:dyDescent="0.35">
      <c r="B57" s="70" t="s">
        <v>542</v>
      </c>
      <c r="C57" s="69"/>
      <c r="D57" s="56"/>
      <c r="E57" s="71">
        <v>16.3</v>
      </c>
      <c r="F57" s="50"/>
    </row>
    <row r="58" spans="2:6" x14ac:dyDescent="0.35">
      <c r="B58" s="70" t="s">
        <v>570</v>
      </c>
      <c r="C58" s="69">
        <v>0.54</v>
      </c>
      <c r="D58" s="56"/>
      <c r="E58" s="71"/>
      <c r="F58" s="50"/>
    </row>
    <row r="59" spans="2:6" x14ac:dyDescent="0.35">
      <c r="B59" s="52" t="s">
        <v>438</v>
      </c>
      <c r="C59" s="47">
        <v>2.36</v>
      </c>
      <c r="D59" s="47"/>
      <c r="E59" s="57">
        <f>25362/1000</f>
        <v>25.361999999999998</v>
      </c>
      <c r="F59" s="58">
        <f>11023/1000</f>
        <v>11.023</v>
      </c>
    </row>
    <row r="60" spans="2:6" x14ac:dyDescent="0.35">
      <c r="B60" s="59" t="s">
        <v>448</v>
      </c>
      <c r="C60" s="60">
        <v>0.82699999999999996</v>
      </c>
      <c r="D60" s="60">
        <v>0.82699999999999996</v>
      </c>
      <c r="E60" s="61">
        <v>0.71799999999999997</v>
      </c>
      <c r="F60" s="62">
        <v>0.93200000000000005</v>
      </c>
    </row>
    <row r="61" spans="2:6" x14ac:dyDescent="0.35">
      <c r="B61" s="52" t="s">
        <v>449</v>
      </c>
      <c r="C61" s="63">
        <v>0.60899999999999999</v>
      </c>
      <c r="D61" s="63">
        <v>0.60899999999999999</v>
      </c>
      <c r="E61" s="64">
        <v>0.61799999999999999</v>
      </c>
      <c r="F61" s="65">
        <v>0.89600000000000002</v>
      </c>
    </row>
    <row r="63" spans="2:6" x14ac:dyDescent="0.35">
      <c r="C63" t="s">
        <v>546</v>
      </c>
      <c r="D63" t="s">
        <v>547</v>
      </c>
      <c r="E63" t="s">
        <v>548</v>
      </c>
    </row>
    <row r="64" spans="2:6" x14ac:dyDescent="0.35">
      <c r="B64" t="s">
        <v>545</v>
      </c>
      <c r="C64">
        <v>3.03</v>
      </c>
      <c r="D64">
        <v>7.53</v>
      </c>
      <c r="E64">
        <v>0</v>
      </c>
    </row>
    <row r="74" spans="1:4" x14ac:dyDescent="0.35">
      <c r="A74" s="10" t="s">
        <v>286</v>
      </c>
    </row>
    <row r="75" spans="1:4" x14ac:dyDescent="0.35">
      <c r="A75" s="10" t="s">
        <v>17</v>
      </c>
    </row>
    <row r="77" spans="1:4" x14ac:dyDescent="0.35">
      <c r="B77" s="15"/>
      <c r="C77" s="16" t="s">
        <v>289</v>
      </c>
      <c r="D77" s="17" t="s">
        <v>290</v>
      </c>
    </row>
    <row r="78" spans="1:4" x14ac:dyDescent="0.35">
      <c r="B78" s="19" t="s">
        <v>291</v>
      </c>
      <c r="C78" s="33">
        <v>26.1</v>
      </c>
      <c r="D78" s="35">
        <f>(0.13*B5/B10)/3.6</f>
        <v>1.3593155893536122</v>
      </c>
    </row>
    <row r="79" spans="1:4" x14ac:dyDescent="0.35">
      <c r="B79" s="15" t="s">
        <v>288</v>
      </c>
      <c r="C79" s="23">
        <v>85.2</v>
      </c>
      <c r="D79" s="24">
        <f>(1/0.01808)/B5/B10</f>
        <v>2.3603049725507863</v>
      </c>
    </row>
    <row r="81" spans="1:7" x14ac:dyDescent="0.35">
      <c r="A81" t="s">
        <v>292</v>
      </c>
    </row>
    <row r="82" spans="1:7" x14ac:dyDescent="0.35">
      <c r="A82" t="s">
        <v>256</v>
      </c>
    </row>
    <row r="83" spans="1:7" x14ac:dyDescent="0.35">
      <c r="A83" t="s">
        <v>294</v>
      </c>
      <c r="B83">
        <v>1000</v>
      </c>
      <c r="F83" s="10" t="s">
        <v>283</v>
      </c>
      <c r="G83" s="10" t="s">
        <v>284</v>
      </c>
    </row>
    <row r="84" spans="1:7" x14ac:dyDescent="0.35">
      <c r="A84" t="s">
        <v>293</v>
      </c>
      <c r="D84" t="s">
        <v>260</v>
      </c>
      <c r="F84" t="s">
        <v>262</v>
      </c>
      <c r="G84" t="s">
        <v>285</v>
      </c>
    </row>
    <row r="85" spans="1:7" x14ac:dyDescent="0.35">
      <c r="A85" t="s">
        <v>295</v>
      </c>
      <c r="B85" s="36">
        <f>C79*B10</f>
        <v>67.222800000000007</v>
      </c>
      <c r="C85" t="s">
        <v>115</v>
      </c>
      <c r="D85" s="6">
        <f>B85*(B24/B4*B10*B26)</f>
        <v>27.117745009204757</v>
      </c>
      <c r="E85" s="30" t="s">
        <v>261</v>
      </c>
      <c r="F85" s="31">
        <f>D85/(D85+D86)</f>
        <v>0.90663127883451533</v>
      </c>
      <c r="G85" s="31">
        <f>(B85*$B$5)/((B85*$B$5)+(B86*3.6))</f>
        <v>0.9550533238067046</v>
      </c>
    </row>
    <row r="86" spans="1:7" x14ac:dyDescent="0.35">
      <c r="A86" t="s">
        <v>296</v>
      </c>
      <c r="B86" s="36">
        <f>C78</f>
        <v>26.1</v>
      </c>
      <c r="C86" t="s">
        <v>259</v>
      </c>
      <c r="D86" s="6">
        <f>B86*B25</f>
        <v>2.7927</v>
      </c>
      <c r="E86" s="30" t="s">
        <v>261</v>
      </c>
      <c r="F86" s="31">
        <f>D86/(D86+D85)</f>
        <v>9.3368721165484614E-2</v>
      </c>
      <c r="G86" s="31">
        <f>1-G85</f>
        <v>4.4946676193295398E-2</v>
      </c>
    </row>
    <row r="89" spans="1:7" x14ac:dyDescent="0.35">
      <c r="A89" t="s">
        <v>297</v>
      </c>
    </row>
    <row r="90" spans="1:7" x14ac:dyDescent="0.35">
      <c r="A90" t="s">
        <v>256</v>
      </c>
    </row>
    <row r="91" spans="1:7" x14ac:dyDescent="0.35">
      <c r="A91" t="s">
        <v>298</v>
      </c>
      <c r="B91">
        <v>1000</v>
      </c>
      <c r="F91" s="10" t="s">
        <v>283</v>
      </c>
      <c r="G91" s="10" t="s">
        <v>284</v>
      </c>
    </row>
    <row r="92" spans="1:7" x14ac:dyDescent="0.35">
      <c r="A92" t="s">
        <v>293</v>
      </c>
      <c r="D92" t="s">
        <v>260</v>
      </c>
      <c r="F92" t="s">
        <v>262</v>
      </c>
      <c r="G92" t="s">
        <v>285</v>
      </c>
    </row>
    <row r="93" spans="1:7" x14ac:dyDescent="0.35">
      <c r="A93" t="s">
        <v>295</v>
      </c>
      <c r="B93" s="36">
        <f>D79*1000</f>
        <v>2360.3049725507863</v>
      </c>
      <c r="C93" t="s">
        <v>115</v>
      </c>
      <c r="D93" s="6">
        <f>B93*(B24/B4*B10*B26)</f>
        <v>952.14939558587639</v>
      </c>
      <c r="E93" s="30" t="s">
        <v>261</v>
      </c>
      <c r="F93" s="31">
        <f>D93/(D93+D94)</f>
        <v>0.73499615836189169</v>
      </c>
      <c r="G93" s="31">
        <f>(B93*$B$5)/((B93*$B$5)+(B94*3.6))</f>
        <v>0.85854189336235043</v>
      </c>
    </row>
    <row r="94" spans="1:7" x14ac:dyDescent="0.35">
      <c r="A94" t="s">
        <v>296</v>
      </c>
      <c r="B94" s="36">
        <f>D78*B93</f>
        <v>3208.3993448171336</v>
      </c>
      <c r="C94" t="s">
        <v>259</v>
      </c>
      <c r="D94" s="6">
        <f>B94*B25</f>
        <v>343.29872989543327</v>
      </c>
      <c r="E94" s="30" t="s">
        <v>261</v>
      </c>
      <c r="F94" s="31">
        <f>D94/(D94+D93)</f>
        <v>0.26500384163810831</v>
      </c>
      <c r="G94" s="31">
        <f>1-G93</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GREET</vt:lpstr>
      <vt:lpstr>Pereira et al. 2019</vt:lpstr>
      <vt:lpstr>Gonzalez-Garcia et al. 2012</vt:lpstr>
      <vt:lpstr>Cozzolini 2018</vt:lpstr>
      <vt:lpstr>Allocation</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2021-01-18T11:29:07Z</dcterms:created>
  <dcterms:modified xsi:type="dcterms:W3CDTF">2021-07-04T07:47:37Z</dcterms:modified>
</cp:coreProperties>
</file>