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\Documents\Bootcamp Class\Analysis Projects M1\Crowdfunding Analysis\"/>
    </mc:Choice>
  </mc:AlternateContent>
  <xr:revisionPtr revIDLastSave="0" documentId="13_ncr:1_{925E5A8C-C674-46E0-BF62-8E114FEA5547}" xr6:coauthVersionLast="47" xr6:coauthVersionMax="47" xr10:uidLastSave="{00000000-0000-0000-0000-000000000000}"/>
  <bookViews>
    <workbookView xWindow="32445" yWindow="1650" windowWidth="21600" windowHeight="11385" firstSheet="3" activeTab="4" xr2:uid="{00000000-000D-0000-FFFF-FFFF00000000}"/>
  </bookViews>
  <sheets>
    <sheet name="Theatre Outcomes (Launch Date)" sheetId="16" r:id="rId1"/>
    <sheet name="Outcomes (Goals)" sheetId="18" r:id="rId2"/>
    <sheet name="Kickstarter" sheetId="1" r:id="rId3"/>
    <sheet name="Pivot (Category, Outcomes)" sheetId="2" r:id="rId4"/>
    <sheet name="Pivot (Subcategory, Outcomes)" sheetId="3" r:id="rId5"/>
    <sheet name="Outcomes (Launch Date)" sheetId="4" r:id="rId6"/>
    <sheet name="Edinburgh Research" sheetId="7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8" l="1"/>
  <c r="F3" i="18"/>
  <c r="F4" i="18"/>
  <c r="F5" i="18"/>
  <c r="F6" i="18"/>
  <c r="F7" i="18"/>
  <c r="F8" i="18"/>
  <c r="F9" i="18"/>
  <c r="F10" i="18"/>
  <c r="F11" i="18"/>
  <c r="F12" i="18"/>
  <c r="F13" i="18"/>
  <c r="G3" i="18"/>
  <c r="G4" i="18"/>
  <c r="G5" i="18"/>
  <c r="G6" i="18"/>
  <c r="G7" i="18"/>
  <c r="G8" i="18"/>
  <c r="G9" i="18"/>
  <c r="G10" i="18"/>
  <c r="G11" i="18"/>
  <c r="G12" i="18"/>
  <c r="G13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B6" i="18"/>
  <c r="B5" i="18"/>
  <c r="B4" i="18"/>
  <c r="B3" i="18"/>
  <c r="B2" i="18"/>
  <c r="D13" i="18"/>
  <c r="D12" i="18"/>
  <c r="D11" i="18"/>
  <c r="D10" i="18"/>
  <c r="D9" i="18"/>
  <c r="D8" i="18"/>
  <c r="D7" i="18"/>
  <c r="D6" i="18"/>
  <c r="D5" i="18"/>
  <c r="D4" i="18"/>
  <c r="D3" i="18"/>
  <c r="D2" i="18"/>
  <c r="C2" i="18"/>
  <c r="G3" i="7"/>
  <c r="G4" i="7"/>
  <c r="G5" i="7"/>
  <c r="G6" i="7"/>
  <c r="G2" i="7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8" l="1"/>
  <c r="E10" i="18"/>
  <c r="E7" i="18"/>
  <c r="E2" i="18"/>
  <c r="E6" i="18"/>
  <c r="E4" i="18"/>
  <c r="E8" i="18"/>
  <c r="E12" i="18"/>
  <c r="E5" i="18"/>
  <c r="E11" i="18"/>
  <c r="E13" i="18"/>
  <c r="G2" i="18"/>
  <c r="E9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Katsuko Day</author>
  </authors>
  <commentList>
    <comment ref="D1" authorId="0" shapeId="0" xr:uid="{3D365939-7C39-4832-92C7-C8EB696E181B}">
      <text>
        <r>
          <rPr>
            <b/>
            <sz val="9"/>
            <color indexed="81"/>
            <rFont val="Tahoma"/>
            <charset val="1"/>
          </rPr>
          <t>Katsuko Day:</t>
        </r>
        <r>
          <rPr>
            <sz val="9"/>
            <color indexed="81"/>
            <rFont val="Tahoma"/>
            <charset val="1"/>
          </rPr>
          <t xml:space="preserve">
I don't think there were any canceled play kickstarters so the value is 0 for the whole column basically, my criteria for Plays returned false because there were no plays that were canceled</t>
        </r>
      </text>
    </comment>
  </commentList>
</comments>
</file>

<file path=xl/sharedStrings.xml><?xml version="1.0" encoding="utf-8"?>
<sst xmlns="http://schemas.openxmlformats.org/spreadsheetml/2006/main" count="33036" uniqueCount="8406">
  <si>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</si>
  <si>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</si>
  <si>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</si>
  <si>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</si>
  <si>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</si>
  <si>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</si>
  <si>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</si>
  <si>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</si>
  <si>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</si>
  <si>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</si>
  <si>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</si>
  <si>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</si>
  <si>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</si>
  <si>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</si>
  <si>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</si>
  <si>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</si>
  <si>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</si>
  <si>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</si>
  <si>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</si>
  <si>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</si>
  <si>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</si>
  <si>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</si>
  <si>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</si>
  <si>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</si>
  <si>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</si>
  <si>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</si>
  <si>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</si>
  <si>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</si>
  <si>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</si>
  <si>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</si>
  <si>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</si>
  <si>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</si>
  <si>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</si>
  <si>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</si>
  <si>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</si>
  <si>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</si>
  <si>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</si>
  <si>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</si>
  <si>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</si>
  <si>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</si>
  <si>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</si>
  <si>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</si>
  <si>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</si>
  <si>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</si>
  <si>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</si>
  <si>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</si>
  <si>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</si>
  <si>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</si>
  <si>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</si>
  <si>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</si>
  <si>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</si>
  <si>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</si>
  <si>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</si>
  <si>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</si>
  <si>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</si>
  <si>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</si>
  <si>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</si>
  <si>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</si>
  <si>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</si>
  <si>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</si>
  <si>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</si>
  <si>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</si>
  <si>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</si>
  <si>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</si>
  <si>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</si>
  <si>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</si>
  <si>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</si>
  <si>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</si>
  <si>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</si>
  <si>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</si>
  <si>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</si>
  <si>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</si>
  <si>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</si>
  <si>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</si>
  <si>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</si>
  <si>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</si>
  <si>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</si>
  <si>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</si>
  <si>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</si>
  <si>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</si>
  <si>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</si>
  <si>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</si>
  <si>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</si>
  <si>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</si>
  <si>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</si>
  <si>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</si>
  <si>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</si>
  <si>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</si>
  <si>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</si>
  <si>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</si>
  <si>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</si>
  <si>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</si>
  <si>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</si>
  <si>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</si>
  <si>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</si>
  <si>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</si>
  <si>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</si>
  <si>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</si>
  <si>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</si>
  <si>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</si>
  <si>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</si>
  <si>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</si>
  <si>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</si>
  <si>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</si>
  <si>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</si>
  <si>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</si>
  <si>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</si>
  <si>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</si>
  <si>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</si>
  <si>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</si>
  <si>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</si>
  <si>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</si>
  <si>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</si>
  <si>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</si>
  <si>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</si>
  <si>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</si>
  <si>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</si>
  <si>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</si>
  <si>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</si>
  <si>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</si>
  <si>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</si>
  <si>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</si>
  <si>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</si>
  <si>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</si>
  <si>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</si>
  <si>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</si>
  <si>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</si>
  <si>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</si>
  <si>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</si>
  <si>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</si>
  <si>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</si>
  <si>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</si>
  <si>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</si>
  <si>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</si>
  <si>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</si>
  <si>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</si>
  <si>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</si>
  <si>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</si>
  <si>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</si>
  <si>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</si>
  <si>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</si>
  <si>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</si>
  <si>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</si>
  <si>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</si>
  <si>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</si>
  <si>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</si>
  <si>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</si>
  <si>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</si>
  <si>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</si>
  <si>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</si>
  <si>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</si>
  <si>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</si>
  <si>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</si>
  <si>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</si>
  <si>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</si>
  <si>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</si>
  <si>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</si>
  <si>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</si>
  <si>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</si>
  <si>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</si>
  <si>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</si>
  <si>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</si>
  <si>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</si>
  <si>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</si>
  <si>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</si>
  <si>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</si>
  <si>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</si>
  <si>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</si>
  <si>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</si>
  <si>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</si>
  <si>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</si>
  <si>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</si>
  <si>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</si>
  <si>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</si>
  <si>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</si>
  <si>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</si>
  <si>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</si>
  <si>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</si>
  <si>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</si>
  <si>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</si>
  <si>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</si>
  <si>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</si>
  <si>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</si>
  <si>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</si>
  <si>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</si>
  <si>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</si>
  <si>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</si>
  <si>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</si>
  <si>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</si>
  <si>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</si>
  <si>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</si>
  <si>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</si>
  <si>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</si>
  <si>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</si>
  <si>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</si>
  <si>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</si>
  <si>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</si>
  <si>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</si>
  <si>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</si>
  <si>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</si>
  <si>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</si>
  <si>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</si>
  <si>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</si>
  <si>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</si>
  <si>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</si>
  <si>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</si>
  <si>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</si>
  <si>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</si>
  <si>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</si>
  <si>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</si>
  <si>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</si>
  <si>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</si>
  <si>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</si>
  <si>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</si>
  <si>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</si>
  <si>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</si>
  <si>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</si>
  <si>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</si>
  <si>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</si>
  <si>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</si>
  <si>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</si>
  <si>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</si>
  <si>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</si>
  <si>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</si>
  <si>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</si>
  <si>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</si>
  <si>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</si>
  <si>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</si>
  <si>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</si>
  <si>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</si>
  <si>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</si>
  <si>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</si>
  <si>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</si>
  <si>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</si>
  <si>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</si>
  <si>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</si>
  <si>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</si>
  <si>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</si>
  <si>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</si>
  <si>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</si>
  <si>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</si>
  <si>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</si>
  <si>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</si>
  <si>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</si>
  <si>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</si>
  <si>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</si>
  <si>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</si>
  <si>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</si>
  <si>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</si>
  <si>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</si>
  <si>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</si>
  <si>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</si>
  <si>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</si>
  <si>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</si>
  <si>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</si>
  <si>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</si>
  <si>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</si>
  <si>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</si>
  <si>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</si>
  <si>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</si>
  <si>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</si>
  <si>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</si>
  <si>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</si>
  <si>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</si>
  <si>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</si>
  <si>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</si>
  <si>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</si>
  <si>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</si>
  <si>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</si>
  <si>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</si>
  <si>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</si>
  <si>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</si>
  <si>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</si>
  <si>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</si>
  <si>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</si>
  <si>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</si>
  <si>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</si>
  <si>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</si>
  <si>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</si>
  <si>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</si>
  <si>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</si>
  <si>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</si>
  <si>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</si>
  <si>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</si>
  <si>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</si>
  <si>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</si>
  <si>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</si>
  <si>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</si>
  <si>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</si>
  <si>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</si>
  <si>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</si>
  <si>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</si>
  <si>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</si>
  <si>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</si>
  <si>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</si>
  <si>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</si>
  <si>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</si>
  <si>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</si>
  <si>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</si>
  <si>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</si>
  <si>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</si>
  <si>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</si>
  <si>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</si>
  <si>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</si>
  <si>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</si>
  <si>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</si>
  <si>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</si>
  <si>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</si>
  <si>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</si>
  <si>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</si>
  <si>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</si>
  <si>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</si>
  <si>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</si>
  <si>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</si>
  <si>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</si>
  <si>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</si>
  <si>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</si>
  <si>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</si>
  <si>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</si>
  <si>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</si>
  <si>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</si>
  <si>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</si>
  <si>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</si>
  <si>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</si>
  <si>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</si>
  <si>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</si>
  <si>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</si>
  <si>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</si>
  <si>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</si>
  <si>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</si>
  <si>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</si>
  <si>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</si>
  <si>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</si>
  <si>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</si>
  <si>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</si>
  <si>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</si>
  <si>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</si>
  <si>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</si>
  <si>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</si>
  <si>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</si>
  <si>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</si>
  <si>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</si>
  <si>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</si>
  <si>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</si>
  <si>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</si>
  <si>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</si>
  <si>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</si>
  <si>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</si>
  <si>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</si>
  <si>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</si>
  <si>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</si>
  <si>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</si>
  <si>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</si>
  <si>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</si>
  <si>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</si>
  <si>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</si>
  <si>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</si>
  <si>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</si>
  <si>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</si>
  <si>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</si>
  <si>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</si>
  <si>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</si>
  <si>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</si>
  <si>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</si>
  <si>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</si>
  <si>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</si>
  <si>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</si>
  <si>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</si>
  <si>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</si>
  <si>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</si>
  <si>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</si>
  <si>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</si>
  <si>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</si>
  <si>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</si>
  <si>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</si>
  <si>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</si>
  <si>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</si>
  <si>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</si>
  <si>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</si>
  <si>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</si>
  <si>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</si>
  <si>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</si>
  <si>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</si>
  <si>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</si>
  <si>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</si>
  <si>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</si>
  <si>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</si>
  <si>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</si>
  <si>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</si>
  <si>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</si>
  <si>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</si>
  <si>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</si>
  <si>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</si>
  <si>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</si>
  <si>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</si>
  <si>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</si>
  <si>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</si>
  <si>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</si>
  <si>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</si>
  <si>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</si>
  <si>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</si>
  <si>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</si>
  <si>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</si>
  <si>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</si>
  <si>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</si>
  <si>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</si>
  <si>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</si>
  <si>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</si>
  <si>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</si>
  <si>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</si>
  <si>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</si>
  <si>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</si>
  <si>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</si>
  <si>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</si>
  <si>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</si>
  <si>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</si>
  <si>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</si>
  <si>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</si>
  <si>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</si>
  <si>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</si>
  <si>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</si>
  <si>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</si>
  <si>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</si>
  <si>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</si>
  <si>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</si>
  <si>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</si>
  <si>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</si>
  <si>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</si>
  <si>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</si>
  <si>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</si>
  <si>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</si>
  <si>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</si>
  <si>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</si>
  <si>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</si>
  <si>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</si>
  <si>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</si>
  <si>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</si>
  <si>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</si>
  <si>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</si>
  <si>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</si>
  <si>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</si>
  <si>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</si>
  <si>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</si>
  <si>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</si>
  <si>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</si>
  <si>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</si>
  <si>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</si>
  <si>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</si>
  <si>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</si>
  <si>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</si>
  <si>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</si>
  <si>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</si>
  <si>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</si>
  <si>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</si>
  <si>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</si>
  <si>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</si>
  <si>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</si>
  <si>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</si>
  <si>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</si>
  <si>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</si>
  <si>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</si>
  <si>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</si>
  <si>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</si>
  <si>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</si>
  <si>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</si>
  <si>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</si>
  <si>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</si>
  <si>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</si>
  <si>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</si>
  <si>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</si>
  <si>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</si>
  <si>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</si>
  <si>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</si>
  <si>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</si>
  <si>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</si>
  <si>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</si>
  <si>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</si>
  <si>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</si>
  <si>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</si>
  <si>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</si>
  <si>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</si>
  <si>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</si>
  <si>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</si>
  <si>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</si>
  <si>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</si>
  <si>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</si>
  <si>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</si>
  <si>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</si>
  <si>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</si>
  <si>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</si>
  <si>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</si>
  <si>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</si>
  <si>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</si>
  <si>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</si>
  <si>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</si>
  <si>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</si>
  <si>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</si>
  <si>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</si>
  <si>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</si>
  <si>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</si>
  <si>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</si>
  <si>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</si>
  <si>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</si>
  <si>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</si>
  <si>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</si>
  <si>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</si>
  <si>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</si>
  <si>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</si>
  <si>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</si>
  <si>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</si>
  <si>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</si>
  <si>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</si>
  <si>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</si>
  <si>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</si>
  <si>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</si>
  <si>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</si>
  <si>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</si>
  <si>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</si>
  <si>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</si>
  <si>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</si>
  <si>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</si>
  <si>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</si>
  <si>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</si>
  <si>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</si>
  <si>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</si>
  <si>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</si>
  <si>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</si>
  <si>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</si>
  <si>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</si>
  <si>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</si>
  <si>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</si>
  <si>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</si>
  <si>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</si>
  <si>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</si>
  <si>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</si>
  <si>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</si>
  <si>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</si>
  <si>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</si>
  <si>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</si>
  <si>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</si>
  <si>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</si>
  <si>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</si>
  <si>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</si>
  <si>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</si>
  <si>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</si>
  <si>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</si>
  <si>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</si>
  <si>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</si>
  <si>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</si>
  <si>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</si>
  <si>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</si>
  <si>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</si>
  <si>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</si>
  <si>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</si>
  <si>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</si>
  <si>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</si>
  <si>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</si>
  <si>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</si>
  <si>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</si>
  <si>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</si>
  <si>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</si>
  <si>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</si>
  <si>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</si>
  <si>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</si>
  <si>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</si>
  <si>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</si>
  <si>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</si>
  <si>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</si>
  <si>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</si>
  <si>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</si>
  <si>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</si>
  <si>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</si>
  <si>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</si>
  <si>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</si>
  <si>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</si>
  <si>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</si>
  <si>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</si>
  <si>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</si>
  <si>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</si>
  <si>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</si>
  <si>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</si>
  <si>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</si>
  <si>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</si>
  <si>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</si>
  <si>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</si>
  <si>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</si>
  <si>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</si>
  <si>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</si>
  <si>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</si>
  <si>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</si>
  <si>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</si>
  <si>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</si>
  <si>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</si>
  <si>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</si>
  <si>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</si>
  <si>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</si>
  <si>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</si>
  <si>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</si>
  <si>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</si>
  <si>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</si>
  <si>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</si>
  <si>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</si>
  <si>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</si>
  <si>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</si>
  <si>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</si>
  <si>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</si>
  <si>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</si>
  <si>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</si>
  <si>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</si>
  <si>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</si>
  <si>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</si>
  <si>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</si>
  <si>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</si>
  <si>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</si>
  <si>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</si>
  <si>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</si>
  <si>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</si>
  <si>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</si>
  <si>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</si>
  <si>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</si>
  <si>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</si>
  <si>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</si>
  <si>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</si>
  <si>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</si>
  <si>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</si>
  <si>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</si>
  <si>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</si>
  <si>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</si>
  <si>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</si>
  <si>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</si>
  <si>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</si>
  <si>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</si>
  <si>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</si>
  <si>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</si>
  <si>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</si>
  <si>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</si>
  <si>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</si>
  <si>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</si>
  <si>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</si>
  <si>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</si>
  <si>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</si>
  <si>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</si>
  <si>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</si>
  <si>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</si>
  <si>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</si>
  <si>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</si>
  <si>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</si>
  <si>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</si>
  <si>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</si>
  <si>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</si>
  <si>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</si>
  <si>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</si>
  <si>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</si>
  <si>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</si>
  <si>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</si>
  <si>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</si>
  <si>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</si>
  <si>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</si>
  <si>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</si>
  <si>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</si>
  <si>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</si>
  <si>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</si>
  <si>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</si>
  <si>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</si>
  <si>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</si>
  <si>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</si>
  <si>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</si>
  <si>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</si>
  <si>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</si>
  <si>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</si>
  <si>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</si>
  <si>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</si>
  <si>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</si>
  <si>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</si>
  <si>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</si>
  <si>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</si>
  <si>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</si>
  <si>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</si>
  <si>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</si>
  <si>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</si>
  <si>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</si>
  <si>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</si>
  <si>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</si>
  <si>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</si>
  <si>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</si>
  <si>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</si>
  <si>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</si>
  <si>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</si>
  <si>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</si>
  <si>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</si>
  <si>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</si>
  <si>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</si>
  <si>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</si>
  <si>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</si>
  <si>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</si>
  <si>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</si>
  <si>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</si>
  <si>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</si>
  <si>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</si>
  <si>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</si>
  <si>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</si>
  <si>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</si>
  <si>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</si>
  <si>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</si>
  <si>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</si>
  <si>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</si>
  <si>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</si>
  <si>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</si>
  <si>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</si>
  <si>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</si>
  <si>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</si>
  <si>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</si>
  <si>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</si>
  <si>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</si>
  <si>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</si>
  <si>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</si>
  <si>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</si>
  <si>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</si>
  <si>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</si>
  <si>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</si>
  <si>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</si>
  <si>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</si>
  <si>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</si>
  <si>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</si>
  <si>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</si>
  <si>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</si>
  <si>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</si>
  <si>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</si>
  <si>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</si>
  <si>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</si>
  <si>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</si>
  <si>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</si>
  <si>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</si>
  <si>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</si>
  <si>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</si>
  <si>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</si>
  <si>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</si>
  <si>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</si>
  <si>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</si>
  <si>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</si>
  <si>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</si>
  <si>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</si>
  <si>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</si>
  <si>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</si>
  <si>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</si>
  <si>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</si>
  <si>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</si>
  <si>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</si>
  <si>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</si>
  <si>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</si>
  <si>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</si>
  <si>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</si>
  <si>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</si>
  <si>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</si>
  <si>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</si>
  <si>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</si>
  <si>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</si>
  <si>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</si>
  <si>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</si>
  <si>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</si>
  <si>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</si>
  <si>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</si>
  <si>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</si>
  <si>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</si>
  <si>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</si>
  <si>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</si>
  <si>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</si>
  <si>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</si>
  <si>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</si>
  <si>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</si>
  <si>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</si>
  <si>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</si>
  <si>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</si>
  <si>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</si>
  <si>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</si>
  <si>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</si>
  <si>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</si>
  <si>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</si>
  <si>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</si>
  <si>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</si>
  <si>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</si>
  <si>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</si>
  <si>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</si>
  <si>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</si>
  <si>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</si>
  <si>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</si>
  <si>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</si>
  <si>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</si>
  <si>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</si>
  <si>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</si>
  <si>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</si>
  <si>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</si>
  <si>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</si>
  <si>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</si>
  <si>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</si>
  <si>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</si>
  <si>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</si>
  <si>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</si>
  <si>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</si>
  <si>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</si>
  <si>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</si>
  <si>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</si>
  <si>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</si>
  <si>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</si>
  <si>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</si>
  <si>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</si>
  <si>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</si>
  <si>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</si>
  <si>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</si>
  <si>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</si>
  <si>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</si>
  <si>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</si>
  <si>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</si>
  <si>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</si>
  <si>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</si>
  <si>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</si>
  <si>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</si>
  <si>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</si>
  <si>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</si>
  <si>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</si>
  <si>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</si>
  <si>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</si>
  <si>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</si>
  <si>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</si>
  <si>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</si>
  <si>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</si>
  <si>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</si>
  <si>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</si>
  <si>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</si>
  <si>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</si>
  <si>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</si>
  <si>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</si>
  <si>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</si>
  <si>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</si>
  <si>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</si>
  <si>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</si>
  <si>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</si>
  <si>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</si>
  <si>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</si>
  <si>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</si>
  <si>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</si>
  <si>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</si>
  <si>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</si>
  <si>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</si>
  <si>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</si>
  <si>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</si>
  <si>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</si>
  <si>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</si>
  <si>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</si>
  <si>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</si>
  <si>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</si>
  <si>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</si>
  <si>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</si>
  <si>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</si>
  <si>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</si>
  <si>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</si>
  <si>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</si>
  <si>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</si>
  <si>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</si>
  <si>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</si>
  <si>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</si>
  <si>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</si>
  <si>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</si>
  <si>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</si>
  <si>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</si>
  <si>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</si>
  <si>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</si>
  <si>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</si>
  <si>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</si>
  <si>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</si>
  <si>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</si>
  <si>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</si>
  <si>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</si>
  <si>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</si>
  <si>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</si>
  <si>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</si>
  <si>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</si>
  <si>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</si>
  <si>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</si>
  <si>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</si>
  <si>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</si>
  <si>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</si>
  <si>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</si>
  <si>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</si>
  <si>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</si>
  <si>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</si>
  <si>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</si>
  <si>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</si>
  <si>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</si>
  <si>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</si>
  <si>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</si>
  <si>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</si>
  <si>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</si>
  <si>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</si>
  <si>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</si>
  <si>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</si>
  <si>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</si>
  <si>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</si>
  <si>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</si>
  <si>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</si>
  <si>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</si>
  <si>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</si>
  <si>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</si>
  <si>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</si>
  <si>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</si>
  <si>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</si>
  <si>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</si>
  <si>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</si>
  <si>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</si>
  <si>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</si>
  <si>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</si>
  <si>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</si>
  <si>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</si>
  <si>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</si>
  <si>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</si>
  <si>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</si>
  <si>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</si>
  <si>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</si>
  <si>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</si>
  <si>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</si>
  <si>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</si>
  <si>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</si>
  <si>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</si>
  <si>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</si>
  <si>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</si>
  <si>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</si>
  <si>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</si>
  <si>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</si>
  <si>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</si>
  <si>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</si>
  <si>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</si>
  <si>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</si>
  <si>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</si>
  <si>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</si>
  <si>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</si>
  <si>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</si>
  <si>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</si>
  <si>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</si>
  <si>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</si>
  <si>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</si>
  <si>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</si>
  <si>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</si>
  <si>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</si>
  <si>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</si>
  <si>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</si>
  <si>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</si>
  <si>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</si>
  <si>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</si>
  <si>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</si>
  <si>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</si>
  <si>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</si>
  <si>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</si>
  <si>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</si>
  <si>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</si>
  <si>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</si>
  <si>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</si>
  <si>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</si>
  <si>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</si>
  <si>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</si>
  <si>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</si>
  <si>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</si>
  <si>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</si>
  <si>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</si>
  <si>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</si>
  <si>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</si>
  <si>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</si>
  <si>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</si>
  <si>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</si>
  <si>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</si>
  <si>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</si>
  <si>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</si>
  <si>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</si>
  <si>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</si>
  <si>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</si>
  <si>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</si>
  <si>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</si>
  <si>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</si>
  <si>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</si>
  <si>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</si>
  <si>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</si>
  <si>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</si>
  <si>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</si>
  <si>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</si>
  <si>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</si>
  <si>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</si>
  <si>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</si>
  <si>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</si>
  <si>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</si>
  <si>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</si>
  <si>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</si>
  <si>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</si>
  <si>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</si>
  <si>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</si>
  <si>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</si>
  <si>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</si>
  <si>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</si>
  <si>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</si>
  <si>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</si>
  <si>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</si>
  <si>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</si>
  <si>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</si>
  <si>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</si>
  <si>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</si>
  <si>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</si>
  <si>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</si>
  <si>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</si>
  <si>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</si>
  <si>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</si>
  <si>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</si>
  <si>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</si>
  <si>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</si>
  <si>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</si>
  <si>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</si>
  <si>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</si>
  <si>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</si>
  <si>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</si>
  <si>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</si>
  <si>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</si>
  <si>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</si>
  <si>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</si>
  <si>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</si>
  <si>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</si>
  <si>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</si>
  <si>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</si>
  <si>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</si>
  <si>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</si>
  <si>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</si>
  <si>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</si>
  <si>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</si>
  <si>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</si>
  <si>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</si>
  <si>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</si>
  <si>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</si>
  <si>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</si>
  <si>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</si>
  <si>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</si>
  <si>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</si>
  <si>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</si>
  <si>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</si>
  <si>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</si>
  <si>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</si>
  <si>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</si>
  <si>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</si>
  <si>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</si>
  <si>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</si>
  <si>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</si>
  <si>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</si>
  <si>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</si>
  <si>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</si>
  <si>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</si>
  <si>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</si>
  <si>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</si>
  <si>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</si>
  <si>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</si>
  <si>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</si>
  <si>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</si>
  <si>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</si>
  <si>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</si>
  <si>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</si>
  <si>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</si>
  <si>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</si>
  <si>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</si>
  <si>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</si>
  <si>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</si>
  <si>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</si>
  <si>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</si>
  <si>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</si>
  <si>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</si>
  <si>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</si>
  <si>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</si>
  <si>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</si>
  <si>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</si>
  <si>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</si>
  <si>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</si>
  <si>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</si>
  <si>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</si>
  <si>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</si>
  <si>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</si>
  <si>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</si>
  <si>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</si>
  <si>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</si>
  <si>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</si>
  <si>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</si>
  <si>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</si>
  <si>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</si>
  <si>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</si>
  <si>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</si>
  <si>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</si>
  <si>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</si>
  <si>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</si>
  <si>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</si>
  <si>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</si>
  <si>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</si>
  <si>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</si>
  <si>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</si>
  <si>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</si>
  <si>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</si>
  <si>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</si>
  <si>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</si>
  <si>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</si>
  <si>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</si>
  <si>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</si>
  <si>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</si>
  <si>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</si>
  <si>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</si>
  <si>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</si>
  <si>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</si>
  <si>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</si>
  <si>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</si>
  <si>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</si>
  <si>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</si>
  <si>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</si>
  <si>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</si>
  <si>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</si>
  <si>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</si>
  <si>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</si>
  <si>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</si>
  <si>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</si>
  <si>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</si>
  <si>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</si>
  <si>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</si>
  <si>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</si>
  <si>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</si>
  <si>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</si>
  <si>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</si>
  <si>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</si>
  <si>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</si>
  <si>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</si>
  <si>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</si>
  <si>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</si>
  <si>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</si>
  <si>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</si>
  <si>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</si>
  <si>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</si>
  <si>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</si>
  <si>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</si>
  <si>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</si>
  <si>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</si>
  <si>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</si>
  <si>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</si>
  <si>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</si>
  <si>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</si>
  <si>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</si>
  <si>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</si>
  <si>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</si>
  <si>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</si>
  <si>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</si>
  <si>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</si>
  <si>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</si>
  <si>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</si>
  <si>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</si>
  <si>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</si>
  <si>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</si>
  <si>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</si>
  <si>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</si>
  <si>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</si>
  <si>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</si>
  <si>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</si>
  <si>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</si>
  <si>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</si>
  <si>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</si>
  <si>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</si>
  <si>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</si>
  <si>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</si>
  <si>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</si>
  <si>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</si>
  <si>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</si>
  <si>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</si>
  <si>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</si>
  <si>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</si>
  <si>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</si>
  <si>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</si>
  <si>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</si>
  <si>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</si>
  <si>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</si>
  <si>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</si>
  <si>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</si>
  <si>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</si>
  <si>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</si>
  <si>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</si>
  <si>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</si>
  <si>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</si>
  <si>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</si>
  <si>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</si>
  <si>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</si>
  <si>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</si>
  <si>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</si>
  <si>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</si>
  <si>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</si>
  <si>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</si>
  <si>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</si>
  <si>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</si>
  <si>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</si>
  <si>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</si>
  <si>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</si>
  <si>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</si>
  <si>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</si>
  <si>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</si>
  <si>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</si>
  <si>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</si>
  <si>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</si>
  <si>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</si>
  <si>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</si>
  <si>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</si>
  <si>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</si>
  <si>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</si>
  <si>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</si>
  <si>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</si>
  <si>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</si>
  <si>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</si>
  <si>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</si>
  <si>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</si>
  <si>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</si>
  <si>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</si>
  <si>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</si>
  <si>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</si>
  <si>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</si>
  <si>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</si>
  <si>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</si>
  <si>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</si>
  <si>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</si>
  <si>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</si>
  <si>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</si>
  <si>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</si>
  <si>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</si>
  <si>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</si>
  <si>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</si>
  <si>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</si>
  <si>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</si>
  <si>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</si>
  <si>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</si>
  <si>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</si>
  <si>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</si>
  <si>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</si>
  <si>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</si>
  <si>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</si>
  <si>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</si>
  <si>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</si>
  <si>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</si>
  <si>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</si>
  <si>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</si>
  <si>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</si>
  <si>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</si>
  <si>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</si>
  <si>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</si>
  <si>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</si>
  <si>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</si>
  <si>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</si>
  <si>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</si>
  <si>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</si>
  <si>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</si>
  <si>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</si>
  <si>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</si>
  <si>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</si>
  <si>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</si>
  <si>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</si>
  <si>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</si>
  <si>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</si>
  <si>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</si>
  <si>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</si>
  <si>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</si>
  <si>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</si>
  <si>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</si>
  <si>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</si>
  <si>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</si>
  <si>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</si>
  <si>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</si>
  <si>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</si>
  <si>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</si>
  <si>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</si>
  <si>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</si>
  <si>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</si>
  <si>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</si>
  <si>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</si>
  <si>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</si>
  <si>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</si>
  <si>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</si>
  <si>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</si>
  <si>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</si>
  <si>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</si>
  <si>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</si>
  <si>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</si>
  <si>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</si>
  <si>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</si>
  <si>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</si>
  <si>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</si>
  <si>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</si>
  <si>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</si>
  <si>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</si>
  <si>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</si>
  <si>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</si>
  <si>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</si>
  <si>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</si>
  <si>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</si>
  <si>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</si>
  <si>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</si>
  <si>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</si>
  <si>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</si>
  <si>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</si>
  <si>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</si>
  <si>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</si>
  <si>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</si>
  <si>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</si>
  <si>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</si>
  <si>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</si>
  <si>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</si>
  <si>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</si>
  <si>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</si>
  <si>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</si>
  <si>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</si>
  <si>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</si>
  <si>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</si>
  <si>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</si>
  <si>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</si>
  <si>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</si>
  <si>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</si>
  <si>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</si>
  <si>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</si>
  <si>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</si>
  <si>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</si>
  <si>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</si>
  <si>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</si>
  <si>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</si>
  <si>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</si>
  <si>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</si>
  <si>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</si>
  <si>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</si>
  <si>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</si>
  <si>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</si>
  <si>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</si>
  <si>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</si>
  <si>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</si>
  <si>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</si>
  <si>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</si>
  <si>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</si>
  <si>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</si>
  <si>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</si>
  <si>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</si>
  <si>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</si>
  <si>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</si>
  <si>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</si>
  <si>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</si>
  <si>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</si>
  <si>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</si>
  <si>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</si>
  <si>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</si>
  <si>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</si>
  <si>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</si>
  <si>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</si>
  <si>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</si>
  <si>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</si>
  <si>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</si>
  <si>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</si>
  <si>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</si>
  <si>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</si>
  <si>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</si>
  <si>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</si>
  <si>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</si>
  <si>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</si>
  <si>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</si>
  <si>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</si>
  <si>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</si>
  <si>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</si>
  <si>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</si>
  <si>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</si>
  <si>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</si>
  <si>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</si>
  <si>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</si>
  <si>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</si>
  <si>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</si>
  <si>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</si>
  <si>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</si>
  <si>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</si>
  <si>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</si>
  <si>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</si>
  <si>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</si>
  <si>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</si>
  <si>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</si>
  <si>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</si>
  <si>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</si>
  <si>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</si>
  <si>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</si>
  <si>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</si>
  <si>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</si>
  <si>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</si>
  <si>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</si>
  <si>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</si>
  <si>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</si>
  <si>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</si>
  <si>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</si>
  <si>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</si>
  <si>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</si>
  <si>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</si>
  <si>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</si>
  <si>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</si>
  <si>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</si>
  <si>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</si>
  <si>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</si>
  <si>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</si>
  <si>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</si>
  <si>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</si>
  <si>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</si>
  <si>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</si>
  <si>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</si>
  <si>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</si>
  <si>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</si>
  <si>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</si>
  <si>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</si>
  <si>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</si>
  <si>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</si>
  <si>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</si>
  <si>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</si>
  <si>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</si>
  <si>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</si>
  <si>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</si>
  <si>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</si>
  <si>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</si>
  <si>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</si>
  <si>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</si>
  <si>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</si>
  <si>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</si>
  <si>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</si>
  <si>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</si>
  <si>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</si>
  <si>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</si>
  <si>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</si>
  <si>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</si>
  <si>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</si>
  <si>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</si>
  <si>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</si>
  <si>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</si>
  <si>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</si>
  <si>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</si>
  <si>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</si>
  <si>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</si>
  <si>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</si>
  <si>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</si>
  <si>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</si>
  <si>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</si>
  <si>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</si>
  <si>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</si>
  <si>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</si>
  <si>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</si>
  <si>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</si>
  <si>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</si>
  <si>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</si>
  <si>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</si>
  <si>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</si>
  <si>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</si>
  <si>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</si>
  <si>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</si>
  <si>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</si>
  <si>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</si>
  <si>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</si>
  <si>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</si>
  <si>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</si>
  <si>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</si>
  <si>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</si>
  <si>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</si>
  <si>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</si>
  <si>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</si>
  <si>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</si>
  <si>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</si>
  <si>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</si>
  <si>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</si>
  <si>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</si>
  <si>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</si>
  <si>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</si>
  <si>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</si>
  <si>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</si>
  <si>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</si>
  <si>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</si>
  <si>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</si>
  <si>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</si>
  <si>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</si>
  <si>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</si>
  <si>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</si>
  <si>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</si>
  <si>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</si>
  <si>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</si>
  <si>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</si>
  <si>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</si>
  <si>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</si>
  <si>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</si>
  <si>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</si>
  <si>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</si>
  <si>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</si>
  <si>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</si>
  <si>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</si>
  <si>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</si>
  <si>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</si>
  <si>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</si>
  <si>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</si>
  <si>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</si>
  <si>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</si>
  <si>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</si>
  <si>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</si>
  <si>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</si>
  <si>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</si>
  <si>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</si>
  <si>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</si>
  <si>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</si>
  <si>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</si>
  <si>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</si>
  <si>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</si>
  <si>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</si>
  <si>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</si>
  <si>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</si>
  <si>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</si>
  <si>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</si>
  <si>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</si>
  <si>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</si>
  <si>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</si>
  <si>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</si>
  <si>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</si>
  <si>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</si>
  <si>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</si>
  <si>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</si>
  <si>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</si>
  <si>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</si>
  <si>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</si>
  <si>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</si>
  <si>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</si>
  <si>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</si>
  <si>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</si>
  <si>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</si>
  <si>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</si>
  <si>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</si>
  <si>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</si>
  <si>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</si>
  <si>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</si>
  <si>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</si>
  <si>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</si>
  <si>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</si>
  <si>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</si>
  <si>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</si>
  <si>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</si>
  <si>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</si>
  <si>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</si>
  <si>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</si>
  <si>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</si>
  <si>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</si>
  <si>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</si>
  <si>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</si>
  <si>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</si>
  <si>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</si>
  <si>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</si>
  <si>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</si>
  <si>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</si>
  <si>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</si>
  <si>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</si>
  <si>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</si>
  <si>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</si>
  <si>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</si>
  <si>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</si>
  <si>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</si>
  <si>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</si>
  <si>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</si>
  <si>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</si>
  <si>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</si>
  <si>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</si>
  <si>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</si>
  <si>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</si>
  <si>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</si>
  <si>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</si>
  <si>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</si>
  <si>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</si>
  <si>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</si>
  <si>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</si>
  <si>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</si>
  <si>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</si>
  <si>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</si>
  <si>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</si>
  <si>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</si>
  <si>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</si>
  <si>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</si>
  <si>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</si>
  <si>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</si>
  <si>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</si>
  <si>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</si>
  <si>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</si>
  <si>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</si>
  <si>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</si>
  <si>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</si>
  <si>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</si>
  <si>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</si>
  <si>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</si>
  <si>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</si>
  <si>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</si>
  <si>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</si>
  <si>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</si>
  <si>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</si>
  <si>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</si>
  <si>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</si>
  <si>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</si>
  <si>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</si>
  <si>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</si>
  <si>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</si>
  <si>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</si>
  <si>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</si>
  <si>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</si>
  <si>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</si>
  <si>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</si>
  <si>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</si>
  <si>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</si>
  <si>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</si>
  <si>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</si>
  <si>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</si>
  <si>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</si>
  <si>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</si>
  <si>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</si>
  <si>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</si>
  <si>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</si>
  <si>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</si>
  <si>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</si>
  <si>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</si>
  <si>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</si>
  <si>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</si>
  <si>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</si>
  <si>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</si>
  <si>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</si>
  <si>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</si>
  <si>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</si>
  <si>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</si>
  <si>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</si>
  <si>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</si>
  <si>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</si>
  <si>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</si>
  <si>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</si>
  <si>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</si>
  <si>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</si>
  <si>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</si>
  <si>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</si>
  <si>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</si>
  <si>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</si>
  <si>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</si>
  <si>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</si>
  <si>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</si>
  <si>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</si>
  <si>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</si>
  <si>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</si>
  <si>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</si>
  <si>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</si>
  <si>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</si>
  <si>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</si>
  <si>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</si>
  <si>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</si>
  <si>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</si>
  <si>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</si>
  <si>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</si>
  <si>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</si>
  <si>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</si>
  <si>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</si>
  <si>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</si>
  <si>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</si>
  <si>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</si>
  <si>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</si>
  <si>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</si>
  <si>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</si>
  <si>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</si>
  <si>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</si>
  <si>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</si>
  <si>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</si>
  <si>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</si>
  <si>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</si>
  <si>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</si>
  <si>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</si>
  <si>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</si>
  <si>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</si>
  <si>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</si>
  <si>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</si>
  <si>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</si>
  <si>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</si>
  <si>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</si>
  <si>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</si>
  <si>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</si>
  <si>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</si>
  <si>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</si>
  <si>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</si>
  <si>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</si>
  <si>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</si>
  <si>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</si>
  <si>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</si>
  <si>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</si>
  <si>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</si>
  <si>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</si>
  <si>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</si>
  <si>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</si>
  <si>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</si>
  <si>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</si>
  <si>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</si>
  <si>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</si>
  <si>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</si>
  <si>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</si>
  <si>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</si>
  <si>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</si>
  <si>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</si>
  <si>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</si>
  <si>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</si>
  <si>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</si>
  <si>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</si>
  <si>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</si>
  <si>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</si>
  <si>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</si>
  <si>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</si>
  <si>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</si>
  <si>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</si>
  <si>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</si>
  <si>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</si>
  <si>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</si>
  <si>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</si>
  <si>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</si>
  <si>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</si>
  <si>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</si>
  <si>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</si>
  <si>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</si>
  <si>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</si>
  <si>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</si>
  <si>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</si>
  <si>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</si>
  <si>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</si>
  <si>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</si>
  <si>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</si>
  <si>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</si>
  <si>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</si>
  <si>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</si>
  <si>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</si>
  <si>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</si>
  <si>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</si>
  <si>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</si>
  <si>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</si>
  <si>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</si>
  <si>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</si>
  <si>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</si>
  <si>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</si>
  <si>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</si>
  <si>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</si>
  <si>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</si>
  <si>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</si>
  <si>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</si>
  <si>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</si>
  <si>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</si>
  <si>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</si>
  <si>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</si>
  <si>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</si>
  <si>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</si>
  <si>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</si>
  <si>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</si>
  <si>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</si>
  <si>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</si>
  <si>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</si>
  <si>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</si>
  <si>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</si>
  <si>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</si>
  <si>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</si>
  <si>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</si>
  <si>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</si>
  <si>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</si>
  <si>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</si>
  <si>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</si>
  <si>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</si>
  <si>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</si>
  <si>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</si>
  <si>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</si>
  <si>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</si>
  <si>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</si>
  <si>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</si>
  <si>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</si>
  <si>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</si>
  <si>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</si>
  <si>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</si>
  <si>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</si>
  <si>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</si>
  <si>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</si>
  <si>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</si>
  <si>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</si>
  <si>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</si>
  <si>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</si>
  <si>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</si>
  <si>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</si>
  <si>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</si>
  <si>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</si>
  <si>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</si>
  <si>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</si>
  <si>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</si>
  <si>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</si>
  <si>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</si>
  <si>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</si>
  <si>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</si>
  <si>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</si>
  <si>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</si>
  <si>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</si>
  <si>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</si>
  <si>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</si>
  <si>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</si>
  <si>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</si>
  <si>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</si>
  <si>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</si>
  <si>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</si>
  <si>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</si>
  <si>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</si>
  <si>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</si>
  <si>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</si>
  <si>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</si>
  <si>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</si>
  <si>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</si>
  <si>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</si>
  <si>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</si>
  <si>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</si>
  <si>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</si>
  <si>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</si>
  <si>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</si>
  <si>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</si>
  <si>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</si>
  <si>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</si>
  <si>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</si>
  <si>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</si>
  <si>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</si>
  <si>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</si>
  <si>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</si>
  <si>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</si>
  <si>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</si>
  <si>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</si>
  <si>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</si>
  <si>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</si>
  <si>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</si>
  <si>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</si>
  <si>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</si>
  <si>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</si>
  <si>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</si>
  <si>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</si>
  <si>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</si>
  <si>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</si>
  <si>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</si>
  <si>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</si>
  <si>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</si>
  <si>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</si>
  <si>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</si>
  <si>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</si>
  <si>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</si>
  <si>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</si>
  <si>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</si>
  <si>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</si>
  <si>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</si>
  <si>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</si>
  <si>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</si>
  <si>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</si>
  <si>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</si>
  <si>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</si>
  <si>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</si>
  <si>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</si>
  <si>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</si>
  <si>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</si>
  <si>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</si>
  <si>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</si>
  <si>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</si>
  <si>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</si>
  <si>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</si>
  <si>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</si>
  <si>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</si>
  <si>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</si>
  <si>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</si>
  <si>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</si>
  <si>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</si>
  <si>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</si>
  <si>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</si>
  <si>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</si>
  <si>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</si>
  <si>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</si>
  <si>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</si>
  <si>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</si>
  <si>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</si>
  <si>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</si>
  <si>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</si>
  <si>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</si>
  <si>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</si>
  <si>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</si>
  <si>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</si>
  <si>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</si>
  <si>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</si>
  <si>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</si>
  <si>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</si>
  <si>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</si>
  <si>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</si>
  <si>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</si>
  <si>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</si>
  <si>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</si>
  <si>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</si>
  <si>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</si>
  <si>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</si>
  <si>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</si>
  <si>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</si>
  <si>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</si>
  <si>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</si>
  <si>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</si>
  <si>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</si>
  <si>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</si>
  <si>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</si>
  <si>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</si>
  <si>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</si>
  <si>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</si>
  <si>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</si>
  <si>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</si>
  <si>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</si>
  <si>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</si>
  <si>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</si>
  <si>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</si>
  <si>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</si>
  <si>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</si>
  <si>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</si>
  <si>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</si>
  <si>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</si>
  <si>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</si>
  <si>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</si>
  <si>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</si>
  <si>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</si>
  <si>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</si>
  <si>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</si>
  <si>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</si>
  <si>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</si>
  <si>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</si>
  <si>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</si>
  <si>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</si>
  <si>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</si>
  <si>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</si>
  <si>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</si>
  <si>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</si>
  <si>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</si>
  <si>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</si>
  <si>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</si>
  <si>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</si>
  <si>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</si>
  <si>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</si>
  <si>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</si>
  <si>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</si>
  <si>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</si>
  <si>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</si>
  <si>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</si>
  <si>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</si>
  <si>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</si>
  <si>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</si>
  <si>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</si>
  <si>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</si>
  <si>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</si>
  <si>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</si>
  <si>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</si>
  <si>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</si>
  <si>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</si>
  <si>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</si>
  <si>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</si>
  <si>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</si>
  <si>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</si>
  <si>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</si>
  <si>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</si>
  <si>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</si>
  <si>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</si>
  <si>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</si>
  <si>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</si>
  <si>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</si>
  <si>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</si>
  <si>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</si>
  <si>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</si>
  <si>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</si>
  <si>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</si>
  <si>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</si>
  <si>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</si>
  <si>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</si>
  <si>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</si>
  <si>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</si>
  <si>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</si>
  <si>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</si>
  <si>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</si>
  <si>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</si>
  <si>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</si>
  <si>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</si>
  <si>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</si>
  <si>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</si>
  <si>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</si>
  <si>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</si>
  <si>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</si>
  <si>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</si>
  <si>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</si>
  <si>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</si>
  <si>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</si>
  <si>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</si>
  <si>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</si>
  <si>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</si>
  <si>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</si>
  <si>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</si>
  <si>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</si>
  <si>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</si>
  <si>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</si>
  <si>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</si>
  <si>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</si>
  <si>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</si>
  <si>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</si>
  <si>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</si>
  <si>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</si>
  <si>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</si>
  <si>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</si>
  <si>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</si>
  <si>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</si>
  <si>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</si>
  <si>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</si>
  <si>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</si>
  <si>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</si>
  <si>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</si>
  <si>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</si>
  <si>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</si>
  <si>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</si>
  <si>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</si>
  <si>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</si>
  <si>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</si>
  <si>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</si>
  <si>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</si>
  <si>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</si>
  <si>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</si>
  <si>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</si>
  <si>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</si>
  <si>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</si>
  <si>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</si>
  <si>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</si>
  <si>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</si>
  <si>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</si>
  <si>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</si>
  <si>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</si>
  <si>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</si>
  <si>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</si>
  <si>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</si>
  <si>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</si>
  <si>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</si>
  <si>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</si>
  <si>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</si>
  <si>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</si>
  <si>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</si>
  <si>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</si>
  <si>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</si>
  <si>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</si>
  <si>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</si>
  <si>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</si>
  <si>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</si>
  <si>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</si>
  <si>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</si>
  <si>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</si>
  <si>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</si>
  <si>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</si>
  <si>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</si>
  <si>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</si>
  <si>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</si>
  <si>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</si>
  <si>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</si>
  <si>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</si>
  <si>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</si>
  <si>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</si>
  <si>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</si>
  <si>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</si>
  <si>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</si>
  <si>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</si>
  <si>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</si>
  <si>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</si>
  <si>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</si>
  <si>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</si>
  <si>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</si>
  <si>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</si>
  <si>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</si>
  <si>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</si>
  <si>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</si>
  <si>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</si>
  <si>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</si>
  <si>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</si>
  <si>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</si>
  <si>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</si>
  <si>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</si>
  <si>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</si>
  <si>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</si>
  <si>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</si>
  <si>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</si>
  <si>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</si>
  <si>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</si>
  <si>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</si>
  <si>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</si>
  <si>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</si>
  <si>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</si>
  <si>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</si>
  <si>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</si>
  <si>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</si>
  <si>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</si>
  <si>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</si>
  <si>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</si>
  <si>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</si>
  <si>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</si>
  <si>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</si>
  <si>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</si>
  <si>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</si>
  <si>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</si>
  <si>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</si>
  <si>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</si>
  <si>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</si>
  <si>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</si>
  <si>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</si>
  <si>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</si>
  <si>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</si>
  <si>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</si>
  <si>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</si>
  <si>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</si>
  <si>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</si>
  <si>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</si>
  <si>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</si>
  <si>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</si>
  <si>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</si>
  <si>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</si>
  <si>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</si>
  <si>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</si>
  <si>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</si>
  <si>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</si>
  <si>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</si>
  <si>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</si>
  <si>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</si>
  <si>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</si>
  <si>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</si>
  <si>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</si>
  <si>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</si>
  <si>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</si>
  <si>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</si>
  <si>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</si>
  <si>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</si>
  <si>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</si>
  <si>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</si>
  <si>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</si>
  <si>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</si>
  <si>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</si>
  <si>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</si>
  <si>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</si>
  <si>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</si>
  <si>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</si>
  <si>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</si>
  <si>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</si>
  <si>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</si>
  <si>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</si>
  <si>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</si>
  <si>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</si>
  <si>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</si>
  <si>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</si>
  <si>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</si>
  <si>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</si>
  <si>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</si>
  <si>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</si>
  <si>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</si>
  <si>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</si>
  <si>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</si>
  <si>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</si>
  <si>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</si>
  <si>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</si>
  <si>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</si>
  <si>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</si>
  <si>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</si>
  <si>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</si>
  <si>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</si>
  <si>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</si>
  <si>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</si>
  <si>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</si>
  <si>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</si>
  <si>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</si>
  <si>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</si>
  <si>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</si>
  <si>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</si>
  <si>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</si>
  <si>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</si>
  <si>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</si>
  <si>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</si>
  <si>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</si>
  <si>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</si>
  <si>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</si>
  <si>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</si>
  <si>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</si>
  <si>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</si>
  <si>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</si>
  <si>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</si>
  <si>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</si>
  <si>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</si>
  <si>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</si>
  <si>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</si>
  <si>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</si>
  <si>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</si>
  <si>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</si>
  <si>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</si>
  <si>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</si>
  <si>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</si>
  <si>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</si>
  <si>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</si>
  <si>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</si>
  <si>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</si>
  <si>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</si>
  <si>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</si>
  <si>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</si>
  <si>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</si>
  <si>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</si>
  <si>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</si>
  <si>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</si>
  <si>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</si>
  <si>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</si>
  <si>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</si>
  <si>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</si>
  <si>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</si>
  <si>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</si>
  <si>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</si>
  <si>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</si>
  <si>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</si>
  <si>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</si>
  <si>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</si>
  <si>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</si>
  <si>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</si>
  <si>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</si>
  <si>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</si>
  <si>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</si>
  <si>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</si>
  <si>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</si>
  <si>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</si>
  <si>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</si>
  <si>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</si>
  <si>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</si>
  <si>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</si>
  <si>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</si>
  <si>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</si>
  <si>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</si>
  <si>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</si>
  <si>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</si>
  <si>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</si>
  <si>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</si>
  <si>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</si>
  <si>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</si>
  <si>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</si>
  <si>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</si>
  <si>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</si>
  <si>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</si>
  <si>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</si>
  <si>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</si>
  <si>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</si>
  <si>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</si>
  <si>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</si>
  <si>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</si>
  <si>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</si>
  <si>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</si>
  <si>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</si>
  <si>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</si>
  <si>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</si>
  <si>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</si>
  <si>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</si>
  <si>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</si>
  <si>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</si>
  <si>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</si>
  <si>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</si>
  <si>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</si>
  <si>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</si>
  <si>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</si>
  <si>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</si>
  <si>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</si>
  <si>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</si>
  <si>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</si>
  <si>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</si>
  <si>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</si>
  <si>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</si>
  <si>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</si>
  <si>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</si>
  <si>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</si>
  <si>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</si>
  <si>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</si>
  <si>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</si>
  <si>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</si>
  <si>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</si>
  <si>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</si>
  <si>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</si>
  <si>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</si>
  <si>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</si>
  <si>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</si>
  <si>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</si>
  <si>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</si>
  <si>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</si>
  <si>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</si>
  <si>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</si>
  <si>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</si>
  <si>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</si>
  <si>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</si>
  <si>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</si>
  <si>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</si>
  <si>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</si>
  <si>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</si>
  <si>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</si>
  <si>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</si>
  <si>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</si>
  <si>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</si>
  <si>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</si>
  <si>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</si>
  <si>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</si>
  <si>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</si>
  <si>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</si>
  <si>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</si>
  <si>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</si>
  <si>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</si>
  <si>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</si>
  <si>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</si>
  <si>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</si>
  <si>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</si>
  <si>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</si>
  <si>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</si>
  <si>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</si>
  <si>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</si>
  <si>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</si>
  <si>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</si>
  <si>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</si>
  <si>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</si>
  <si>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</si>
  <si>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</si>
  <si>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</si>
  <si>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</si>
  <si>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</si>
  <si>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</si>
  <si>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</si>
  <si>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</si>
  <si>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</si>
  <si>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</si>
  <si>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</si>
  <si>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</si>
  <si>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</si>
  <si>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</si>
  <si>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</si>
  <si>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</si>
  <si>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</si>
  <si>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</si>
  <si>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</si>
  <si>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</si>
  <si>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</si>
  <si>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</si>
  <si>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</si>
  <si>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</si>
  <si>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</si>
  <si>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</si>
  <si>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</si>
  <si>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</si>
  <si>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</si>
  <si>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</si>
  <si>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</si>
  <si>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</si>
  <si>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</si>
  <si>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</si>
  <si>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</si>
  <si>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</si>
  <si>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</si>
  <si>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</si>
  <si>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</si>
  <si>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</si>
  <si>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</si>
  <si>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</si>
  <si>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</si>
  <si>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</si>
  <si>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</si>
  <si>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</si>
  <si>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</si>
  <si>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</si>
  <si>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</si>
  <si>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</si>
  <si>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</si>
  <si>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</si>
  <si>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</si>
  <si>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</si>
  <si>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</si>
  <si>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</si>
  <si>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</si>
  <si>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</si>
  <si>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</si>
  <si>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</si>
  <si>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</si>
  <si>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</si>
  <si>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</si>
  <si>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</si>
  <si>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</si>
  <si>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</si>
  <si>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</si>
  <si>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</si>
  <si>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</si>
  <si>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</si>
  <si>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</si>
  <si>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</si>
  <si>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</si>
  <si>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</si>
  <si>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</si>
  <si>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</si>
  <si>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</si>
  <si>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</si>
  <si>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</si>
  <si>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</si>
  <si>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</si>
  <si>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</si>
  <si>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</si>
  <si>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</si>
  <si>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</si>
  <si>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</si>
  <si>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</si>
  <si>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</si>
  <si>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</si>
  <si>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</si>
  <si>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</si>
  <si>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</si>
  <si>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</si>
  <si>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</si>
  <si>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</si>
  <si>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</si>
  <si>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</si>
  <si>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</si>
  <si>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</si>
  <si>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</si>
  <si>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</si>
  <si>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</si>
  <si>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</si>
  <si>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</si>
  <si>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</si>
  <si>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</si>
  <si>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</si>
  <si>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</si>
  <si>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</si>
  <si>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</si>
  <si>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</si>
  <si>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</si>
  <si>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</si>
  <si>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</si>
  <si>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</si>
  <si>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</si>
  <si>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</si>
  <si>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</si>
  <si>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</si>
  <si>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</si>
  <si>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</si>
  <si>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</si>
  <si>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</si>
  <si>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</si>
  <si>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</si>
  <si>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</si>
  <si>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</si>
  <si>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</si>
  <si>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</si>
  <si>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</si>
  <si>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</si>
  <si>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</si>
  <si>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</si>
  <si>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</si>
  <si>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</si>
  <si>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</si>
  <si>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</si>
  <si>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</si>
  <si>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</si>
  <si>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</si>
  <si>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</si>
  <si>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</si>
  <si>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</si>
  <si>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</si>
  <si>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</si>
  <si>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</si>
  <si>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</si>
  <si>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</si>
  <si>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</si>
  <si>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</si>
  <si>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</si>
  <si>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</si>
  <si>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</si>
  <si>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</si>
  <si>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</si>
  <si>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</si>
  <si>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</si>
  <si>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</si>
  <si>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</si>
  <si>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</si>
  <si>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</si>
  <si>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</si>
  <si>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</si>
  <si>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</si>
  <si>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</si>
  <si>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</si>
  <si>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</si>
  <si>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</si>
  <si>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</si>
  <si>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</si>
  <si>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</si>
  <si>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</si>
  <si>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</si>
  <si>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</si>
  <si>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</si>
  <si>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</si>
  <si>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</si>
  <si>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</si>
  <si>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</si>
  <si>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</si>
  <si>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</si>
  <si>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</si>
  <si>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</si>
  <si>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</si>
  <si>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</si>
  <si>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</si>
  <si>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</si>
  <si>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</si>
  <si>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</si>
  <si>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</si>
  <si>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</si>
  <si>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</si>
  <si>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</si>
  <si>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</si>
  <si>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</si>
  <si>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</si>
  <si>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</si>
  <si>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</si>
  <si>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</si>
  <si>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</si>
  <si>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</si>
  <si>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</si>
  <si>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</si>
  <si>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</si>
  <si>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</si>
  <si>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</si>
  <si>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</si>
  <si>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</si>
  <si>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</si>
  <si>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</si>
  <si>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</si>
  <si>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</si>
  <si>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</si>
  <si>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</si>
  <si>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</si>
  <si>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</si>
  <si>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</si>
  <si>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</si>
  <si>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</si>
  <si>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</si>
  <si>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</si>
  <si>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</si>
  <si>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</si>
  <si>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</si>
  <si>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</si>
  <si>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</si>
  <si>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</si>
  <si>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</si>
  <si>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</si>
  <si>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</si>
  <si>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</si>
  <si>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</si>
  <si>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</si>
  <si>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</si>
  <si>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</si>
  <si>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</si>
  <si>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</si>
  <si>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</si>
  <si>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</si>
  <si>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</si>
  <si>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</si>
  <si>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</si>
  <si>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</si>
  <si>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</si>
  <si>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</si>
  <si>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</si>
  <si>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</si>
  <si>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</si>
  <si>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</si>
  <si>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</si>
  <si>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</si>
  <si>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</si>
  <si>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</si>
  <si>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</si>
  <si>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</si>
  <si>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</si>
  <si>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</si>
  <si>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</si>
  <si>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</si>
  <si>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</si>
  <si>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</si>
  <si>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</si>
  <si>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</si>
  <si>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</si>
  <si>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</si>
  <si>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</si>
  <si>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</si>
  <si>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</si>
  <si>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</si>
  <si>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</si>
  <si>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</si>
  <si>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</si>
  <si>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</si>
  <si>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</si>
  <si>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</si>
  <si>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</si>
  <si>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</si>
  <si>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</si>
  <si>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</si>
  <si>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</si>
  <si>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</si>
  <si>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</si>
  <si>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</si>
  <si>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</si>
  <si>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</si>
  <si>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</si>
  <si>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</si>
  <si>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</si>
  <si>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</si>
  <si>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</si>
  <si>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</si>
  <si>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</si>
  <si>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</si>
  <si>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</si>
  <si>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</si>
  <si>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</si>
  <si>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</si>
  <si>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</si>
  <si>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</si>
  <si>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</si>
  <si>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</si>
  <si>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</si>
  <si>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</si>
  <si>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</si>
  <si>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</si>
  <si>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</si>
  <si>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</si>
  <si>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</si>
  <si>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</si>
  <si>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</si>
  <si>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</si>
  <si>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</si>
  <si>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</si>
  <si>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</si>
  <si>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</si>
  <si>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</si>
  <si>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</si>
  <si>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</si>
  <si>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</si>
  <si>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</si>
  <si>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</si>
  <si>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</si>
  <si>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</si>
  <si>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</si>
  <si>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</si>
  <si>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</si>
  <si>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</si>
  <si>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</si>
  <si>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</si>
  <si>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</si>
  <si>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</si>
  <si>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</si>
  <si>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</si>
  <si>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</si>
  <si>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</si>
  <si>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</si>
  <si>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</si>
  <si>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</si>
  <si>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</si>
  <si>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</si>
  <si>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</si>
  <si>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</si>
  <si>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</si>
  <si>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</si>
  <si>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</si>
  <si>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</si>
  <si>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</si>
  <si>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</si>
  <si>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</si>
  <si>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</si>
  <si>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</si>
  <si>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</si>
  <si>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</si>
  <si>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</si>
  <si>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</si>
  <si>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</si>
  <si>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</si>
  <si>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</si>
  <si>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</si>
  <si>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</si>
  <si>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</si>
  <si>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</si>
  <si>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</si>
  <si>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</si>
  <si>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</si>
  <si>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</si>
  <si>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</si>
  <si>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</si>
  <si>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</si>
  <si>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</si>
  <si>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</si>
  <si>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</si>
  <si>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</si>
  <si>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</si>
  <si>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</si>
  <si>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</si>
  <si>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</si>
  <si>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</si>
  <si>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</si>
  <si>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</si>
  <si>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</si>
  <si>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</si>
  <si>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</si>
  <si>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</si>
  <si>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</si>
  <si>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</si>
  <si>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</si>
  <si>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</si>
  <si>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</si>
  <si>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</si>
  <si>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</si>
  <si>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</si>
  <si>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</si>
  <si>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</si>
  <si>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</si>
  <si>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</si>
  <si>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</si>
  <si>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</si>
  <si>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</si>
  <si>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</si>
  <si>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</si>
  <si>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</si>
  <si>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</si>
  <si>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</si>
  <si>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</si>
  <si>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</si>
  <si>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</si>
  <si>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</si>
  <si>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</si>
  <si>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</si>
  <si>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</si>
  <si>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</si>
  <si>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</si>
  <si>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</si>
  <si>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</si>
  <si>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</si>
  <si>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</si>
  <si>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</si>
  <si>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</si>
  <si>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</si>
  <si>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</si>
  <si>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</si>
  <si>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</si>
  <si>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</si>
  <si>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</si>
  <si>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</si>
  <si>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</si>
  <si>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</si>
  <si>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</si>
  <si>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</si>
  <si>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</si>
  <si>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</si>
  <si>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</si>
  <si>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</si>
  <si>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</si>
  <si>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</si>
  <si>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</si>
  <si>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</si>
  <si>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</si>
  <si>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</si>
  <si>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</si>
  <si>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</si>
  <si>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</si>
  <si>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</si>
  <si>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</si>
  <si>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</si>
  <si>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</si>
  <si>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</si>
  <si>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</si>
  <si>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</si>
  <si>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</si>
  <si>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</si>
  <si>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</si>
  <si>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</si>
  <si>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</si>
  <si>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</si>
  <si>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</si>
  <si>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</si>
  <si>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</si>
  <si>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</si>
  <si>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</si>
  <si>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</si>
  <si>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</si>
  <si>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</si>
  <si>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</si>
  <si>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</si>
  <si>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</si>
  <si>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</si>
  <si>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</si>
  <si>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</si>
  <si>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</si>
  <si>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</si>
  <si>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</si>
  <si>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</si>
  <si>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</si>
  <si>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</si>
  <si>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</si>
  <si>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</si>
  <si>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</si>
  <si>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</si>
  <si>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</si>
  <si>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</si>
  <si>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</si>
  <si>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</si>
  <si>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</si>
  <si>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</si>
  <si>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</si>
  <si>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</si>
  <si>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</si>
  <si>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</si>
  <si>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</si>
  <si>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</si>
  <si>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</si>
  <si>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</si>
  <si>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</si>
  <si>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</si>
  <si>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</si>
  <si>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</si>
  <si>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</si>
  <si>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</si>
  <si>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</si>
  <si>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</si>
  <si>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</si>
  <si>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</si>
  <si>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</si>
  <si>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</si>
  <si>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</si>
  <si>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</si>
  <si>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</si>
  <si>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</si>
  <si>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</si>
  <si>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</si>
  <si>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</si>
  <si>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</si>
  <si>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</si>
  <si>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</si>
  <si>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</si>
  <si>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</si>
  <si>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</si>
  <si>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</si>
  <si>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</si>
  <si>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</si>
  <si>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</si>
  <si>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</si>
  <si>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</si>
  <si>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</si>
  <si>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</si>
  <si>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</si>
  <si>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</si>
  <si>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</si>
  <si>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</si>
  <si>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</si>
  <si>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</si>
  <si>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</si>
  <si>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</si>
  <si>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</si>
  <si>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</si>
  <si>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</si>
  <si>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</si>
  <si>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</si>
  <si>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</si>
  <si>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</si>
  <si>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</si>
  <si>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</si>
  <si>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</si>
  <si>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</si>
  <si>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</si>
  <si>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</si>
  <si>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</si>
  <si>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</si>
  <si>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</si>
  <si>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</si>
  <si>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</si>
  <si>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</si>
  <si>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</si>
  <si>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</si>
  <si>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</si>
  <si>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</si>
  <si>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</si>
  <si>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</si>
  <si>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</si>
  <si>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</si>
  <si>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</si>
  <si>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</si>
  <si>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</si>
  <si>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</si>
  <si>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</si>
  <si>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</si>
  <si>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</si>
  <si>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</si>
  <si>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</si>
  <si>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</si>
  <si>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</si>
  <si>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</si>
  <si>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</si>
  <si>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</si>
  <si>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</si>
  <si>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</si>
  <si>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</si>
  <si>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</si>
  <si>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</si>
  <si>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</si>
  <si>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</si>
  <si>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</si>
  <si>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</si>
  <si>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</si>
  <si>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</si>
  <si>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</si>
  <si>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</si>
  <si>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</si>
  <si>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</si>
  <si>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</si>
  <si>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</si>
  <si>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</si>
  <si>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</si>
  <si>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</si>
  <si>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</si>
  <si>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</si>
  <si>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</si>
  <si>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</si>
  <si>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</si>
  <si>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</si>
  <si>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</si>
  <si>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</si>
  <si>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</si>
  <si>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</si>
  <si>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</si>
  <si>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</si>
  <si>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</si>
  <si>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</si>
  <si>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</si>
  <si>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</si>
  <si>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</si>
  <si>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</si>
  <si>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</si>
  <si>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</si>
  <si>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</si>
  <si>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</si>
  <si>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</si>
  <si>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</si>
  <si>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</si>
  <si>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</si>
  <si>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</si>
  <si>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</si>
  <si>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</si>
  <si>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</si>
  <si>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</si>
  <si>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</si>
  <si>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</si>
  <si>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</si>
  <si>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</si>
  <si>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</si>
  <si>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</si>
  <si>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</si>
  <si>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</si>
  <si>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</si>
  <si>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</si>
  <si>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</si>
  <si>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</si>
  <si>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</si>
  <si>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</si>
  <si>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</si>
  <si>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</si>
  <si>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</si>
  <si>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</si>
  <si>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</si>
  <si>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</si>
  <si>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</si>
  <si>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</si>
  <si>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</si>
  <si>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</si>
  <si>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</si>
  <si>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</si>
  <si>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</si>
  <si>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</si>
  <si>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</si>
  <si>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</si>
  <si>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</si>
  <si>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</si>
  <si>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</si>
  <si>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</si>
  <si>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</si>
  <si>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</si>
  <si>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</si>
  <si>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</si>
  <si>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</si>
  <si>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</si>
  <si>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</si>
  <si>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</si>
  <si>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</si>
  <si>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</si>
  <si>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</si>
  <si>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</si>
  <si>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</si>
  <si>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</si>
  <si>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</si>
  <si>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</si>
  <si>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</si>
  <si>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</si>
  <si>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</si>
  <si>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</si>
  <si>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</si>
  <si>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</si>
  <si>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</si>
  <si>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</si>
  <si>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</si>
  <si>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</si>
  <si>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</si>
  <si>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</si>
  <si>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</si>
  <si>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</si>
  <si>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</si>
  <si>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</si>
  <si>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</si>
  <si>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</si>
  <si>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</si>
  <si>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</si>
  <si>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</si>
  <si>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</si>
  <si>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</si>
  <si>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</si>
  <si>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</si>
  <si>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</si>
  <si>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</si>
  <si>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</si>
  <si>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</si>
  <si>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</si>
  <si>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</si>
  <si>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</si>
  <si>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</si>
  <si>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</si>
  <si>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</si>
  <si>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</si>
  <si>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</si>
  <si>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</si>
  <si>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</si>
  <si>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</si>
  <si>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</si>
  <si>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</si>
  <si>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</si>
  <si>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</si>
  <si>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</si>
  <si>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</si>
  <si>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</si>
  <si>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</si>
  <si>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</si>
  <si>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</si>
  <si>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</si>
  <si>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</si>
  <si>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</si>
  <si>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</si>
  <si>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</si>
  <si>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</si>
  <si>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</si>
  <si>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</si>
  <si>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</si>
  <si>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</si>
  <si>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</si>
  <si>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</si>
  <si>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</si>
  <si>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</si>
  <si>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</si>
  <si>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</si>
  <si>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</si>
  <si>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</si>
  <si>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</si>
  <si>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</si>
  <si>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</si>
  <si>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</si>
  <si>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</si>
  <si>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</si>
  <si>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</si>
  <si>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</si>
  <si>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</si>
  <si>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</si>
  <si>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</si>
  <si>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</si>
  <si>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</si>
  <si>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</si>
  <si>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</si>
  <si>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</si>
  <si>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</si>
  <si>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</si>
  <si>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</si>
  <si>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</si>
  <si>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</si>
  <si>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</si>
  <si>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</si>
  <si>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</si>
  <si>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</si>
  <si>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</si>
  <si>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</si>
  <si>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</si>
  <si>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</si>
  <si>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</si>
  <si>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</si>
  <si>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</si>
  <si>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</si>
  <si>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</si>
  <si>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</si>
  <si>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</si>
  <si>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</si>
  <si>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</si>
  <si>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</si>
  <si>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</si>
  <si>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</si>
  <si>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</si>
  <si>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</si>
  <si>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</si>
  <si>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</si>
  <si>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</si>
  <si>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</si>
  <si>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</si>
  <si>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</si>
  <si>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</si>
  <si>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</si>
  <si>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</si>
  <si>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</si>
  <si>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</si>
  <si>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</si>
  <si>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</si>
  <si>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</si>
  <si>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</si>
  <si>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</si>
  <si>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</si>
  <si>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</si>
  <si>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</si>
  <si>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</si>
  <si>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</si>
  <si>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</si>
  <si>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</si>
  <si>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</si>
  <si>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</si>
  <si>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</si>
  <si>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</si>
  <si>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</si>
  <si>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</si>
  <si>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</si>
  <si>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</si>
  <si>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</si>
  <si>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</si>
  <si>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</si>
  <si>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</si>
  <si>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</si>
  <si>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</si>
  <si>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</si>
  <si>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</si>
  <si>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</si>
  <si>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</si>
  <si>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</si>
  <si>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</si>
  <si>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</si>
  <si>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</si>
  <si>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</si>
  <si>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</si>
  <si>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</si>
  <si>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</si>
  <si>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</si>
  <si>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</si>
  <si>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</si>
  <si>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</si>
  <si>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</si>
  <si>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</si>
  <si>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</si>
  <si>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</si>
  <si>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</si>
  <si>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</si>
  <si>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</si>
  <si>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</si>
  <si>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</si>
  <si>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</si>
  <si>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</si>
  <si>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</si>
  <si>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</si>
  <si>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</si>
  <si>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</si>
  <si>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</si>
  <si>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</si>
  <si>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</si>
  <si>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</si>
  <si>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</si>
  <si>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</si>
  <si>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</si>
  <si>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</si>
  <si>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</si>
  <si>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</si>
  <si>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</si>
  <si>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</si>
  <si>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</si>
  <si>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</si>
  <si>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</si>
  <si>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</si>
  <si>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</si>
  <si>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</si>
  <si>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</si>
  <si>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</si>
  <si>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</si>
  <si>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</si>
  <si>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</si>
  <si>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</si>
  <si>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</si>
  <si>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</si>
  <si>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</si>
  <si>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</si>
  <si>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</si>
  <si>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</si>
  <si>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</si>
  <si>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</si>
  <si>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</si>
  <si>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</si>
  <si>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</si>
  <si>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</si>
  <si>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</si>
  <si>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</si>
  <si>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</si>
  <si>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</si>
  <si>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</si>
  <si>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</si>
  <si>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</si>
  <si>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</si>
  <si>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</si>
  <si>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</si>
  <si>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</si>
  <si>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</si>
  <si>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</si>
  <si>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</si>
  <si>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</si>
  <si>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</si>
  <si>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</si>
  <si>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</si>
  <si>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</si>
  <si>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</si>
  <si>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</si>
  <si>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</si>
  <si>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</si>
  <si>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</si>
  <si>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</si>
  <si>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</si>
  <si>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</si>
  <si>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</si>
  <si>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</si>
  <si>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</si>
  <si>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</si>
  <si>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</si>
  <si>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</si>
  <si>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</si>
  <si>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</si>
  <si>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</si>
  <si>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</si>
  <si>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</si>
  <si>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</si>
  <si>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</si>
  <si>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</si>
  <si>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</si>
  <si>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</si>
  <si>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</si>
  <si>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</si>
  <si>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</si>
  <si>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</si>
  <si>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</si>
  <si>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</si>
  <si>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</si>
  <si>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</si>
  <si>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</si>
  <si>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</si>
  <si>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</si>
  <si>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</si>
  <si>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</si>
  <si>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</si>
  <si>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</si>
  <si>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</si>
  <si>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</si>
  <si>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</si>
  <si>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</si>
  <si>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</si>
  <si>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</si>
  <si>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</si>
  <si>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</si>
  <si>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</si>
  <si>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</si>
  <si>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</si>
  <si>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</si>
  <si>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</si>
  <si>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</si>
  <si>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</si>
  <si>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</si>
  <si>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</si>
  <si>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</si>
  <si>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</si>
  <si>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</si>
  <si>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</si>
  <si>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</si>
  <si>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</si>
  <si>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</si>
  <si>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</si>
  <si>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</si>
  <si>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</si>
  <si>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</si>
  <si>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</si>
  <si>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</si>
  <si>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</si>
  <si>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</si>
  <si>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</si>
  <si>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</si>
  <si>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</si>
  <si>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</si>
  <si>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</si>
  <si>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</si>
  <si>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</si>
  <si>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</si>
  <si>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</si>
  <si>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</si>
  <si>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</si>
  <si>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</si>
  <si>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</si>
  <si>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</si>
  <si>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</si>
  <si>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</si>
  <si>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</si>
  <si>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</si>
  <si>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</si>
  <si>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</si>
  <si>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</si>
  <si>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</si>
  <si>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</si>
  <si>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</si>
  <si>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</si>
  <si>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</si>
  <si>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</si>
  <si>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</si>
  <si>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</si>
  <si>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</si>
  <si>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</si>
  <si>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</si>
  <si>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</si>
  <si>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</si>
  <si>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</si>
  <si>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</si>
  <si>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</si>
  <si>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</si>
  <si>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</si>
  <si>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</si>
  <si>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</si>
  <si>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</si>
  <si>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</si>
  <si>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</si>
  <si>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</si>
  <si>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</si>
  <si>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</si>
  <si>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</si>
  <si>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</si>
  <si>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</si>
  <si>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</si>
  <si>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</si>
  <si>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</si>
  <si>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</si>
  <si>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</si>
  <si>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</si>
  <si>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</si>
  <si>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</si>
  <si>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</si>
  <si>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</si>
  <si>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</si>
  <si>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</si>
  <si>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</si>
  <si>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</si>
  <si>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</si>
  <si>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</si>
  <si>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</si>
  <si>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</si>
  <si>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</si>
  <si>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</si>
  <si>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</si>
  <si>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</si>
  <si>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</si>
  <si>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</si>
  <si>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</si>
  <si>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</si>
  <si>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</si>
  <si>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</si>
  <si>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</si>
  <si>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</si>
  <si>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</si>
  <si>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</si>
  <si>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</si>
  <si>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</si>
  <si>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</si>
  <si>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</si>
  <si>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</si>
  <si>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</si>
  <si>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</si>
  <si>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</si>
  <si>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</si>
  <si>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</si>
  <si>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</si>
  <si>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</si>
  <si>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</si>
  <si>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</si>
  <si>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</si>
  <si>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</si>
  <si>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</si>
  <si>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</si>
  <si>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</si>
  <si>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</si>
  <si>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</si>
  <si>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</si>
  <si>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</si>
  <si>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</si>
  <si>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</si>
  <si>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</si>
  <si>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</si>
  <si>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</si>
  <si>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</si>
  <si>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</si>
  <si>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</si>
  <si>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</si>
  <si>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</si>
  <si>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</si>
  <si>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</si>
  <si>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</si>
  <si>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</si>
  <si>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</si>
  <si>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</si>
  <si>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</si>
  <si>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</si>
  <si>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</si>
  <si>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</si>
  <si>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</si>
  <si>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</si>
  <si>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</si>
  <si>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</si>
  <si>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</si>
  <si>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</si>
  <si>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</si>
  <si>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</si>
  <si>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</si>
  <si>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</si>
  <si>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</si>
  <si>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</si>
  <si>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</si>
  <si>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</si>
  <si>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</si>
  <si>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</si>
  <si>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</si>
  <si>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</si>
  <si>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</si>
  <si>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</si>
  <si>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</si>
  <si>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</si>
  <si>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</si>
  <si>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</si>
  <si>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</si>
  <si>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</si>
  <si>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</si>
  <si>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</si>
  <si>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</si>
  <si>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</si>
  <si>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</si>
  <si>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</si>
  <si>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</si>
  <si>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</si>
  <si>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</si>
  <si>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</si>
  <si>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</si>
  <si>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</si>
  <si>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</si>
  <si>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</si>
  <si>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</si>
  <si>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</si>
  <si>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</si>
  <si>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</si>
  <si>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</si>
  <si>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</si>
  <si>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</si>
  <si>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</si>
  <si>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</si>
  <si>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</si>
  <si>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</si>
  <si>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</si>
  <si>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</si>
  <si>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</si>
  <si>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</si>
  <si>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</si>
  <si>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</si>
  <si>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</si>
  <si>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</si>
  <si>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</si>
  <si>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</si>
  <si>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</si>
  <si>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</si>
  <si>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</si>
  <si>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</si>
  <si>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</si>
  <si>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</si>
  <si>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</si>
  <si>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</si>
  <si>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</si>
  <si>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</si>
  <si>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</si>
  <si>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</si>
  <si>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</si>
  <si>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</si>
  <si>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</si>
  <si>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</si>
  <si>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</si>
  <si>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</si>
  <si>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</si>
  <si>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</si>
  <si>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</si>
  <si>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</si>
  <si>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</si>
  <si>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</si>
  <si>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</si>
  <si>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</si>
  <si>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</si>
  <si>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</si>
  <si>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</si>
  <si>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</si>
  <si>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</si>
  <si>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</si>
  <si>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</si>
  <si>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</si>
  <si>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</si>
  <si>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</si>
  <si>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</si>
  <si>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</si>
  <si>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</si>
  <si>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</si>
  <si>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</si>
  <si>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</si>
  <si>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</si>
  <si>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</si>
  <si>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</si>
  <si>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</si>
  <si>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</si>
  <si>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</si>
  <si>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</si>
  <si>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</si>
  <si>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</si>
  <si>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</si>
  <si>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</si>
  <si>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</si>
  <si>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</si>
  <si>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</si>
  <si>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</si>
  <si>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</si>
  <si>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</si>
  <si>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</si>
  <si>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</si>
  <si>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</si>
  <si>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</si>
  <si>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</si>
  <si>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</si>
  <si>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</si>
  <si>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</si>
  <si>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</si>
  <si>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</si>
  <si>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</si>
  <si>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</si>
  <si>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</si>
  <si>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</si>
  <si>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</si>
  <si>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</si>
  <si>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</si>
  <si>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</si>
  <si>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</si>
  <si>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</si>
  <si>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</si>
  <si>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</si>
  <si>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</si>
  <si>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</si>
  <si>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</si>
  <si>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</si>
  <si>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</si>
  <si>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</si>
  <si>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</si>
  <si>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</si>
  <si>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</si>
  <si>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</si>
  <si>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</si>
  <si>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</si>
  <si>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</si>
  <si>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</si>
  <si>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</si>
  <si>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</si>
  <si>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</si>
  <si>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</si>
  <si>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</si>
  <si>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</si>
  <si>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</si>
  <si>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</si>
  <si>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</si>
  <si>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</si>
  <si>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</si>
  <si>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</si>
  <si>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</si>
  <si>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</si>
  <si>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</si>
  <si>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</si>
  <si>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</si>
  <si>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</si>
  <si>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</si>
  <si>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</si>
  <si>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</si>
  <si>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</si>
  <si>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</si>
  <si>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</si>
  <si>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</si>
  <si>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</si>
  <si>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</si>
  <si>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</si>
  <si>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</si>
  <si>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</si>
  <si>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</si>
  <si>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</si>
  <si>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</si>
  <si>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</si>
  <si>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</si>
  <si>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</si>
  <si>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</si>
  <si>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</si>
  <si>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</si>
  <si>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</si>
  <si>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</si>
  <si>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</si>
  <si>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</si>
  <si>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</si>
  <si>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</si>
  <si>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</si>
  <si>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</si>
  <si>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</si>
  <si>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</si>
  <si>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</si>
  <si>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</si>
  <si>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</si>
  <si>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</si>
  <si>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</si>
  <si>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</si>
  <si>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</si>
  <si>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</si>
  <si>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</si>
  <si>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</si>
  <si>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</si>
  <si>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</si>
  <si>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</si>
  <si>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</si>
  <si>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</si>
  <si>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</si>
  <si>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</si>
  <si>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</si>
  <si>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</si>
  <si>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</si>
  <si>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</si>
  <si>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</si>
  <si>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</si>
  <si>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</si>
  <si>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</si>
  <si>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</si>
  <si>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</si>
  <si>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</si>
  <si>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</si>
  <si>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</si>
  <si>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</si>
  <si>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</si>
  <si>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</si>
  <si>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</si>
  <si>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</si>
  <si>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</si>
  <si>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</si>
  <si>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</si>
  <si>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</si>
  <si>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</si>
  <si>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</si>
  <si>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</si>
  <si>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</si>
  <si>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</si>
  <si>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</si>
  <si>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</si>
  <si>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</si>
  <si>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</si>
  <si>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</si>
  <si>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</si>
  <si>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</si>
  <si>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</si>
  <si>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</si>
  <si>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</si>
  <si>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</si>
  <si>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</si>
  <si>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</si>
  <si>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</si>
  <si>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</si>
  <si>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</si>
  <si>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</si>
  <si>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</si>
  <si>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</si>
  <si>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</si>
  <si>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</si>
  <si>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</si>
  <si>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</si>
  <si>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</si>
  <si>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</si>
  <si>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</si>
  <si>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</si>
  <si>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</si>
  <si>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</si>
  <si>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</si>
  <si>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</si>
  <si>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</si>
  <si>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</si>
  <si>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</si>
  <si>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</si>
  <si>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</si>
  <si>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</si>
  <si>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</si>
  <si>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</si>
  <si>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</si>
  <si>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</si>
  <si>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</si>
  <si>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</si>
  <si>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</si>
  <si>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</si>
  <si>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</si>
  <si>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</si>
  <si>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</si>
  <si>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</si>
  <si>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</si>
  <si>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</si>
  <si>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</si>
  <si>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</si>
  <si>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</si>
  <si>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</si>
  <si>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</si>
  <si>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</si>
  <si>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</si>
  <si>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</si>
  <si>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</si>
  <si>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</si>
  <si>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</si>
  <si>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</si>
  <si>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</si>
  <si>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</si>
  <si>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</si>
  <si>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</si>
  <si>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</si>
  <si>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</si>
  <si>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</si>
  <si>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</si>
  <si>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</si>
  <si>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</si>
  <si>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</si>
  <si>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</si>
  <si>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</si>
  <si>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</si>
  <si>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</si>
  <si>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</si>
  <si>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</si>
  <si>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</si>
  <si>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</si>
  <si>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</si>
  <si>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</si>
  <si>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</si>
  <si>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</si>
  <si>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</si>
  <si>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</si>
  <si>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</si>
  <si>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</si>
  <si>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</si>
  <si>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</si>
  <si>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</si>
  <si>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</si>
  <si>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</si>
  <si>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</si>
  <si>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</si>
  <si>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</si>
  <si>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</si>
  <si>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</si>
  <si>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</si>
  <si>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</si>
  <si>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</si>
  <si>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</si>
  <si>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</si>
  <si>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</si>
  <si>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</si>
  <si>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</si>
  <si>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</si>
  <si>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</si>
  <si>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</si>
  <si>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</si>
  <si>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</si>
  <si>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</si>
  <si>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</si>
  <si>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</si>
  <si>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</si>
  <si>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</si>
  <si>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</si>
  <si>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</si>
  <si>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</si>
  <si>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</si>
  <si>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</si>
  <si>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</si>
  <si>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</si>
  <si>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</si>
  <si>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</si>
  <si>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</si>
  <si>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</si>
  <si>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</si>
  <si>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</si>
  <si>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</si>
  <si>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</si>
  <si>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</si>
  <si>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</si>
  <si>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</si>
  <si>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</si>
  <si>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</si>
  <si>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</si>
  <si>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</si>
  <si>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</si>
  <si>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</si>
  <si>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</si>
  <si>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</si>
  <si>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</si>
  <si>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</si>
  <si>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</si>
  <si>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</si>
  <si>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</si>
  <si>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</si>
  <si>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</si>
  <si>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</si>
  <si>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</si>
  <si>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</si>
  <si>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</si>
  <si>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</si>
  <si>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</si>
  <si>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</si>
  <si>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</si>
  <si>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</si>
  <si>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</si>
  <si>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</si>
  <si>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</si>
  <si>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</si>
  <si>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</si>
  <si>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</si>
  <si>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</si>
  <si>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</si>
  <si>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</si>
  <si>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</si>
  <si>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</si>
  <si>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</si>
  <si>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</si>
  <si>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</si>
  <si>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</si>
  <si>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</si>
  <si>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</si>
  <si>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</si>
  <si>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</si>
  <si>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</si>
  <si>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</si>
  <si>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</si>
  <si>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</si>
  <si>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</si>
  <si>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</si>
  <si>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</si>
  <si>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</si>
  <si>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</si>
  <si>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</si>
  <si>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</si>
  <si>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</si>
  <si>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</si>
  <si>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</si>
  <si>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</si>
  <si>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</si>
  <si>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</si>
  <si>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</si>
  <si>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</si>
  <si>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</si>
  <si>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</si>
  <si>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</si>
  <si>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</si>
  <si>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</si>
  <si>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</si>
  <si>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</si>
  <si>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</si>
  <si>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</si>
  <si>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</si>
  <si>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</si>
  <si>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</si>
  <si>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</si>
  <si>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</si>
  <si>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</si>
  <si>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</si>
  <si>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</si>
  <si>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</si>
  <si>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</si>
  <si>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</si>
  <si>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</si>
  <si>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</si>
  <si>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</si>
  <si>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</si>
  <si>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</si>
  <si>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</si>
  <si>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</si>
  <si>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</si>
  <si>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</si>
  <si>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</si>
  <si>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</si>
  <si>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</si>
  <si>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</si>
  <si>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</si>
  <si>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</si>
  <si>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</si>
  <si>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</si>
  <si>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</si>
  <si>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</si>
  <si>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</si>
  <si>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</si>
  <si>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</si>
  <si>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</si>
  <si>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</si>
  <si>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</si>
  <si>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</si>
  <si>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</si>
  <si>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</si>
  <si>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</si>
  <si>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</si>
  <si>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</si>
  <si>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</si>
  <si>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</si>
  <si>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</si>
  <si>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</si>
  <si>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</si>
  <si>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</si>
  <si>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</si>
  <si>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</si>
  <si>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</si>
  <si>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</si>
  <si>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</si>
  <si>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</si>
  <si>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</si>
  <si>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</si>
  <si>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</si>
  <si>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</si>
  <si>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</si>
  <si>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</si>
  <si>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</si>
  <si>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</si>
  <si>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</si>
  <si>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</si>
  <si>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</si>
  <si>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</si>
  <si>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</si>
  <si>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</si>
  <si>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</si>
  <si>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</si>
  <si>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</si>
  <si>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</si>
  <si>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</si>
  <si>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</si>
  <si>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</si>
  <si>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</si>
  <si>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</si>
  <si>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</si>
  <si>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</si>
  <si>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</si>
  <si>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</si>
  <si>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</si>
  <si>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</si>
  <si>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</si>
  <si>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</si>
  <si>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</si>
  <si>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</si>
  <si>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</si>
  <si>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</si>
  <si>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</si>
  <si>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</si>
  <si>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</si>
  <si>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</si>
  <si>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</si>
  <si>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</si>
  <si>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</si>
  <si>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</si>
  <si>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</si>
  <si>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</si>
  <si>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</si>
  <si>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</si>
  <si>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</si>
  <si>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</si>
  <si>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</si>
  <si>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</si>
  <si>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</si>
  <si>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</si>
  <si>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</si>
  <si>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</si>
  <si>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</si>
  <si>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</si>
  <si>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</si>
  <si>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</si>
  <si>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</si>
  <si>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</si>
  <si>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</si>
  <si>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</si>
  <si>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</si>
  <si>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</si>
  <si>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</si>
  <si>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</si>
  <si>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</si>
  <si>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</si>
  <si>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</si>
  <si>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</si>
  <si>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</si>
  <si>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</si>
  <si>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</si>
  <si>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</si>
  <si>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</si>
  <si>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</si>
  <si>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</si>
  <si>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</si>
  <si>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</si>
  <si>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</si>
  <si>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</si>
  <si>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</si>
  <si>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</si>
  <si>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</si>
  <si>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</si>
  <si>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</si>
  <si>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</si>
  <si>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</si>
  <si>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</si>
  <si>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</si>
  <si>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</si>
  <si>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</si>
  <si>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</si>
  <si>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</si>
  <si>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</si>
  <si>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</si>
  <si>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</si>
  <si>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</si>
  <si>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</si>
  <si>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</si>
  <si>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</si>
  <si>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</si>
  <si>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</si>
  <si>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</si>
  <si>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</si>
  <si>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</si>
  <si>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</si>
  <si>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</si>
  <si>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</si>
  <si>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</si>
  <si>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</si>
  <si>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</si>
  <si>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</si>
  <si>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</si>
  <si>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</si>
  <si>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</si>
  <si>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</si>
  <si>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</si>
  <si>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</si>
  <si>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</si>
  <si>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</si>
  <si>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</si>
  <si>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</si>
  <si>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</si>
  <si>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</si>
  <si>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</si>
  <si>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</si>
  <si>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</si>
  <si>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</si>
  <si>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</si>
  <si>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</si>
  <si>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</si>
  <si>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</si>
  <si>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</si>
  <si>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</si>
  <si>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</si>
  <si>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</si>
  <si>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</si>
  <si>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</si>
  <si>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</si>
  <si>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</si>
  <si>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</si>
  <si>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</si>
  <si>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</si>
  <si>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</si>
  <si>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</si>
  <si>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</si>
  <si>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</si>
  <si>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</si>
  <si>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</si>
  <si>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</si>
  <si>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</si>
  <si>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</si>
  <si>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</si>
  <si>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</si>
  <si>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</si>
  <si>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</si>
  <si>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</si>
  <si>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</si>
  <si>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</si>
  <si>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</si>
  <si>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</si>
  <si>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</si>
  <si>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</si>
  <si>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</si>
  <si>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</si>
  <si>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</si>
  <si>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</si>
  <si>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</si>
  <si>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</si>
  <si>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</si>
  <si>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</si>
  <si>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</si>
  <si>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</si>
  <si>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</si>
  <si>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</si>
  <si>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</si>
  <si>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</si>
  <si>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</si>
  <si>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</si>
  <si>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</si>
  <si>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</si>
  <si>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</si>
  <si>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</si>
  <si>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</si>
  <si>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</si>
  <si>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</si>
  <si>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</si>
  <si>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</si>
  <si>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</si>
  <si>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</si>
  <si>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</si>
  <si>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</si>
  <si>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</si>
  <si>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</si>
  <si>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</si>
  <si>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</si>
  <si>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</si>
  <si>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</si>
  <si>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</si>
  <si>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</si>
  <si>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</si>
  <si>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</si>
  <si>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</si>
  <si>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</si>
  <si>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</si>
  <si>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</si>
  <si>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</si>
  <si>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</si>
  <si>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</si>
  <si>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</si>
  <si>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</si>
  <si>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</si>
  <si>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</si>
  <si>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</si>
  <si>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</si>
  <si>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</si>
  <si>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</si>
  <si>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</si>
  <si>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</si>
  <si>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</si>
  <si>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</si>
  <si>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</si>
  <si>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</si>
  <si>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</si>
  <si>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</si>
  <si>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</si>
  <si>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</si>
  <si>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</si>
  <si>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</si>
  <si>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</si>
  <si>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</si>
  <si>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</si>
  <si>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</si>
  <si>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</si>
  <si>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</si>
  <si>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</si>
  <si>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</si>
  <si>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</si>
  <si>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</si>
  <si>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</si>
  <si>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</si>
  <si>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</si>
  <si>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</si>
  <si>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</si>
  <si>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</si>
  <si>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</si>
  <si>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</si>
  <si>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</si>
  <si>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</si>
  <si>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</si>
  <si>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</si>
  <si>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</si>
  <si>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</si>
  <si>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</si>
  <si>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</si>
  <si>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</si>
  <si>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</si>
  <si>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</si>
  <si>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</si>
  <si>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</si>
  <si>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</si>
  <si>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</si>
  <si>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</si>
  <si>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</si>
  <si>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</si>
  <si>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</si>
  <si>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</si>
  <si>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</si>
  <si>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</si>
  <si>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</si>
  <si>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</si>
  <si>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</si>
  <si>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</si>
  <si>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</si>
  <si>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</si>
  <si>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</si>
  <si>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</si>
  <si>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</si>
  <si>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</si>
  <si>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</si>
  <si>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</si>
  <si>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</si>
  <si>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</si>
  <si>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</si>
  <si>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</si>
  <si>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</si>
  <si>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</si>
  <si>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</si>
  <si>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</si>
  <si>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</si>
  <si>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</si>
  <si>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</si>
  <si>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</si>
  <si>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</si>
  <si>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</si>
  <si>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</si>
  <si>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</si>
  <si>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</si>
  <si>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</si>
  <si>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</si>
  <si>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</si>
  <si>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</si>
  <si>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</si>
  <si>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</si>
  <si>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</si>
  <si>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</si>
  <si>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</si>
  <si>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</si>
  <si>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</si>
  <si>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</si>
  <si>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</si>
  <si>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</si>
  <si>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</si>
  <si>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</si>
  <si>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</si>
  <si>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</si>
  <si>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</si>
  <si>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</si>
  <si>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</si>
  <si>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</si>
  <si>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</si>
  <si>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</si>
  <si>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</si>
  <si>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</si>
  <si>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</si>
  <si>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</si>
  <si>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</si>
  <si>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</si>
  <si>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</si>
  <si>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</si>
  <si>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</si>
  <si>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</si>
  <si>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</si>
  <si>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</si>
  <si>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</si>
  <si>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</si>
  <si>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</si>
  <si>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</si>
  <si>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</si>
  <si>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</si>
  <si>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</si>
  <si>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</si>
  <si>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</si>
  <si>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</si>
  <si>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</si>
  <si>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</si>
  <si>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</si>
  <si>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</si>
  <si>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</si>
  <si>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</si>
  <si>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</si>
  <si>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</si>
  <si>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</si>
  <si>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</si>
  <si>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</si>
  <si>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</si>
  <si>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</si>
  <si>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</si>
  <si>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</si>
  <si>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</si>
  <si>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</si>
  <si>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</si>
  <si>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</si>
  <si>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</si>
  <si>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</si>
  <si>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</si>
  <si>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</si>
  <si>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</si>
  <si>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</si>
  <si>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</si>
  <si>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</si>
  <si>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</si>
  <si>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</si>
  <si>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</si>
  <si>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</si>
  <si>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</si>
  <si>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</si>
  <si>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</si>
  <si>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</si>
  <si>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</si>
  <si>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</si>
  <si>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</si>
  <si>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</si>
  <si>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</si>
  <si>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</si>
  <si>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</si>
  <si>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</si>
  <si>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</si>
  <si>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</si>
  <si>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</si>
  <si>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</si>
  <si>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</si>
  <si>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</si>
  <si>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</si>
  <si>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</si>
  <si>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</si>
  <si>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</si>
  <si>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</si>
  <si>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</si>
  <si>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</si>
  <si>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</si>
  <si>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</si>
  <si>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</si>
  <si>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</si>
  <si>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</si>
  <si>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</si>
  <si>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</si>
  <si>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</si>
  <si>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</si>
  <si>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</si>
  <si>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</si>
  <si>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</si>
  <si>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</si>
  <si>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</si>
  <si>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</si>
  <si>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</si>
  <si>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</si>
  <si>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</si>
  <si>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</si>
  <si>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</si>
  <si>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</si>
  <si>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</si>
  <si>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</si>
  <si>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</si>
  <si>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</si>
  <si>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</si>
  <si>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</si>
  <si>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</si>
  <si>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</si>
  <si>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</si>
  <si>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</si>
  <si>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</si>
  <si>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</si>
  <si>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</si>
  <si>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</si>
  <si>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</si>
  <si>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</si>
  <si>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</si>
  <si>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</si>
  <si>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</si>
  <si>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</si>
  <si>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</si>
  <si>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</si>
  <si>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</si>
  <si>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</si>
  <si>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</si>
  <si>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</si>
  <si>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</si>
  <si>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</si>
  <si>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</si>
  <si>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</si>
  <si>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</si>
  <si>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</si>
  <si>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</si>
  <si>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</si>
  <si>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</si>
  <si>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</si>
  <si>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</si>
  <si>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</si>
  <si>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</si>
  <si>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</si>
  <si>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</si>
  <si>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</si>
  <si>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</si>
  <si>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</si>
  <si>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</si>
  <si>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</si>
  <si>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</si>
  <si>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</si>
  <si>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</si>
  <si>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</si>
  <si>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</si>
  <si>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</si>
  <si>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</si>
  <si>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</si>
  <si>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</si>
  <si>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</si>
  <si>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</si>
  <si>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</si>
  <si>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</si>
  <si>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</si>
  <si>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</si>
  <si>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</si>
  <si>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</si>
  <si>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</si>
  <si>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</si>
  <si>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</si>
  <si>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</si>
  <si>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</si>
  <si>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</si>
  <si>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</si>
  <si>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</si>
  <si>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</si>
  <si>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</si>
  <si>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</si>
  <si>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</si>
  <si>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</si>
  <si>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</si>
  <si>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</si>
  <si>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</si>
  <si>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</si>
  <si>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</si>
  <si>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</si>
  <si>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</si>
  <si>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</si>
  <si>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</si>
  <si>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</si>
  <si>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</si>
  <si>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</si>
  <si>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</si>
  <si>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</si>
  <si>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</si>
  <si>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</si>
  <si>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</si>
  <si>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</si>
  <si>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</si>
  <si>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</si>
  <si>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</si>
  <si>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</si>
  <si>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</si>
  <si>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</si>
  <si>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</si>
  <si>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</si>
  <si>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</si>
  <si>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</si>
  <si>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</si>
  <si>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</si>
  <si>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</si>
  <si>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</si>
  <si>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</si>
  <si>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</si>
  <si>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</si>
  <si>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</si>
  <si>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</si>
  <si>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</si>
  <si>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</si>
  <si>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</si>
  <si>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</si>
  <si>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</si>
  <si>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</si>
  <si>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</si>
  <si>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</si>
  <si>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</si>
  <si>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</si>
  <si>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</si>
  <si>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</si>
  <si>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</si>
  <si>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</si>
  <si>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</si>
  <si>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</si>
  <si>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</si>
  <si>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</si>
  <si>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</si>
  <si>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</si>
  <si>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</si>
  <si>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</si>
  <si>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</si>
  <si>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</si>
  <si>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</si>
  <si>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</si>
  <si>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</si>
  <si>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</si>
  <si>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</si>
  <si>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</si>
  <si>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</si>
  <si>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</si>
  <si>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</si>
  <si>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</si>
  <si>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</si>
  <si>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</si>
  <si>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</si>
  <si>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</si>
  <si>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</si>
  <si>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</si>
  <si>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</si>
  <si>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</si>
  <si>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</si>
  <si>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</si>
  <si>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</si>
  <si>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</si>
  <si>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</si>
  <si>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</si>
  <si>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</si>
  <si>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</si>
  <si>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</si>
  <si>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</si>
  <si>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</si>
  <si>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</si>
  <si>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</si>
  <si>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</si>
  <si>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</si>
  <si>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</si>
  <si>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</si>
  <si>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</si>
  <si>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</si>
  <si>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</si>
  <si>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</si>
  <si>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</si>
  <si>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</si>
  <si>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</si>
  <si>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</si>
  <si>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</si>
  <si>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</si>
  <si>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</si>
  <si>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</si>
  <si>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</si>
  <si>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</si>
  <si>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</si>
  <si>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</si>
  <si>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</si>
  <si>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</si>
  <si>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</si>
  <si>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</si>
  <si>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</si>
  <si>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</si>
  <si>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</si>
  <si>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</si>
  <si>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</si>
  <si>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</si>
  <si>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</si>
  <si>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</si>
  <si>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</si>
  <si>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</si>
  <si>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</si>
  <si>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</si>
  <si>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</si>
  <si>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</si>
  <si>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</si>
  <si>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</si>
  <si>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</si>
  <si>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</si>
  <si>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</si>
  <si>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</si>
  <si>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</si>
  <si>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</si>
  <si>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</si>
  <si>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</si>
  <si>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</si>
  <si>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</si>
  <si>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</si>
  <si>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</si>
  <si>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</si>
  <si>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</si>
  <si>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</si>
  <si>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</si>
  <si>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</si>
  <si>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</si>
  <si>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</si>
  <si>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</si>
  <si>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</si>
  <si>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</si>
  <si>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</si>
  <si>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</si>
  <si>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</si>
  <si>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</si>
  <si>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</si>
  <si>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</si>
  <si>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</si>
  <si>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</si>
  <si>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</si>
  <si>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</si>
  <si>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</si>
  <si>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</si>
  <si>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</si>
  <si>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</si>
  <si>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</si>
  <si>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</si>
  <si>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</si>
  <si>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</si>
  <si>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</si>
  <si>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</si>
  <si>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</si>
  <si>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</si>
  <si>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</si>
  <si>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</si>
  <si>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</si>
  <si>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</si>
  <si>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</si>
  <si>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</si>
  <si>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</si>
  <si>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</si>
  <si>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</si>
  <si>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</si>
  <si>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</si>
  <si>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</si>
  <si>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</si>
  <si>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</si>
  <si>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</si>
  <si>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</si>
  <si>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</si>
  <si>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</si>
  <si>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</si>
  <si>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</si>
  <si>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</si>
  <si>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</si>
  <si>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</si>
  <si>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</si>
  <si>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</si>
  <si>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</si>
  <si>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</si>
  <si>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</si>
  <si>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</si>
  <si>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</si>
  <si>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</si>
  <si>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</si>
  <si>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</si>
  <si>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</si>
  <si>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</si>
  <si>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</si>
  <si>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</si>
  <si>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</si>
  <si>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</si>
  <si>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</si>
  <si>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</si>
  <si>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</si>
  <si>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</si>
  <si>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</si>
  <si>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</si>
  <si>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</si>
  <si>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</si>
  <si>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</si>
  <si>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</si>
  <si>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</si>
  <si>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</si>
  <si>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</si>
  <si>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</si>
  <si>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</si>
  <si>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</si>
  <si>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</si>
  <si>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</si>
  <si>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</si>
  <si>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</si>
  <si>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</si>
  <si>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</si>
  <si>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</si>
  <si>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</si>
  <si>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</si>
  <si>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</si>
  <si>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</si>
  <si>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</si>
  <si>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</si>
  <si>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</si>
  <si>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</si>
  <si>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</si>
  <si>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</si>
  <si>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</si>
  <si>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</si>
  <si>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</si>
  <si>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</si>
  <si>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</si>
  <si>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</si>
  <si>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</si>
  <si>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</si>
  <si>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</si>
  <si>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</si>
  <si>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</si>
  <si>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</si>
  <si>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</si>
  <si>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</si>
  <si>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</si>
  <si>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</si>
  <si>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</si>
  <si>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</si>
  <si>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</si>
  <si>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</si>
  <si>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</si>
  <si>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</si>
  <si>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</si>
  <si>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</si>
  <si>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</si>
  <si>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</si>
  <si>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</si>
  <si>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</si>
  <si>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</si>
  <si>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</si>
  <si>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</si>
  <si>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</si>
  <si>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</si>
  <si>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</si>
  <si>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</si>
  <si>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</si>
  <si>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</si>
  <si>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</si>
  <si>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</si>
  <si>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</si>
  <si>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</si>
  <si>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</si>
  <si>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</si>
  <si>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</si>
  <si>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</si>
  <si>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</si>
  <si>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</si>
  <si>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</si>
  <si>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</si>
  <si>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</si>
  <si>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</si>
  <si>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</si>
  <si>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</si>
  <si>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</si>
  <si>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</si>
  <si>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</si>
  <si>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</si>
  <si>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</si>
  <si>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</si>
  <si>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</si>
  <si>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</si>
  <si>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</si>
  <si>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</si>
  <si>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</si>
  <si>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</si>
  <si>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</si>
  <si>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</si>
  <si>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</si>
  <si>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</si>
  <si>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</si>
  <si>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</si>
  <si>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</si>
  <si>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</si>
  <si>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</si>
  <si>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</si>
  <si>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</si>
  <si>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</si>
  <si>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</si>
  <si>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</si>
  <si>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</si>
  <si>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</si>
  <si>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</si>
  <si>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</si>
  <si>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</si>
  <si>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</si>
  <si>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</si>
  <si>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</si>
  <si>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</si>
  <si>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</si>
  <si>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</si>
  <si>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</si>
  <si>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</si>
  <si>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</si>
  <si>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</si>
  <si>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</si>
  <si>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</si>
  <si>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</si>
  <si>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</si>
  <si>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</si>
  <si>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</si>
  <si>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</si>
  <si>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</si>
  <si>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</si>
  <si>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</si>
  <si>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</si>
  <si>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</si>
  <si>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</si>
  <si>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</si>
  <si>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</si>
  <si>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</si>
  <si>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</si>
  <si>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</si>
  <si>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</si>
  <si>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</si>
  <si>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</si>
  <si>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</si>
  <si>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</si>
  <si>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</si>
  <si>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</si>
  <si>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</si>
  <si>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</si>
  <si>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</si>
  <si>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</si>
  <si>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</si>
  <si>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</si>
  <si>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</si>
  <si>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</si>
  <si>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</si>
  <si>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</si>
  <si>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</si>
  <si>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</si>
  <si>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</si>
  <si>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</si>
  <si>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</si>
  <si>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</si>
  <si>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</si>
  <si>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</si>
  <si>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</si>
  <si>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</si>
  <si>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</si>
  <si>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</si>
  <si>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</si>
  <si>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</si>
  <si>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</si>
  <si>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</si>
  <si>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</si>
  <si>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</si>
  <si>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</si>
  <si>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</si>
  <si>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</si>
  <si>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</si>
  <si>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</si>
  <si>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</si>
  <si>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</si>
  <si>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</si>
  <si>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</si>
  <si>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</si>
  <si>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</si>
  <si>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</si>
  <si>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</si>
  <si>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</si>
  <si>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</si>
  <si>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</si>
  <si>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</si>
  <si>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</si>
  <si>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</si>
  <si>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</si>
  <si>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</si>
  <si>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</si>
  <si>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</si>
  <si>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</si>
  <si>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</si>
  <si>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</si>
  <si>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</si>
  <si>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</si>
  <si>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</si>
  <si>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</si>
  <si>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</si>
  <si>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</si>
  <si>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</si>
  <si>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</si>
  <si>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</si>
  <si>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</si>
  <si>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</si>
  <si>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</si>
  <si>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</si>
  <si>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</si>
  <si>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</si>
  <si>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</si>
  <si>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</si>
  <si>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</si>
  <si>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</si>
  <si>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</si>
  <si>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</si>
  <si>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</si>
  <si>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</si>
  <si>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</si>
  <si>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</si>
  <si>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</si>
  <si>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</si>
  <si>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</si>
  <si>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</si>
  <si>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</si>
  <si>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</si>
  <si>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</si>
  <si>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</si>
  <si>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</si>
  <si>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</si>
  <si>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</si>
  <si>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</si>
  <si>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</si>
  <si>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</si>
  <si>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</si>
  <si>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</si>
  <si>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</si>
  <si>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</si>
  <si>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</si>
  <si>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</si>
  <si>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</si>
  <si>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</si>
  <si>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</si>
  <si>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</si>
  <si>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</si>
  <si>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</si>
  <si>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</si>
  <si>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</si>
  <si>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</si>
  <si>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</si>
  <si>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</si>
  <si>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</si>
  <si>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</si>
  <si>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</si>
  <si>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</si>
  <si>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</si>
  <si>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</si>
  <si>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</si>
  <si>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</si>
  <si>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</si>
  <si>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</si>
  <si>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</si>
  <si>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</si>
  <si>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</si>
  <si>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</si>
  <si>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</si>
  <si>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</si>
  <si>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</si>
  <si>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</si>
  <si>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</si>
  <si>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</si>
  <si>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</si>
  <si>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</si>
  <si>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</si>
  <si>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</si>
  <si>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</si>
  <si>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</si>
  <si>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</si>
  <si>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</si>
  <si>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</si>
  <si>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</si>
  <si>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</si>
  <si>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</si>
  <si>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</si>
  <si>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</si>
  <si>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</si>
  <si>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</si>
  <si>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</si>
  <si>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</si>
  <si>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</si>
  <si>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</si>
  <si>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</si>
  <si>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</si>
  <si>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</si>
  <si>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</si>
  <si>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</si>
  <si>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</si>
  <si>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</si>
  <si>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</si>
  <si>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</si>
  <si>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</si>
  <si>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</si>
  <si>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</si>
  <si>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</si>
  <si>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</si>
  <si>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</si>
  <si>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</si>
  <si>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</si>
  <si>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</si>
  <si>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</si>
  <si>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</si>
  <si>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</si>
  <si>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</si>
  <si>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</si>
  <si>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</si>
  <si>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</si>
  <si>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</si>
  <si>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</si>
  <si>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</si>
  <si>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</si>
  <si>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</si>
  <si>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</si>
  <si>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</si>
  <si>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</si>
  <si>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</si>
  <si>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</si>
  <si>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</si>
  <si>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</si>
  <si>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</si>
  <si>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</si>
  <si>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</si>
  <si>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</si>
  <si>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</si>
  <si>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</si>
  <si>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</si>
  <si>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</si>
  <si>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</si>
  <si>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</si>
  <si>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</si>
  <si>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</si>
  <si>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</si>
  <si>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</si>
  <si>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</si>
  <si>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</si>
  <si>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</si>
  <si>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</si>
  <si>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</si>
  <si>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</si>
  <si>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</si>
  <si>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</si>
  <si>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</si>
  <si>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</si>
  <si>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</si>
  <si>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</si>
  <si>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</si>
  <si>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</si>
  <si>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</si>
  <si>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</si>
  <si>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</si>
  <si>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</si>
  <si>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</si>
  <si>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</si>
  <si>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</si>
  <si>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</si>
  <si>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</si>
  <si>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</si>
  <si>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</si>
  <si>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</si>
  <si>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</si>
  <si>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</si>
  <si>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</si>
  <si>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</si>
  <si>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</si>
  <si>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</si>
  <si>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</si>
  <si>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</si>
  <si>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</si>
  <si>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</si>
  <si>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</si>
  <si>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</si>
  <si>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</si>
  <si>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</si>
  <si>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</si>
  <si>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</si>
  <si>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</si>
  <si>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</si>
  <si>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</si>
  <si>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</si>
  <si>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</si>
  <si>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</si>
  <si>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</si>
  <si>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</si>
  <si>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</si>
  <si>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</si>
  <si>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</si>
  <si>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</si>
  <si>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</si>
  <si>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</si>
  <si>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</si>
  <si>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</si>
  <si>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</si>
  <si>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</si>
  <si>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</si>
  <si>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</si>
  <si>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</si>
  <si>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</si>
  <si>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</si>
  <si>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</si>
  <si>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</si>
  <si>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</si>
  <si>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</si>
  <si>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</si>
  <si>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</si>
  <si>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</si>
  <si>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</si>
  <si>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</si>
  <si>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</si>
  <si>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</si>
  <si>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</si>
  <si>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</si>
  <si>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</si>
  <si>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</si>
  <si>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</si>
  <si>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</si>
  <si>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</si>
  <si>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</si>
  <si>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</si>
  <si>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</si>
  <si>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</si>
  <si>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</si>
  <si>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</si>
  <si>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</si>
  <si>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</si>
  <si>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</si>
  <si>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</si>
  <si>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</si>
  <si>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</si>
  <si>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</si>
  <si>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</si>
  <si>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</si>
  <si>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</si>
  <si>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</si>
  <si>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</si>
  <si>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</si>
  <si>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</si>
  <si>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</si>
  <si>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</si>
  <si>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</si>
  <si>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</si>
  <si>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</si>
  <si>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</si>
  <si>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</si>
  <si>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</si>
  <si>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</si>
  <si>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</si>
  <si>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</si>
  <si>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</si>
  <si>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</si>
  <si>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</si>
  <si>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</si>
  <si>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</si>
  <si>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</si>
  <si>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</si>
  <si>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</si>
  <si>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</si>
  <si>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</si>
  <si>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</si>
  <si>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</si>
  <si>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</si>
  <si>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</si>
  <si>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</si>
  <si>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</si>
  <si>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</si>
  <si>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</si>
  <si>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</si>
  <si>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</si>
  <si>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</si>
  <si>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</si>
  <si>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</si>
  <si>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</si>
  <si>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</si>
  <si>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</si>
  <si>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</si>
  <si>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</si>
  <si>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</si>
  <si>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</si>
  <si>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</si>
  <si>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</si>
  <si>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</si>
  <si>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</si>
  <si>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</si>
  <si>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</si>
  <si>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</si>
  <si>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</si>
  <si>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</si>
  <si>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</si>
  <si>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</si>
  <si>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</si>
  <si>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</si>
  <si>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</si>
  <si>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</si>
  <si>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</si>
  <si>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</si>
  <si>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</si>
  <si>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</si>
  <si>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</si>
  <si>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</si>
  <si>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</si>
  <si>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</si>
  <si>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</si>
  <si>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</si>
  <si>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</si>
  <si>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</si>
  <si>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</si>
  <si>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</si>
  <si>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</si>
  <si>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</si>
  <si>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</si>
  <si>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</si>
  <si>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</si>
  <si>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</si>
  <si>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</si>
  <si>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</si>
  <si>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</si>
  <si>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</si>
  <si>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</si>
  <si>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</si>
  <si>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</si>
  <si>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</si>
  <si>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</si>
  <si>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</si>
  <si>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</si>
  <si>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</si>
  <si>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</si>
  <si>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</si>
  <si>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</si>
  <si>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</si>
  <si>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</si>
  <si>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</si>
  <si>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</si>
  <si>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</si>
  <si>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</si>
  <si>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</si>
  <si>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</si>
  <si>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</si>
  <si>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</si>
  <si>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</si>
  <si>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</si>
  <si>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</si>
  <si>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</si>
  <si>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</si>
  <si>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</si>
  <si>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</si>
  <si>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</si>
  <si>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</si>
  <si>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</si>
  <si>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</si>
  <si>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</si>
  <si>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</si>
  <si>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</si>
  <si>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</si>
  <si>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</si>
  <si>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</si>
  <si>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</si>
  <si>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</si>
  <si>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</si>
  <si>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</si>
  <si>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</si>
  <si>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</si>
  <si>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</si>
  <si>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</si>
  <si>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</si>
  <si>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</si>
  <si>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</si>
  <si>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</si>
  <si>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</si>
  <si>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</si>
  <si>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</si>
  <si>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</si>
  <si>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</si>
  <si>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</si>
  <si>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</si>
  <si>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</si>
  <si>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</si>
  <si>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</si>
  <si>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</si>
  <si>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</si>
  <si>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</si>
  <si>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</si>
  <si>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</si>
  <si>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</si>
  <si>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</si>
  <si>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</si>
  <si>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</si>
  <si>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</si>
  <si>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</si>
  <si>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</si>
  <si>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</si>
  <si>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</si>
  <si>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</si>
  <si>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</si>
  <si>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</si>
  <si>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</si>
  <si>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</si>
  <si>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</si>
  <si>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</si>
  <si>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</si>
  <si>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</si>
  <si>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</si>
  <si>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</si>
  <si>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</si>
  <si>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</si>
  <si>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</si>
  <si>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</si>
  <si>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</si>
  <si>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</si>
  <si>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</si>
  <si>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</si>
  <si>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</si>
  <si>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</si>
  <si>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</si>
  <si>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</si>
  <si>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</si>
  <si>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</si>
  <si>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</si>
  <si>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</si>
  <si>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</si>
  <si>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</si>
  <si>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</si>
  <si>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</si>
  <si>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</si>
  <si>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</si>
  <si>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</si>
  <si>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</si>
  <si>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</si>
  <si>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</si>
  <si>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</si>
  <si>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</si>
  <si>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</si>
  <si>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</si>
  <si>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</si>
  <si>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</si>
  <si>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</si>
  <si>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</si>
  <si>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</si>
  <si>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</si>
  <si>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</si>
  <si>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</si>
  <si>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</si>
  <si>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</si>
  <si>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</si>
  <si>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</si>
  <si>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</si>
  <si>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</si>
  <si>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</si>
  <si>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</si>
  <si>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</si>
  <si>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</si>
  <si>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</si>
  <si>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</si>
  <si>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</si>
  <si>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</si>
  <si>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</si>
  <si>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</si>
  <si>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</si>
  <si>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</si>
  <si>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</si>
  <si>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</si>
  <si>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</si>
  <si>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</si>
  <si>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</si>
  <si>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</si>
  <si>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</si>
  <si>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</si>
  <si>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</si>
  <si>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</si>
  <si>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</si>
  <si>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</si>
  <si>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</si>
  <si>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</si>
  <si>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</si>
  <si>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</si>
  <si>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</si>
  <si>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</si>
  <si>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</si>
  <si>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</si>
  <si>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</si>
  <si>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</si>
  <si>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</si>
  <si>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</si>
  <si>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</si>
  <si>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</si>
  <si>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</si>
  <si>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</si>
  <si>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</si>
  <si>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</si>
  <si>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</si>
  <si>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</si>
  <si>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</si>
  <si>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</si>
  <si>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</si>
  <si>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</si>
  <si>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</si>
  <si>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</si>
  <si>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</si>
  <si>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</si>
  <si>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</si>
  <si>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</si>
  <si>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</si>
  <si>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</si>
  <si>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</si>
  <si>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</si>
  <si>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</si>
  <si>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</si>
  <si>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</si>
  <si>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</si>
  <si>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</si>
  <si>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</si>
  <si>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</si>
  <si>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</si>
  <si>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</si>
  <si>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</si>
  <si>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</si>
  <si>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</si>
  <si>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</si>
  <si>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</si>
  <si>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</si>
  <si>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</si>
  <si>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</si>
  <si>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</si>
  <si>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</si>
  <si>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</si>
  <si>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</si>
  <si>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</si>
  <si>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</si>
  <si>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</si>
  <si>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</si>
  <si>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</si>
  <si>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</si>
  <si>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</si>
  <si>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</si>
  <si>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</si>
  <si>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</si>
  <si>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</si>
  <si>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</si>
  <si>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</si>
  <si>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</si>
  <si>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</si>
  <si>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</si>
  <si>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</si>
  <si>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</si>
  <si>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</si>
  <si>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</si>
  <si>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</si>
  <si>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</si>
  <si>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</si>
  <si>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</si>
  <si>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</si>
  <si>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</si>
  <si>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</si>
  <si>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</si>
  <si>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</si>
  <si>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</si>
  <si>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</si>
  <si>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</si>
  <si>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</si>
  <si>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</si>
  <si>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</si>
  <si>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</si>
  <si>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</si>
  <si>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</si>
  <si>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</si>
  <si>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</si>
  <si>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</si>
  <si>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</si>
  <si>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</si>
  <si>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</si>
  <si>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</si>
  <si>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</si>
  <si>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</si>
  <si>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</si>
  <si>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</si>
  <si>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</si>
  <si>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</si>
  <si>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</si>
  <si>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</si>
  <si>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</si>
  <si>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</si>
  <si>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</si>
  <si>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</si>
  <si>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</si>
  <si>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</si>
  <si>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</si>
  <si>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</si>
  <si>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</si>
  <si>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</si>
  <si>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</si>
  <si>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</si>
  <si>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</si>
  <si>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</si>
  <si>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</si>
  <si>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</si>
  <si>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</si>
  <si>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</si>
  <si>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</si>
  <si>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</si>
  <si>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</si>
  <si>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</si>
  <si>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</si>
  <si>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</si>
  <si>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</si>
  <si>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</si>
  <si>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</si>
  <si>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</si>
  <si>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</si>
  <si>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</si>
  <si>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</si>
  <si>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</si>
  <si>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</si>
  <si>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</si>
  <si>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</si>
  <si>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</si>
  <si>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</si>
  <si>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</si>
  <si>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</si>
  <si>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</si>
  <si>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</si>
  <si>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</si>
  <si>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</si>
  <si>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</si>
  <si>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</si>
  <si>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</si>
  <si>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</si>
  <si>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</si>
  <si>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</si>
  <si>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</si>
  <si>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</si>
  <si>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</si>
  <si>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</si>
  <si>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</si>
  <si>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</si>
  <si>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</si>
  <si>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</si>
  <si>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</si>
  <si>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</si>
  <si>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</si>
  <si>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</si>
  <si>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</si>
  <si>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</si>
  <si>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</si>
  <si>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</si>
  <si>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</si>
  <si>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</si>
  <si>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</si>
  <si>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</si>
  <si>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</si>
  <si>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</si>
  <si>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</si>
  <si>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</si>
  <si>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</si>
  <si>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</si>
  <si>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</si>
  <si>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</si>
  <si>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</si>
  <si>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</si>
  <si>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</si>
  <si>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</si>
  <si>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</si>
  <si>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</si>
  <si>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</si>
  <si>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</si>
  <si>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</si>
  <si>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</si>
  <si>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</si>
  <si>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</si>
  <si>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</si>
  <si>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</si>
  <si>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</si>
  <si>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</si>
  <si>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</si>
  <si>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</si>
  <si>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</si>
  <si>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</si>
  <si>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</si>
  <si>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</si>
  <si>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</si>
  <si>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</si>
  <si>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</si>
  <si>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</si>
  <si>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</si>
  <si>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</si>
  <si>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</si>
  <si>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</si>
  <si>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</si>
  <si>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</si>
  <si>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</si>
  <si>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</si>
  <si>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</si>
  <si>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</si>
  <si>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</si>
  <si>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</si>
  <si>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</si>
  <si>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</si>
  <si>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</si>
  <si>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</si>
  <si>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</si>
  <si>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</si>
  <si>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</si>
  <si>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</si>
  <si>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</si>
  <si>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</si>
  <si>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</si>
  <si>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</si>
  <si>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</si>
  <si>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</si>
  <si>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</si>
  <si>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</si>
  <si>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</si>
  <si>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</si>
  <si>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</si>
  <si>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</si>
  <si>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</si>
  <si>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</si>
  <si>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</si>
  <si>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</si>
  <si>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</si>
  <si>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</si>
  <si>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</si>
  <si>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</si>
  <si>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</si>
  <si>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</si>
  <si>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</si>
  <si>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</si>
  <si>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</si>
  <si>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</si>
  <si>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</si>
  <si>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</si>
  <si>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</si>
  <si>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</si>
  <si>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</si>
  <si>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</si>
  <si>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</si>
  <si>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</si>
  <si>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</si>
  <si>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</si>
  <si>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</si>
  <si>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</si>
  <si>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</si>
  <si>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</si>
  <si>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</si>
  <si>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</si>
  <si>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</si>
  <si>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</si>
  <si>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</si>
  <si>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</si>
  <si>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</si>
  <si>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</si>
  <si>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</si>
  <si>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</si>
  <si>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</si>
  <si>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</si>
  <si>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</si>
  <si>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</si>
  <si>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</si>
  <si>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</si>
  <si>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</si>
  <si>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</si>
  <si>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</si>
  <si>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</si>
  <si>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</si>
  <si>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</si>
  <si>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</si>
  <si>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</si>
  <si>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</si>
  <si>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</si>
  <si>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</si>
  <si>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</si>
  <si>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</si>
  <si>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</si>
  <si>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</si>
  <si>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</si>
  <si>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</si>
  <si>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</si>
  <si>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</si>
  <si>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</si>
  <si>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</si>
  <si>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</si>
  <si>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</si>
  <si>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</si>
  <si>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</si>
  <si>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</si>
  <si>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</si>
  <si>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</si>
  <si>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</si>
  <si>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</si>
  <si>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</si>
  <si>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</si>
  <si>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</si>
  <si>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</si>
  <si>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</si>
  <si>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</si>
  <si>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</si>
  <si>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</si>
  <si>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</si>
  <si>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</si>
  <si>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</si>
  <si>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</si>
  <si>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</si>
  <si>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</si>
  <si>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</si>
  <si>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</si>
  <si>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</si>
  <si>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</si>
  <si>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</si>
  <si>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</si>
  <si>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</si>
  <si>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</si>
  <si>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</si>
  <si>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</si>
  <si>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</si>
  <si>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</si>
  <si>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</si>
  <si>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</si>
  <si>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</si>
  <si>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</si>
  <si>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</si>
  <si>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</si>
  <si>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</si>
  <si>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</si>
  <si>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</si>
  <si>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</si>
  <si>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</si>
  <si>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</si>
  <si>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</si>
  <si>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</si>
  <si>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</si>
  <si>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</si>
  <si>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</si>
  <si>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</si>
  <si>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</si>
  <si>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</si>
  <si>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</si>
  <si>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</si>
  <si>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</si>
  <si>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</si>
  <si>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</si>
  <si>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</si>
  <si>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</si>
  <si>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</si>
  <si>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</si>
  <si>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</si>
  <si>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</si>
  <si>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</si>
  <si>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</si>
  <si>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</si>
  <si>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</si>
  <si>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</si>
  <si>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</si>
  <si>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</si>
  <si>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</si>
  <si>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</si>
  <si>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</si>
  <si>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</si>
  <si>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</si>
  <si>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</si>
  <si>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</si>
  <si>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</si>
  <si>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</si>
  <si>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</si>
  <si>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</si>
  <si>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</si>
  <si>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</si>
  <si>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</si>
  <si>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</si>
  <si>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</si>
  <si>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</si>
  <si>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</si>
  <si>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</si>
  <si>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</si>
  <si>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</si>
  <si>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</si>
  <si>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</si>
  <si>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</si>
  <si>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</si>
  <si>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</si>
  <si>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</si>
  <si>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</si>
  <si>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</si>
  <si>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</si>
  <si>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</si>
  <si>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</si>
  <si>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</si>
  <si>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</si>
  <si>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</si>
  <si>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</si>
  <si>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</si>
  <si>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</si>
  <si>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</si>
  <si>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</si>
  <si>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</si>
  <si>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</si>
  <si>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</si>
  <si>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</si>
  <si>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</si>
  <si>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</si>
  <si>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</si>
  <si>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</si>
  <si>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</si>
  <si>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</si>
  <si>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</si>
  <si>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</si>
  <si>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</si>
  <si>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</si>
  <si>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</si>
  <si>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</si>
  <si>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</si>
  <si>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</si>
  <si>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</si>
  <si>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</si>
  <si>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</si>
  <si>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</si>
  <si>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</si>
  <si>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</si>
  <si>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</si>
  <si>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</si>
  <si>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</si>
  <si>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</si>
  <si>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</si>
  <si>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</si>
  <si>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</si>
  <si>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</si>
  <si>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</si>
  <si>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</si>
  <si>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</si>
  <si>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</si>
  <si>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</si>
  <si>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</si>
  <si>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</si>
  <si>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</si>
  <si>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</si>
  <si>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</si>
  <si>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</si>
  <si>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</si>
  <si>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</si>
  <si>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</si>
  <si>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</si>
  <si>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</si>
  <si>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</si>
  <si>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</si>
  <si>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</si>
  <si>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</si>
  <si>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</si>
  <si>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</si>
  <si>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</si>
  <si>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</si>
  <si>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</si>
  <si>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</si>
  <si>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</si>
  <si>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</si>
  <si>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</si>
  <si>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</si>
  <si>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</si>
  <si>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</si>
  <si>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</si>
  <si>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</si>
  <si>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</si>
  <si>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</si>
  <si>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</si>
  <si>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</si>
  <si>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</si>
  <si>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</si>
  <si>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</si>
  <si>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</si>
  <si>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</si>
  <si>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</si>
  <si>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</si>
  <si>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</si>
  <si>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</si>
  <si>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</si>
  <si>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</si>
  <si>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</si>
  <si>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</si>
  <si>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</si>
  <si>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</si>
  <si>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</si>
  <si>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</si>
  <si>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</si>
  <si>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</si>
  <si>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</si>
  <si>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</si>
  <si>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</si>
  <si>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</si>
  <si>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</si>
  <si>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</si>
  <si>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</si>
  <si>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</si>
  <si>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</si>
  <si>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</si>
  <si>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</si>
  <si>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</si>
  <si>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</si>
  <si>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</si>
  <si>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</si>
  <si>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</si>
  <si>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</si>
  <si>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</si>
  <si>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</si>
  <si>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</si>
  <si>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</si>
  <si>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</si>
  <si>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</si>
  <si>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</si>
  <si>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</si>
  <si>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</si>
  <si>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</si>
  <si>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</si>
  <si>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</si>
  <si>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</si>
  <si>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</si>
  <si>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</si>
  <si>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</si>
  <si>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</si>
  <si>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</si>
  <si>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</si>
  <si>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</si>
  <si>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</si>
  <si>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</si>
  <si>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</si>
  <si>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</si>
  <si>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</si>
  <si>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</si>
  <si>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</si>
  <si>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</si>
  <si>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</si>
  <si>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</si>
  <si>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</si>
  <si>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</si>
  <si>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</si>
  <si>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</si>
  <si>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</si>
  <si>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</si>
  <si>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</si>
  <si>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</si>
  <si>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</si>
  <si>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</si>
  <si>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</si>
  <si>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</si>
  <si>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</si>
  <si>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</si>
  <si>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</si>
  <si>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</si>
  <si>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</si>
  <si>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</si>
  <si>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</si>
  <si>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</si>
  <si>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</si>
  <si>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</si>
  <si>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</si>
  <si>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</si>
  <si>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</si>
  <si>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</si>
  <si>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</si>
  <si>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</si>
  <si>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</si>
  <si>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</si>
  <si>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</si>
  <si>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</si>
  <si>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</si>
  <si>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</si>
  <si>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</si>
  <si>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</si>
  <si>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</si>
  <si>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</si>
  <si>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</si>
  <si>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</si>
  <si>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</si>
  <si>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</si>
  <si>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</si>
  <si>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</si>
  <si>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</si>
  <si>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</si>
  <si>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</si>
  <si>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</si>
  <si>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</si>
  <si>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</si>
  <si>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</si>
  <si>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</si>
  <si>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</si>
  <si>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</si>
  <si>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</si>
  <si>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</si>
  <si>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</si>
  <si>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</si>
  <si>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</si>
  <si>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</si>
  <si>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</si>
  <si>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</si>
  <si>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</si>
  <si>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</si>
  <si>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</si>
  <si>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</si>
  <si>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</si>
  <si>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</si>
  <si>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</si>
  <si>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</si>
  <si>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</si>
  <si>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</si>
  <si>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</si>
  <si>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</si>
  <si>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</si>
  <si>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</si>
  <si>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</si>
  <si>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</si>
  <si>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</si>
  <si>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</si>
  <si>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</si>
  <si>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</si>
  <si>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</si>
  <si>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</si>
  <si>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</si>
  <si>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</si>
  <si>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</si>
  <si>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</si>
  <si>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</si>
  <si>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</si>
  <si>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</si>
  <si>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</si>
  <si>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</si>
  <si>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</si>
  <si>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</si>
  <si>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</si>
  <si>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</si>
  <si>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</si>
  <si>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</si>
  <si>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</si>
  <si>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</si>
  <si>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</si>
  <si>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</si>
  <si>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</si>
  <si>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</si>
  <si>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</si>
  <si>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</si>
  <si>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</si>
  <si>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</si>
  <si>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</si>
  <si>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</si>
  <si>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</si>
  <si>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</si>
  <si>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</si>
  <si>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</si>
  <si>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</si>
  <si>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</si>
  <si>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</si>
  <si>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</si>
  <si>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</si>
  <si>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</si>
  <si>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</si>
  <si>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</si>
  <si>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</si>
  <si>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</si>
  <si>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</si>
  <si>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</si>
  <si>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</si>
  <si>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</si>
  <si>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</si>
  <si>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</si>
  <si>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</si>
  <si>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</si>
  <si>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</si>
  <si>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</si>
  <si>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</si>
  <si>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</si>
  <si>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</si>
  <si>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</si>
  <si>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</si>
  <si>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</si>
  <si>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</si>
  <si>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</si>
  <si>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</si>
  <si>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</si>
  <si>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</si>
  <si>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</si>
  <si>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</si>
  <si>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</si>
  <si>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</si>
  <si>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</si>
  <si>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</si>
  <si>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</si>
  <si>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</si>
  <si>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</si>
  <si>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</si>
  <si>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</si>
  <si>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</si>
  <si>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</si>
  <si>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</si>
  <si>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</si>
  <si>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</si>
  <si>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</si>
  <si>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</si>
  <si>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</si>
  <si>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</si>
  <si>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</si>
  <si>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</si>
  <si>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</si>
  <si>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</si>
  <si>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</si>
  <si>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</si>
  <si>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</si>
  <si>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</si>
  <si>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</si>
  <si>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</si>
  <si>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</si>
  <si>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</si>
  <si>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</si>
  <si>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</si>
  <si>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</si>
  <si>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</si>
  <si>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</si>
  <si>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</si>
  <si>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</si>
  <si>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</si>
  <si>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</si>
  <si>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</si>
  <si>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</si>
  <si>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</si>
  <si>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</si>
  <si>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</si>
  <si>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</si>
  <si>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</si>
  <si>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</si>
  <si>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</si>
  <si>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</si>
  <si>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</si>
  <si>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</si>
  <si>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</si>
  <si>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</si>
  <si>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</si>
  <si>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</si>
  <si>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</si>
  <si>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</si>
  <si>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</si>
  <si>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</si>
  <si>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</si>
  <si>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</si>
  <si>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</si>
  <si>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</si>
  <si>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</si>
  <si>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</si>
  <si>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</si>
  <si>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</si>
  <si>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</si>
  <si>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</si>
  <si>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</si>
  <si>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</si>
  <si>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</si>
  <si>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</si>
  <si>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</si>
  <si>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</si>
  <si>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</si>
  <si>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</si>
  <si>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</si>
  <si>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</si>
  <si>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</si>
  <si>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</si>
  <si>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</si>
  <si>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</si>
  <si>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</si>
  <si>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</si>
  <si>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</si>
  <si>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</si>
  <si>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</si>
  <si>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</si>
  <si>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</si>
  <si>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</si>
  <si>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</si>
  <si>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</si>
  <si>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</si>
  <si>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</si>
  <si>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</si>
  <si>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</si>
  <si>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</si>
  <si>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</si>
  <si>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</si>
  <si>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</si>
  <si>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</si>
  <si>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</si>
  <si>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</si>
  <si>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</si>
  <si>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</si>
  <si>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</si>
  <si>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</si>
  <si>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</si>
  <si>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</si>
  <si>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</si>
  <si>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</si>
  <si>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</si>
  <si>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</si>
  <si>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</si>
  <si>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</si>
  <si>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</si>
  <si>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</si>
  <si>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</si>
  <si>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</si>
  <si>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</si>
  <si>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</si>
  <si>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</si>
  <si>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</si>
  <si>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</si>
  <si>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</si>
  <si>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</si>
  <si>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</si>
  <si>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</si>
  <si>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</si>
  <si>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</si>
  <si>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</si>
  <si>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</si>
  <si>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</si>
  <si>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</si>
  <si>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</si>
  <si>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</si>
  <si>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</si>
  <si>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</si>
  <si>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</si>
  <si>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</si>
  <si>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</si>
  <si>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</si>
  <si>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</si>
  <si>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</si>
  <si>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</si>
  <si>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</si>
  <si>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</si>
  <si>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</si>
  <si>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</si>
  <si>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</si>
  <si>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</si>
  <si>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</si>
  <si>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</si>
  <si>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</si>
  <si>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</si>
  <si>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</si>
  <si>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</si>
  <si>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</si>
  <si>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</si>
  <si>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</si>
  <si>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</si>
  <si>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</si>
  <si>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</si>
  <si>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</si>
  <si>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</si>
  <si>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</si>
  <si>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</si>
  <si>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</si>
  <si>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</si>
  <si>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</si>
  <si>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</si>
  <si>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</si>
  <si>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</si>
  <si>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</si>
  <si>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</si>
  <si>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</si>
  <si>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</si>
  <si>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</si>
  <si>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</si>
  <si>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</si>
  <si>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</si>
  <si>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</si>
  <si>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</si>
  <si>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</si>
  <si>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</si>
  <si>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</si>
  <si>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</si>
  <si>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</si>
  <si>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</si>
  <si>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</si>
  <si>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</si>
  <si>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</si>
  <si>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</si>
  <si>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</si>
  <si>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</si>
  <si>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</si>
  <si>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</si>
  <si>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</si>
  <si>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</si>
  <si>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</si>
  <si>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</si>
  <si>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</si>
  <si>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</si>
  <si>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</si>
  <si>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</si>
  <si>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</si>
  <si>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</si>
  <si>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</si>
  <si>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</si>
  <si>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</si>
  <si>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</si>
  <si>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</si>
  <si>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</si>
  <si>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</si>
  <si>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</si>
  <si>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</si>
  <si>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</si>
  <si>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</si>
  <si>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</si>
  <si>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</si>
  <si>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</si>
  <si>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</si>
  <si>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</si>
  <si>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</si>
  <si>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</si>
  <si>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</si>
  <si>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</si>
  <si>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</si>
  <si>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</si>
  <si>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</si>
  <si>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</si>
  <si>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</si>
  <si>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</si>
  <si>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</si>
  <si>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</si>
  <si>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</si>
  <si>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</si>
  <si>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</si>
  <si>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</si>
  <si>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</si>
  <si>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</si>
  <si>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</si>
  <si>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</si>
  <si>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</si>
  <si>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</si>
  <si>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</si>
  <si>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</si>
  <si>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</si>
  <si>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</si>
  <si>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</si>
  <si>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</si>
  <si>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</si>
  <si>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</si>
  <si>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</si>
  <si>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</si>
  <si>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</si>
  <si>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</si>
  <si>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</si>
  <si>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</si>
  <si>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</si>
  <si>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</si>
  <si>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</si>
  <si>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</si>
  <si>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</si>
  <si>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</si>
  <si>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</si>
  <si>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</si>
  <si>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</si>
  <si>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</si>
  <si>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</si>
  <si>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</si>
  <si>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</si>
  <si>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</si>
  <si>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</si>
  <si>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</si>
  <si>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</si>
  <si>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</si>
  <si>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</si>
  <si>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</si>
  <si>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</si>
  <si>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</si>
  <si>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</si>
  <si>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</si>
  <si>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</si>
  <si>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</si>
  <si>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</si>
  <si>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</si>
  <si>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</si>
  <si>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</si>
  <si>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</si>
  <si>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</si>
  <si>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</si>
  <si>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</si>
  <si>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</si>
  <si>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</si>
  <si>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</si>
  <si>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</si>
  <si>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</si>
  <si>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</si>
  <si>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</si>
  <si>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</si>
  <si>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</si>
  <si>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</si>
  <si>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</si>
  <si>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</si>
  <si>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</si>
  <si>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</si>
  <si>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</si>
  <si>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</si>
  <si>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</si>
  <si>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</si>
  <si>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</si>
  <si>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</si>
  <si>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</si>
  <si>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</si>
  <si>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</si>
  <si>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</si>
  <si>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</si>
  <si>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</si>
  <si>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</si>
  <si>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</si>
  <si>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</si>
  <si>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</si>
  <si>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</si>
  <si>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</si>
  <si>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</si>
  <si>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</si>
  <si>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</si>
  <si>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</si>
  <si>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</si>
  <si>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</si>
  <si>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</si>
  <si>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</si>
  <si>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</si>
  <si>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</si>
  <si>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</si>
  <si>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</si>
  <si>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</si>
  <si>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</si>
  <si>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</si>
  <si>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</si>
  <si>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</si>
  <si>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</si>
  <si>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</si>
  <si>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</si>
  <si>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</si>
  <si>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</si>
  <si>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</si>
  <si>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</si>
  <si>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</si>
  <si>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</si>
  <si>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</si>
  <si>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</si>
  <si>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</si>
  <si>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</si>
  <si>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</si>
  <si>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</si>
  <si>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</si>
  <si>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</si>
  <si>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</si>
  <si>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</si>
  <si>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</si>
  <si>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</si>
  <si>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</si>
  <si>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</si>
  <si>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</si>
  <si>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</si>
  <si>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</si>
  <si>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</si>
  <si>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</si>
  <si>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</si>
  <si>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</si>
  <si>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</si>
  <si>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</si>
  <si>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</si>
  <si>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</si>
  <si>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</si>
  <si>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</si>
  <si>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</si>
  <si>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</si>
  <si>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</si>
  <si>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</si>
  <si>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</si>
  <si>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</si>
  <si>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</si>
  <si>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</si>
  <si>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</si>
  <si>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</si>
  <si>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</si>
  <si>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</si>
  <si>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</si>
  <si>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</si>
  <si>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</si>
  <si>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</si>
  <si>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</si>
  <si>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</si>
  <si>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</si>
  <si>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</si>
  <si>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</si>
  <si>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</si>
  <si>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</si>
  <si>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</si>
  <si>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</si>
  <si>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</si>
  <si>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</si>
  <si>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</si>
  <si>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</si>
  <si>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</si>
  <si>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</si>
  <si>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</si>
  <si>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</si>
  <si>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</si>
  <si>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</si>
  <si>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</si>
  <si>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</si>
  <si>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</si>
  <si>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</si>
  <si>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</si>
  <si>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</si>
  <si>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</si>
  <si>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</si>
  <si>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</si>
  <si>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</si>
  <si>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</si>
  <si>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</si>
  <si>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</si>
  <si>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</si>
  <si>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</si>
  <si>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</si>
  <si>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</si>
  <si>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</si>
  <si>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</si>
  <si>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</si>
  <si>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</si>
  <si>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</si>
  <si>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</si>
  <si>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</si>
  <si>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</si>
  <si>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</si>
  <si>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</si>
  <si>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</si>
  <si>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</si>
  <si>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</si>
  <si>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</si>
  <si>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</si>
  <si>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</si>
  <si>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</si>
  <si>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</si>
  <si>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</si>
  <si>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</si>
  <si>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</si>
  <si>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</si>
  <si>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</si>
  <si>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</si>
  <si>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</si>
  <si>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</si>
  <si>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</si>
  <si>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</si>
  <si>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</si>
  <si>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</si>
  <si>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</si>
  <si>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</si>
  <si>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</si>
  <si>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</si>
  <si>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</si>
  <si>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</si>
  <si>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</si>
  <si>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</si>
  <si>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</si>
  <si>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</si>
  <si>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</si>
  <si>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</si>
  <si>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</si>
  <si>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</si>
  <si>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</si>
  <si>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</si>
  <si>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</si>
  <si>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</si>
  <si>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</si>
  <si>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</si>
  <si>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</si>
  <si>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</si>
  <si>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</si>
  <si>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</si>
  <si>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</si>
  <si>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</si>
  <si>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</si>
  <si>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</si>
  <si>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</si>
  <si>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</si>
  <si>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</si>
  <si>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</si>
  <si>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</si>
  <si>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</si>
  <si>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</si>
  <si>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</si>
  <si>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</si>
  <si>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</si>
  <si>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</si>
  <si>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</si>
  <si>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</si>
  <si>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</si>
  <si>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</si>
  <si>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</si>
  <si>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</si>
  <si>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</si>
  <si>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</si>
  <si>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</si>
  <si>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</si>
  <si>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</si>
  <si>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</si>
  <si>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</si>
  <si>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</si>
  <si>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</si>
  <si>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</si>
  <si>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</si>
  <si>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</si>
  <si>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</si>
  <si>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</si>
  <si>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</si>
  <si>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</si>
  <si>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</si>
  <si>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</si>
  <si>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</si>
  <si>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</si>
  <si>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</si>
  <si>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</si>
  <si>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</si>
  <si>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</si>
  <si>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</si>
  <si>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</si>
  <si>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</si>
  <si>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</si>
  <si>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</si>
  <si>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</si>
  <si>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</si>
  <si>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</si>
  <si>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</si>
  <si>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</si>
  <si>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</si>
  <si>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</si>
  <si>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</si>
  <si>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</si>
  <si>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</si>
  <si>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</si>
  <si>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</si>
  <si>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</si>
  <si>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</si>
  <si>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</si>
  <si>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</si>
  <si>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</si>
  <si>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</si>
  <si>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</si>
  <si>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</si>
  <si>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</si>
  <si>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</si>
  <si>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</si>
  <si>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</si>
  <si>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</si>
  <si>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</si>
  <si>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</si>
  <si>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</si>
  <si>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</si>
  <si>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</si>
  <si>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</si>
  <si>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</si>
  <si>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</si>
  <si>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</si>
  <si>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</si>
  <si>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</si>
  <si>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</si>
  <si>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</si>
  <si>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</si>
  <si>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</si>
  <si>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</si>
  <si>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</si>
  <si>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</si>
  <si>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</si>
  <si>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</si>
  <si>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</si>
  <si>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</si>
  <si>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</si>
  <si>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</si>
  <si>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</si>
  <si>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</si>
  <si>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</si>
  <si>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</si>
  <si>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</si>
  <si>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</si>
  <si>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</si>
  <si>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</si>
  <si>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</si>
  <si>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</si>
  <si>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</si>
  <si>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</si>
  <si>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</si>
  <si>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</si>
  <si>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</si>
  <si>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</si>
  <si>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</si>
  <si>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</si>
  <si>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</si>
  <si>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</si>
  <si>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</si>
  <si>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</si>
  <si>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</si>
  <si>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</si>
  <si>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</si>
  <si>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</si>
  <si>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</si>
  <si>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</si>
  <si>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</si>
  <si>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</si>
  <si>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</si>
  <si>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</si>
  <si>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</si>
  <si>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</si>
  <si>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</si>
  <si>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</si>
  <si>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</si>
  <si>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</si>
  <si>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</si>
  <si>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</si>
  <si>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</si>
  <si>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</si>
  <si>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</si>
  <si>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</si>
  <si>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</si>
  <si>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</si>
  <si>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</si>
  <si>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</si>
  <si>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</si>
  <si>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</si>
  <si>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</si>
  <si>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</si>
  <si>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</si>
  <si>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</si>
  <si>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</si>
  <si>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</si>
  <si>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</si>
  <si>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</si>
  <si>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</si>
  <si>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</si>
  <si>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</si>
  <si>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</si>
  <si>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</si>
  <si>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</si>
  <si>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</si>
  <si>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</si>
  <si>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</si>
  <si>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</si>
  <si>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</si>
  <si>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</si>
  <si>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</si>
  <si>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</si>
  <si>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</si>
  <si>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</si>
  <si>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</si>
  <si>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</si>
  <si>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</si>
  <si>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</si>
  <si>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</si>
  <si>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</si>
  <si>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</si>
  <si>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</si>
  <si>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</si>
  <si>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</si>
  <si>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</si>
  <si>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</si>
  <si>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</si>
  <si>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</si>
  <si>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</si>
  <si>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</si>
  <si>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</si>
  <si>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</si>
  <si>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</si>
  <si>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</si>
  <si>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</si>
  <si>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</si>
  <si>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</si>
  <si>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</si>
  <si>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</si>
  <si>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</si>
  <si>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</si>
  <si>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</si>
  <si>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</si>
  <si>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</si>
  <si>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</si>
  <si>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</si>
  <si>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</si>
  <si>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</si>
  <si>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</si>
  <si>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</si>
  <si>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</si>
  <si>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</si>
  <si>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</si>
  <si>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</si>
  <si>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</si>
  <si>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</si>
  <si>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</si>
  <si>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</si>
  <si>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</si>
  <si>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</si>
  <si>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</si>
  <si>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</si>
  <si>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</si>
  <si>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</si>
  <si>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</si>
  <si>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</si>
  <si>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</si>
  <si>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</si>
  <si>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</si>
  <si>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</si>
  <si>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</si>
  <si>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</si>
  <si>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</si>
  <si>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</si>
  <si>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</si>
  <si>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</si>
  <si>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</si>
  <si>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</si>
  <si>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</si>
  <si>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</si>
  <si>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</si>
  <si>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</si>
  <si>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</si>
  <si>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</si>
  <si>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</si>
  <si>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</si>
  <si>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</si>
  <si>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</si>
  <si>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</si>
  <si>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</si>
  <si>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</si>
  <si>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</si>
  <si>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</si>
  <si>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</si>
  <si>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</si>
  <si>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</si>
  <si>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</si>
  <si>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</si>
  <si>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</si>
  <si>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</si>
  <si>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</si>
  <si>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</si>
  <si>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</si>
  <si>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</si>
  <si>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</si>
  <si>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</si>
  <si>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</si>
  <si>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</si>
  <si>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</si>
  <si>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</si>
  <si>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</si>
  <si>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</si>
  <si>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</si>
  <si>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</si>
  <si>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</si>
  <si>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</si>
  <si>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</si>
  <si>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</si>
  <si>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</si>
  <si>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</si>
  <si>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</si>
  <si>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</si>
  <si>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</si>
  <si>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</si>
  <si>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</si>
  <si>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</si>
  <si>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</si>
  <si>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</si>
  <si>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</si>
  <si>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</si>
  <si>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</si>
  <si>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</si>
  <si>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</si>
  <si>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</si>
  <si>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</si>
  <si>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</si>
  <si>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</si>
  <si>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</si>
  <si>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</si>
  <si>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</si>
  <si>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</si>
  <si>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</si>
  <si>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</si>
  <si>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</si>
  <si>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</si>
  <si>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</si>
  <si>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</si>
  <si>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</si>
  <si>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</si>
  <si>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</si>
  <si>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</si>
  <si>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</si>
  <si>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</si>
  <si>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</si>
  <si>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</si>
  <si>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</si>
  <si>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</si>
  <si>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</si>
  <si>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</si>
  <si>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</si>
  <si>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</si>
  <si>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</si>
  <si>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</si>
  <si>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</si>
  <si>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</si>
  <si>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</si>
  <si>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</si>
  <si>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</si>
  <si>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</si>
  <si>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</si>
  <si>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</si>
  <si>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</si>
  <si>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</si>
  <si>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</si>
  <si>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</si>
  <si>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</si>
  <si>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</si>
  <si>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</si>
  <si>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</si>
  <si>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</si>
  <si>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</si>
  <si>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</si>
  <si>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</si>
  <si>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</si>
  <si>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</si>
  <si>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</si>
  <si>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</si>
  <si>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</si>
  <si>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</si>
  <si>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</si>
  <si>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</si>
  <si>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</si>
  <si>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</si>
  <si>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</si>
  <si>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</si>
  <si>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</si>
  <si>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</si>
  <si>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</si>
  <si>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</si>
  <si>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</si>
  <si>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</si>
  <si>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</si>
  <si>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</si>
  <si>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</si>
  <si>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</si>
  <si>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</si>
  <si>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</si>
  <si>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</si>
  <si>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</si>
  <si>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</si>
  <si>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</si>
  <si>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</si>
  <si>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</si>
  <si>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</si>
  <si>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</si>
  <si>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</si>
  <si>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</si>
  <si>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</si>
  <si>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</si>
  <si>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</si>
  <si>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</si>
  <si>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</si>
  <si>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</si>
  <si>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</si>
  <si>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</si>
  <si>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</si>
  <si>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</si>
  <si>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</si>
  <si>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</si>
  <si>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</si>
  <si>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</si>
  <si>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</si>
  <si>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</si>
  <si>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</si>
  <si>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</si>
  <si>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</si>
  <si>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</si>
  <si>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</si>
  <si>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</si>
  <si>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</si>
  <si>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</si>
  <si>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</si>
  <si>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</si>
  <si>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</si>
  <si>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</si>
  <si>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</si>
  <si>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</si>
  <si>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</si>
  <si>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</si>
  <si>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</si>
  <si>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</si>
  <si>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</si>
  <si>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</si>
  <si>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</si>
  <si>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</si>
  <si>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</si>
  <si>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</si>
  <si>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</si>
  <si>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</si>
  <si>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</si>
  <si>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</si>
  <si>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</si>
  <si>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</si>
  <si>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</si>
  <si>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</si>
  <si>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</si>
  <si>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</si>
  <si>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</si>
  <si>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</si>
  <si>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</si>
  <si>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</si>
  <si>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</si>
  <si>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</si>
  <si>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</si>
  <si>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</si>
  <si>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</si>
  <si>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</si>
  <si>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</si>
  <si>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</si>
  <si>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</si>
  <si>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</si>
  <si>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</si>
  <si>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</si>
  <si>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</si>
  <si>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</si>
  <si>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</si>
  <si>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</si>
  <si>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</si>
  <si>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</si>
  <si>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</si>
  <si>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</si>
  <si>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</si>
  <si>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</si>
  <si>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</si>
  <si>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</si>
  <si>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</si>
  <si>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</si>
  <si>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</si>
  <si>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</si>
  <si>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</si>
  <si>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</si>
  <si>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</si>
  <si>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</si>
  <si>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</si>
  <si>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</si>
  <si>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</si>
  <si>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</si>
  <si>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</si>
  <si>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</si>
  <si>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</si>
  <si>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</si>
  <si>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</si>
  <si>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</si>
  <si>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</si>
  <si>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</si>
  <si>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</si>
  <si>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</si>
  <si>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</si>
  <si>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</si>
  <si>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</si>
  <si>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</si>
  <si>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</si>
  <si>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</si>
  <si>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</si>
  <si>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</si>
  <si>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</si>
  <si>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</si>
  <si>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</si>
  <si>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</si>
  <si>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</si>
  <si>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</si>
  <si>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</si>
  <si>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</si>
  <si>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</si>
  <si>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</si>
  <si>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</si>
  <si>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</si>
  <si>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</si>
  <si>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</si>
  <si>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</si>
  <si>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</si>
  <si>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</si>
  <si>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</si>
  <si>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</si>
  <si>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</si>
  <si>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</si>
  <si>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</si>
  <si>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</si>
  <si>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</si>
  <si>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</si>
  <si>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</si>
  <si>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</si>
  <si>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</si>
  <si>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</si>
  <si>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</si>
  <si>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</si>
  <si>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</si>
  <si>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</si>
  <si>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</si>
  <si>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</si>
  <si>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</si>
  <si>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</si>
  <si>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</si>
  <si>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</si>
  <si>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</si>
  <si>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</si>
  <si>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</si>
  <si>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</si>
  <si>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</si>
  <si>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</si>
  <si>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</si>
  <si>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</si>
  <si>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</si>
  <si>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</si>
  <si>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</si>
  <si>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</si>
  <si>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</si>
  <si>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</si>
  <si>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</si>
  <si>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</si>
  <si>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</si>
  <si>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</si>
  <si>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</si>
  <si>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</si>
  <si>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</si>
  <si>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</si>
  <si>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</si>
  <si>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</si>
  <si>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</si>
  <si>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</si>
  <si>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</si>
  <si>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</si>
  <si>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</si>
  <si>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</si>
  <si>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</si>
  <si>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</si>
  <si>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</si>
  <si>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</si>
  <si>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</si>
  <si>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</si>
  <si>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</si>
  <si>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</si>
  <si>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</si>
  <si>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</si>
  <si>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</si>
  <si>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</si>
  <si>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</si>
  <si>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</si>
  <si>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</si>
  <si>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</si>
  <si>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</si>
  <si>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</si>
  <si>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</si>
  <si>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</si>
  <si>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</si>
  <si>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</si>
  <si>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</si>
  <si>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</si>
  <si>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</si>
  <si>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</si>
  <si>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</si>
  <si>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</si>
  <si>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</si>
  <si>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</si>
  <si>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</si>
  <si>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</si>
  <si>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</si>
  <si>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</si>
  <si>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</si>
  <si>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</si>
  <si>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</si>
  <si>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</si>
  <si>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</si>
  <si>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</si>
  <si>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</si>
  <si>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</si>
  <si>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</si>
  <si>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</si>
  <si>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</si>
  <si>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</si>
  <si>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</si>
  <si>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</si>
  <si>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</si>
  <si>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</si>
  <si>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</si>
  <si>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</si>
  <si>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</si>
  <si>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</si>
  <si>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</si>
  <si>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</si>
  <si>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</si>
  <si>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</si>
  <si>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</si>
  <si>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</si>
  <si>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</si>
  <si>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</si>
  <si>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</si>
  <si>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</si>
  <si>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</si>
  <si>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</si>
  <si>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</si>
  <si>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</si>
  <si>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</si>
  <si>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</si>
  <si>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</si>
  <si>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</si>
  <si>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</si>
  <si>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</si>
  <si>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</si>
  <si>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</si>
  <si>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</si>
  <si>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</si>
  <si>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</si>
  <si>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</si>
  <si>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</si>
  <si>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</si>
  <si>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</si>
  <si>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</si>
  <si>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</si>
  <si>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</si>
  <si>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</si>
  <si>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</si>
  <si>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</si>
  <si>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</si>
  <si>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</si>
  <si>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</si>
  <si>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</si>
  <si>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</si>
  <si>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</si>
  <si>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</si>
  <si>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</si>
  <si>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</si>
  <si>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</si>
  <si>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</si>
  <si>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</si>
  <si>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</si>
  <si>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</si>
  <si>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</si>
  <si>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</si>
  <si>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</si>
  <si>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</si>
  <si>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</si>
  <si>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</si>
  <si>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</si>
  <si>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</si>
  <si>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</si>
  <si>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</si>
  <si>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</si>
  <si>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</si>
  <si>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</si>
  <si>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</si>
  <si>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</si>
  <si>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</si>
  <si>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</si>
  <si>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</si>
  <si>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</si>
  <si>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</si>
  <si>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</si>
  <si>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</si>
  <si>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</si>
  <si>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</si>
  <si>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</si>
  <si>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</si>
  <si>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</si>
  <si>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</si>
  <si>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</si>
  <si>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</si>
  <si>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</si>
  <si>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</si>
  <si>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</si>
  <si>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</si>
  <si>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</si>
  <si>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</si>
  <si>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</si>
  <si>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</si>
  <si>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</si>
  <si>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</si>
  <si>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</si>
  <si>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</si>
  <si>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</si>
  <si>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</si>
  <si>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</si>
  <si>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</si>
  <si>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</si>
  <si>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</si>
  <si>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</si>
  <si>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</si>
  <si>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</si>
  <si>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</si>
  <si>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</si>
  <si>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</si>
  <si>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</si>
  <si>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</si>
  <si>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</si>
  <si>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</si>
  <si>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</si>
  <si>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</si>
  <si>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</si>
  <si>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</si>
  <si>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</si>
  <si>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</si>
  <si>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</si>
  <si>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</si>
  <si>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</si>
  <si>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</si>
  <si>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</si>
  <si>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</si>
  <si>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</si>
  <si>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</si>
  <si>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</si>
  <si>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</si>
  <si>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</si>
  <si>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</si>
  <si>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</si>
  <si>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</si>
  <si>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</si>
  <si>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</si>
  <si>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</si>
  <si>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</si>
  <si>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</si>
  <si>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</si>
  <si>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</si>
  <si>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</si>
  <si>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</si>
  <si>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</si>
  <si>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</si>
  <si>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</si>
  <si>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</si>
  <si>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</si>
  <si>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</si>
  <si>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</si>
  <si>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</si>
  <si>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</si>
  <si>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</si>
  <si>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</si>
  <si>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</si>
  <si>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</si>
  <si>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</si>
  <si>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</si>
  <si>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</si>
  <si>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</si>
  <si>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</si>
  <si>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</si>
  <si>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</si>
  <si>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</si>
  <si>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</si>
  <si>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</si>
  <si>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</si>
  <si>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</si>
  <si>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</si>
  <si>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</si>
  <si>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</si>
  <si>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</si>
  <si>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</si>
  <si>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</si>
  <si>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</si>
  <si>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</si>
  <si>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</si>
  <si>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</si>
  <si>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</si>
  <si>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</si>
  <si>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</si>
  <si>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</si>
  <si>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</si>
  <si>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</si>
  <si>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</si>
  <si>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</si>
  <si>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</si>
  <si>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</si>
  <si>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</si>
  <si>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</si>
  <si>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</si>
  <si>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</si>
  <si>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</si>
  <si>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</si>
  <si>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</si>
  <si>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</si>
  <si>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</si>
  <si>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</si>
  <si>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</si>
  <si>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</si>
  <si>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</si>
  <si>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</si>
  <si>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</si>
  <si>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</si>
  <si>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</si>
  <si>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</si>
  <si>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</si>
  <si>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</si>
  <si>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</si>
  <si>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</si>
  <si>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</si>
  <si>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</si>
  <si>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</si>
  <si>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</si>
  <si>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</si>
  <si>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</si>
  <si>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</si>
  <si>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</si>
  <si>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</si>
  <si>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</si>
  <si>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</si>
  <si>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</si>
  <si>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</si>
  <si>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</si>
  <si>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</si>
  <si>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</si>
  <si>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</si>
  <si>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</si>
  <si>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</si>
  <si>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</si>
  <si>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</si>
  <si>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</si>
  <si>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</si>
  <si>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</si>
  <si>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</si>
  <si>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</si>
  <si>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</si>
  <si>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</si>
  <si>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</si>
  <si>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</si>
  <si>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</si>
  <si>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</si>
  <si>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</si>
  <si>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</si>
  <si>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</si>
  <si>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</si>
  <si>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</si>
  <si>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</si>
  <si>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</si>
  <si>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</si>
  <si>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</si>
  <si>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</si>
  <si>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</si>
  <si>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</si>
  <si>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</si>
  <si>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</si>
  <si>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</si>
  <si>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</si>
  <si>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</si>
  <si>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</si>
  <si>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</si>
  <si>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</si>
  <si>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</si>
  <si>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</si>
  <si>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</si>
  <si>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</si>
  <si>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</si>
  <si>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</si>
  <si>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</si>
  <si>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</si>
  <si>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</si>
  <si>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</si>
  <si>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</si>
  <si>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</si>
  <si>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</si>
  <si>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</si>
  <si>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</si>
  <si>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</si>
  <si>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</si>
  <si>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</si>
  <si>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</si>
  <si>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</si>
  <si>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</si>
  <si>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</si>
  <si>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</si>
  <si>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</si>
  <si>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</si>
  <si>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</si>
  <si>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</si>
  <si>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</si>
  <si>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</si>
  <si>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</si>
  <si>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</si>
  <si>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</si>
  <si>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</si>
  <si>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</si>
  <si>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</si>
  <si>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</si>
  <si>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</si>
  <si>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</si>
  <si>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</si>
  <si>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</si>
  <si>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</si>
  <si>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</si>
  <si>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</si>
  <si>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</si>
  <si>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</si>
  <si>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</si>
  <si>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</si>
  <si>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</si>
  <si>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</si>
  <si>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</si>
  <si>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</si>
  <si>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</si>
  <si>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</si>
  <si>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</si>
  <si>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</si>
  <si>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</si>
  <si>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</si>
  <si>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</si>
  <si>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</si>
  <si>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</si>
  <si>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</si>
  <si>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</si>
  <si>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</si>
  <si>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</si>
  <si>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</si>
  <si>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</si>
  <si>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</si>
  <si>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</si>
  <si>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</si>
  <si>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</si>
  <si>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</si>
  <si>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</si>
  <si>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</si>
  <si>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</si>
  <si>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</si>
  <si>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</si>
  <si>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</si>
  <si>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</si>
  <si>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</si>
  <si>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</si>
  <si>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</si>
  <si>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</si>
  <si>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</si>
  <si>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</si>
  <si>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</si>
  <si>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</si>
  <si>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</si>
  <si>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</si>
  <si>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</si>
  <si>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</si>
  <si>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</si>
  <si>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</si>
  <si>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</si>
  <si>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</si>
  <si>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</si>
  <si>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</si>
  <si>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</si>
  <si>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</si>
  <si>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</si>
  <si>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</si>
  <si>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</si>
  <si>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</si>
  <si>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</si>
  <si>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</si>
  <si>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</si>
  <si>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</si>
  <si>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</si>
  <si>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</si>
  <si>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</si>
  <si>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</si>
  <si>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</si>
  <si>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</si>
  <si>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</si>
  <si>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</si>
  <si>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</si>
  <si>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</si>
  <si>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</si>
  <si>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</si>
  <si>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</si>
  <si>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</si>
  <si>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</si>
  <si>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</si>
  <si>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</si>
  <si>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</si>
  <si>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</si>
  <si>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</si>
  <si>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</si>
  <si>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</si>
  <si>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</si>
  <si>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</si>
  <si>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</si>
  <si>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</si>
  <si>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</si>
  <si>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</si>
  <si>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</si>
  <si>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</si>
  <si>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</si>
  <si>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</si>
  <si>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</si>
  <si>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</si>
  <si>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</si>
  <si>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</si>
  <si>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</si>
  <si>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</si>
  <si>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</si>
  <si>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</si>
  <si>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</si>
  <si>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</si>
  <si>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</si>
  <si>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</si>
  <si>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</si>
  <si>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</si>
  <si>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</si>
  <si>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</si>
  <si>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</si>
  <si>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</si>
  <si>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</si>
  <si>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</si>
  <si>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</si>
  <si>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</si>
  <si>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</si>
  <si>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</si>
  <si>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</si>
  <si>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</si>
  <si>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</si>
  <si>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</si>
  <si>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</si>
  <si>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</si>
  <si>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</si>
  <si>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</si>
  <si>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</si>
  <si>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</si>
  <si>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</si>
  <si>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</si>
  <si>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</si>
  <si>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</si>
  <si>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</si>
  <si>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</si>
  <si>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</si>
  <si>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</si>
  <si>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</si>
  <si>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</si>
  <si>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</si>
  <si>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</si>
  <si>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</si>
  <si>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</si>
  <si>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</si>
  <si>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</si>
  <si>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</si>
  <si>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</si>
  <si>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</si>
  <si>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</si>
  <si>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</si>
  <si>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</si>
  <si>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</si>
  <si>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</si>
  <si>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</si>
  <si>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</si>
  <si>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</si>
  <si>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</si>
  <si>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</si>
  <si>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</si>
  <si>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</si>
  <si>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</si>
  <si>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</si>
  <si>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</si>
  <si>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</si>
  <si>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</si>
  <si>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</si>
  <si>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</si>
  <si>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</si>
  <si>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</si>
  <si>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</si>
  <si>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</si>
  <si>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</si>
  <si>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</si>
  <si>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</si>
  <si>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</si>
  <si>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</si>
  <si>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</si>
  <si>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</si>
  <si>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</si>
  <si>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</si>
  <si>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</si>
  <si>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</si>
  <si>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</si>
  <si>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</si>
  <si>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</si>
  <si>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</si>
  <si>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</si>
  <si>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</si>
  <si>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</si>
  <si>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</si>
  <si>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</si>
  <si>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</si>
  <si>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</si>
  <si>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</si>
  <si>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</si>
  <si>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</si>
  <si>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</si>
  <si>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</si>
  <si>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</si>
  <si>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</si>
  <si>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</si>
  <si>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</si>
  <si>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</si>
  <si>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</si>
  <si>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</si>
  <si>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</si>
  <si>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</si>
  <si>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</si>
  <si>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</si>
  <si>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</si>
  <si>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</si>
  <si>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</si>
  <si>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</si>
  <si>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</si>
  <si>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</si>
  <si>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</si>
  <si>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</si>
  <si>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</si>
  <si>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</si>
  <si>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</si>
  <si>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</si>
  <si>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</si>
  <si>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</si>
  <si>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</si>
  <si>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</si>
  <si>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</si>
  <si>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</si>
  <si>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</si>
  <si>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</si>
  <si>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</si>
  <si>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</si>
  <si>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</si>
  <si>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</si>
  <si>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</si>
  <si>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</si>
  <si>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</si>
  <si>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</si>
  <si>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</si>
  <si>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</si>
  <si>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</si>
  <si>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</si>
  <si>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</si>
  <si>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</si>
  <si>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</si>
  <si>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</si>
  <si>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</si>
  <si>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</si>
  <si>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</si>
  <si>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</si>
  <si>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</si>
  <si>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</si>
  <si>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</si>
  <si>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</si>
  <si>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</si>
  <si>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</si>
  <si>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</si>
  <si>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</si>
  <si>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</si>
  <si>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</si>
  <si>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</si>
  <si>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</si>
  <si>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</si>
  <si>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</si>
  <si>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</si>
  <si>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</si>
  <si>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</si>
  <si>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</si>
  <si>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</si>
  <si>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</si>
  <si>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</si>
  <si>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</si>
  <si>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</si>
  <si>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</si>
  <si>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</si>
  <si>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</si>
  <si>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</si>
  <si>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</si>
  <si>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</si>
  <si>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</si>
  <si>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</si>
  <si>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</si>
  <si>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</si>
  <si>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</si>
  <si>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</si>
  <si>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</si>
  <si>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</si>
  <si>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</si>
  <si>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</si>
  <si>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</si>
  <si>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</si>
  <si>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</si>
  <si>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</si>
  <si>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</si>
  <si>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</si>
  <si>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</si>
  <si>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</si>
  <si>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</si>
  <si>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</si>
  <si>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</si>
  <si>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</si>
  <si>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</si>
  <si>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</si>
  <si>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</si>
  <si>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</si>
  <si>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</si>
  <si>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</si>
  <si>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</si>
  <si>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</si>
  <si>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</si>
  <si>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</si>
  <si>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</si>
  <si>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</si>
  <si>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</si>
  <si>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</si>
  <si>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</si>
  <si>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</si>
  <si>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</si>
  <si>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</si>
  <si>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</si>
  <si>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</si>
  <si>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</si>
  <si>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</si>
  <si>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</si>
  <si>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</si>
  <si>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</si>
  <si>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</si>
  <si>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</si>
  <si>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</si>
  <si>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</si>
  <si>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</si>
  <si>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</si>
  <si>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</si>
  <si>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</si>
  <si>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</si>
  <si>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</si>
  <si>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</si>
  <si>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</si>
  <si>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</si>
  <si>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</si>
  <si>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</si>
  <si>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</si>
  <si>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</si>
  <si>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</si>
  <si>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</si>
  <si>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</si>
  <si>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</si>
  <si>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</si>
  <si>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</si>
  <si>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</si>
  <si>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</si>
  <si>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</si>
  <si>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</si>
  <si>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</si>
  <si>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</si>
  <si>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</si>
  <si>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</si>
  <si>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</si>
  <si>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</si>
  <si>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</si>
  <si>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</si>
  <si>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</si>
  <si>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</si>
  <si>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</si>
  <si>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</si>
  <si>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</si>
  <si>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</si>
  <si>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</si>
  <si>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</si>
  <si>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</si>
  <si>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</si>
  <si>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</si>
  <si>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</si>
  <si>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</si>
  <si>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</si>
  <si>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</si>
  <si>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</si>
  <si>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</si>
  <si>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</si>
  <si>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</si>
  <si>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</si>
  <si>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</si>
  <si>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</si>
  <si>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</si>
  <si>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</si>
  <si>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</si>
  <si>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</si>
  <si>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</si>
  <si>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</si>
  <si>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</si>
  <si>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</si>
  <si>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</si>
  <si>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</si>
  <si>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</si>
  <si>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</si>
  <si>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</si>
  <si>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</si>
  <si>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</si>
  <si>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</si>
  <si>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</si>
  <si>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</si>
  <si>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</si>
  <si>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</si>
  <si>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</si>
  <si>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</si>
  <si>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</si>
  <si>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</si>
  <si>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</si>
  <si>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</si>
  <si>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</si>
  <si>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</si>
  <si>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</si>
  <si>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</si>
  <si>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</si>
  <si>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</si>
  <si>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</si>
  <si>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</si>
  <si>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</si>
  <si>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</si>
  <si>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</si>
  <si>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</si>
  <si>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</si>
  <si>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</si>
  <si>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</si>
  <si>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</si>
  <si>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</si>
  <si>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</si>
  <si>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</si>
  <si>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</si>
  <si>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</si>
  <si>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</si>
  <si>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</si>
  <si>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</si>
  <si>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</si>
  <si>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</si>
  <si>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</si>
  <si>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</si>
  <si>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</si>
  <si>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</si>
  <si>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</si>
  <si>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</si>
  <si>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</si>
  <si>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</si>
  <si>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</si>
  <si>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</si>
  <si>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</si>
  <si>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</si>
  <si>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</si>
  <si>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</si>
  <si>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</si>
  <si>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</si>
  <si>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</si>
  <si>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</si>
  <si>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</si>
  <si>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</si>
  <si>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</si>
  <si>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</si>
  <si>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</si>
  <si>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</si>
  <si>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</si>
  <si>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</si>
  <si>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</si>
  <si>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</si>
  <si>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</si>
  <si>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</si>
  <si>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</si>
  <si>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</si>
  <si>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</si>
  <si>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</si>
  <si>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</si>
  <si>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</si>
  <si>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</si>
  <si>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</si>
  <si>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</si>
  <si>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</si>
  <si>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</si>
  <si>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</si>
  <si>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</si>
  <si>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</si>
  <si>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</si>
  <si>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</si>
  <si>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</si>
  <si>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</si>
  <si>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</si>
  <si>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</si>
  <si>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</si>
  <si>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</si>
  <si>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</si>
  <si>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</si>
  <si>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</si>
  <si>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</si>
  <si>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</si>
  <si>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</si>
  <si>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</si>
  <si>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</si>
  <si>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</si>
  <si>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</si>
  <si>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</si>
  <si>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</si>
  <si>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</si>
  <si>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</si>
  <si>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</si>
  <si>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</si>
  <si>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</si>
  <si>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</si>
  <si>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</si>
  <si>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</si>
  <si>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</si>
  <si>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</si>
  <si>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</si>
  <si>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</si>
  <si>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</si>
  <si>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</si>
  <si>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</si>
  <si>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</si>
  <si>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</si>
  <si>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</si>
  <si>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</si>
  <si>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</si>
  <si>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</si>
  <si>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</si>
  <si>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</si>
  <si>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</si>
  <si>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</si>
  <si>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</si>
  <si>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</si>
  <si>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</si>
  <si>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</si>
  <si>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</si>
  <si>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</si>
  <si>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</si>
  <si>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</si>
  <si>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</si>
  <si>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</si>
  <si>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</si>
  <si>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</si>
  <si>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</si>
  <si>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</si>
  <si>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</si>
  <si>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</si>
  <si>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</si>
  <si>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</si>
  <si>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</si>
  <si>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</si>
  <si>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</si>
  <si>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</si>
  <si>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</si>
  <si>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</si>
  <si>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</si>
  <si>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</si>
  <si>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</si>
  <si>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</si>
  <si>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</si>
  <si>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</si>
  <si>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</si>
  <si>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</si>
  <si>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</si>
  <si>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</si>
  <si>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</si>
  <si>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</si>
  <si>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</si>
  <si>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</si>
  <si>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</si>
  <si>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</si>
  <si>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</si>
  <si>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</si>
  <si>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</si>
  <si>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</si>
  <si>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</si>
  <si>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</si>
  <si>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</si>
  <si>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</si>
  <si>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</si>
  <si>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</si>
  <si>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</si>
  <si>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</si>
  <si>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</si>
  <si>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</si>
  <si>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</si>
  <si>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</si>
  <si>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</si>
  <si>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</si>
  <si>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</si>
  <si>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</si>
  <si>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</si>
  <si>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</si>
  <si>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</si>
  <si>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</si>
  <si>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</si>
  <si>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</si>
  <si>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</si>
  <si>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</si>
  <si>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</si>
  <si>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</si>
  <si>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</si>
  <si>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</si>
  <si>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</si>
  <si>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</si>
  <si>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</si>
  <si>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</si>
  <si>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</si>
  <si>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</si>
  <si>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</si>
  <si>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</si>
  <si>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</si>
  <si>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</si>
  <si>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</si>
  <si>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</si>
  <si>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</si>
  <si>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</si>
  <si>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</si>
  <si>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</si>
  <si>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</si>
  <si>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</si>
  <si>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</si>
  <si>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</si>
  <si>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</si>
  <si>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</si>
  <si>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</si>
  <si>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</si>
  <si>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</si>
  <si>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</si>
  <si>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</si>
  <si>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</si>
  <si>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</si>
  <si>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</si>
  <si>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</si>
  <si>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</si>
  <si>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</si>
  <si>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</si>
  <si>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</si>
  <si>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</si>
  <si>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</si>
  <si>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</si>
  <si>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</si>
  <si>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</si>
  <si>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</si>
  <si>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</si>
  <si>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</si>
  <si>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</si>
  <si>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</si>
  <si>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</si>
  <si>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</si>
  <si>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</si>
  <si>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</si>
  <si>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</si>
  <si>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</si>
  <si>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</si>
  <si>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</si>
  <si>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</si>
  <si>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</si>
  <si>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</si>
  <si>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</si>
  <si>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</si>
  <si>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</si>
  <si>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</si>
  <si>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</si>
  <si>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</si>
  <si>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</si>
  <si>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</si>
  <si>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</si>
  <si>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</si>
  <si>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</si>
  <si>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</si>
  <si>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</si>
  <si>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</si>
  <si>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</si>
  <si>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</si>
  <si>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</si>
  <si>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</si>
  <si>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</si>
  <si>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</si>
  <si>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</si>
  <si>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</si>
  <si>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</si>
  <si>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</si>
  <si>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</si>
  <si>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</si>
  <si>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</si>
  <si>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</si>
  <si>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</si>
  <si>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</si>
  <si>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</si>
  <si>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</si>
  <si>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</si>
  <si>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</si>
  <si>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</si>
  <si>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</si>
  <si>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</si>
  <si>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</si>
  <si>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</si>
  <si>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</si>
  <si>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</si>
  <si>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</si>
  <si>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</si>
  <si>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</si>
  <si>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</si>
  <si>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</si>
  <si>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</si>
  <si>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</si>
  <si>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</si>
  <si>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</si>
  <si>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</si>
  <si>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</si>
  <si>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</si>
  <si>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</si>
  <si>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</si>
  <si>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</si>
  <si>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</si>
  <si>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</si>
  <si>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</si>
  <si>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</si>
  <si>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</si>
  <si>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</si>
  <si>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</si>
  <si>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</si>
  <si>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</si>
  <si>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</si>
  <si>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</si>
  <si>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</si>
  <si>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</si>
  <si>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</si>
  <si>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</si>
  <si>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</si>
  <si>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</si>
  <si>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</si>
  <si>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</si>
  <si>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</si>
  <si>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</si>
  <si>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</si>
  <si>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</si>
  <si>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</si>
  <si>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</si>
  <si>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</si>
  <si>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</si>
  <si>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</si>
  <si>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</si>
  <si>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</si>
  <si>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</si>
  <si>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</si>
  <si>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</si>
  <si>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</si>
  <si>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</si>
  <si>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</si>
  <si>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</si>
  <si>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</si>
  <si>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</si>
  <si>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</si>
  <si>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</si>
  <si>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</si>
  <si>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</si>
  <si>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</si>
  <si>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</si>
  <si>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</si>
  <si>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</si>
  <si>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</si>
  <si>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</si>
  <si>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</si>
  <si>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</si>
  <si>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</si>
  <si>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</si>
  <si>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</si>
  <si>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</si>
  <si>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</si>
  <si>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</si>
  <si>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</si>
  <si>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</si>
  <si>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</si>
  <si>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</si>
  <si>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</si>
  <si>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</si>
  <si>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</si>
  <si>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</si>
  <si>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</si>
  <si>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</si>
  <si>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</si>
  <si>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</si>
  <si>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</si>
  <si>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</si>
  <si>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</si>
  <si>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</si>
  <si>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</si>
  <si>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</si>
  <si>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</si>
  <si>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</si>
  <si>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</si>
  <si>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</si>
  <si>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</si>
  <si>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</si>
  <si>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</si>
  <si>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</si>
  <si>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</si>
  <si>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</si>
  <si>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</si>
  <si>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</si>
  <si>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</si>
  <si>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</si>
  <si>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</si>
  <si>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</si>
  <si>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</si>
  <si>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</si>
  <si>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</si>
  <si>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</si>
  <si>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</si>
  <si>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</si>
  <si>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</si>
  <si>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</si>
  <si>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</si>
  <si>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</si>
  <si>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</si>
  <si>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</si>
  <si>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</si>
  <si>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</si>
  <si>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</si>
  <si>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</si>
  <si>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</si>
  <si>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</si>
  <si>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</si>
  <si>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</si>
  <si>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</si>
  <si>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</si>
  <si>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</si>
  <si>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</si>
  <si>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</si>
  <si>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</si>
  <si>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</si>
  <si>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</si>
  <si>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</si>
  <si>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</si>
  <si>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</si>
  <si>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</si>
  <si>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</si>
  <si>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</si>
  <si>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</si>
  <si>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</si>
  <si>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</si>
  <si>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</si>
  <si>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</si>
  <si>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</si>
  <si>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</si>
  <si>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</si>
  <si>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</si>
  <si>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</si>
  <si>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</si>
  <si>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</si>
  <si>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</si>
  <si>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</si>
  <si>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</si>
  <si>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</si>
  <si>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</si>
  <si>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</si>
  <si>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</si>
  <si>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</si>
  <si>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</si>
  <si>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</si>
  <si>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</si>
  <si>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</si>
  <si>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</si>
  <si>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</si>
  <si>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</si>
  <si>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</si>
  <si>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</si>
  <si>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</si>
  <si>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</si>
  <si>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</si>
  <si>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</si>
  <si>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</si>
  <si>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</si>
  <si>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</si>
  <si>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</si>
  <si>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</si>
  <si>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</si>
  <si>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</si>
  <si>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</si>
  <si>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</si>
  <si>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</si>
  <si>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</si>
  <si>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</si>
  <si>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</si>
  <si>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</si>
  <si>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</si>
  <si>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</si>
  <si>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 (Pledged/Backer)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</si>
  <si>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</si>
  <si>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</si>
  <si>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</si>
  <si>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</si>
  <si>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</si>
  <si>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</si>
  <si>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</si>
  <si>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</si>
  <si>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</si>
  <si>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</si>
  <si>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</si>
  <si>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</si>
  <si>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</si>
  <si>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</si>
  <si>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</si>
  <si>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</si>
  <si>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</si>
  <si>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</si>
  <si>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</si>
  <si>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</si>
  <si>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</si>
  <si>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</si>
  <si>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</si>
  <si>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</si>
  <si>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</si>
  <si>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</si>
  <si>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</si>
  <si>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</si>
  <si>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</si>
  <si>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</si>
  <si>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</si>
  <si>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</si>
  <si>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</si>
  <si>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</si>
  <si>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</si>
  <si>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</si>
  <si>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</si>
  <si>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</si>
  <si>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</si>
  <si>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</si>
  <si>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</si>
  <si>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</si>
  <si>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</si>
  <si>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</si>
  <si>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</si>
  <si>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</si>
  <si>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</si>
  <si>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</si>
  <si>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</si>
  <si>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</si>
  <si>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</si>
  <si>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</si>
  <si>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</si>
  <si>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</si>
  <si>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</si>
  <si>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</si>
  <si>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</si>
  <si>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</si>
  <si>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</si>
  <si>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</si>
  <si>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</si>
  <si>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</si>
  <si>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</si>
  <si>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</si>
  <si>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</si>
  <si>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</si>
  <si>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</si>
  <si>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</si>
  <si>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</si>
  <si>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</si>
  <si>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</si>
  <si>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</si>
  <si>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</si>
  <si>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</si>
  <si>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</si>
  <si>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</si>
  <si>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</si>
  <si>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Backers_Count</t>
  </si>
  <si>
    <t>Outcomes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</si>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</sst>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rgb="FFFF33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(Launch Date)!PivotTable1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0274999999999999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(Launch Date)'!$B$4:$B$5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(Launch Date)'!$B$6:$B$18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2-4C3E-88F8-A2647DEBE7FD}"/>
            </c:ext>
          </c:extLst>
        </c:ser>
        <c:ser>
          <c:idx val="1"/>
          <c:order val="1"/>
          <c:tx>
            <c:strRef>
              <c:f>'Theatre Outcomes (Launch 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(Launch Date)'!$C$6:$C$18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2-4C3E-88F8-A2647DEBE7FD}"/>
            </c:ext>
          </c:extLst>
        </c:ser>
        <c:ser>
          <c:idx val="2"/>
          <c:order val="2"/>
          <c:tx>
            <c:strRef>
              <c:f>'Theatre Outcomes (Launch Date)'!$D$4:$D$5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(Launch Date)'!$D$6:$D$18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2-4C3E-88F8-A2647DEBE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568895"/>
        <c:axId val="1632571391"/>
      </c:lineChart>
      <c:catAx>
        <c:axId val="163256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71391"/>
        <c:crosses val="autoZero"/>
        <c:auto val="1"/>
        <c:lblAlgn val="ctr"/>
        <c:lblOffset val="100"/>
        <c:noMultiLvlLbl val="0"/>
      </c:catAx>
      <c:valAx>
        <c:axId val="16325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56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Plays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813827758709649E-2"/>
          <c:y val="0.12073980130248768"/>
          <c:w val="0.95495255400767209"/>
          <c:h val="0.79255647007792329"/>
        </c:manualLayout>
      </c:layout>
      <c:lineChart>
        <c:grouping val="standard"/>
        <c:varyColors val="0"/>
        <c:ser>
          <c:idx val="0"/>
          <c:order val="0"/>
          <c:tx>
            <c:strRef>
              <c:f>'Outcomes (Goals)'!$F$1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(Goals)'!$A$1:$A$13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More</c:v>
                </c:pt>
              </c:strCache>
            </c:strRef>
          </c:cat>
          <c:val>
            <c:numRef>
              <c:f>'Outcomes (Goals)'!$F$2:$F$13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0-449F-8B9B-F36585AF94C8}"/>
            </c:ext>
          </c:extLst>
        </c:ser>
        <c:ser>
          <c:idx val="1"/>
          <c:order val="1"/>
          <c:tx>
            <c:strRef>
              <c:f>'Outcomes (Goals)'!$G$1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(Goals)'!$A$1:$A$13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More</c:v>
                </c:pt>
              </c:strCache>
            </c:strRef>
          </c:cat>
          <c:val>
            <c:numRef>
              <c:f>'Outcomes (Goals)'!$G$2:$G$13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0-449F-8B9B-F36585AF94C8}"/>
            </c:ext>
          </c:extLst>
        </c:ser>
        <c:ser>
          <c:idx val="2"/>
          <c:order val="2"/>
          <c:tx>
            <c:strRef>
              <c:f>'Outcomes (Goals)'!$H$1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(Goals)'!$A$1:$A$13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More</c:v>
                </c:pt>
              </c:strCache>
            </c:strRef>
          </c:cat>
          <c:val>
            <c:numRef>
              <c:f>'Outcomes (Goals)'!$H$2:$H$13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60-449F-8B9B-F36585AF9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1790431"/>
        <c:axId val="1641792095"/>
      </c:lineChart>
      <c:catAx>
        <c:axId val="164179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92095"/>
        <c:crosses val="autoZero"/>
        <c:auto val="1"/>
        <c:lblAlgn val="ctr"/>
        <c:lblOffset val="100"/>
        <c:noMultiLvlLbl val="0"/>
      </c:catAx>
      <c:valAx>
        <c:axId val="16417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9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(Category, Outcomes)!PivotTable1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90097267253358"/>
          <c:y val="7.64389736847160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(Category, Outcomes)'!$B$3:$B$4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(Category, Outcomes)'!$A$5:$A$6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(Category, Outcomes)'!$B$5:$B$6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9-4950-857E-94B238ACBCEC}"/>
            </c:ext>
          </c:extLst>
        </c:ser>
        <c:ser>
          <c:idx val="1"/>
          <c:order val="1"/>
          <c:tx>
            <c:strRef>
              <c:f>'Pivot (Category, Outcomes)'!$C$3:$C$4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(Category, Outcomes)'!$A$5:$A$6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(Category, Outcomes)'!$C$5:$C$6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9-4950-857E-94B238ACBCEC}"/>
            </c:ext>
          </c:extLst>
        </c:ser>
        <c:ser>
          <c:idx val="2"/>
          <c:order val="2"/>
          <c:tx>
            <c:strRef>
              <c:f>'Pivot (Category, Outcomes)'!$D$3:$D$4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(Category, Outcomes)'!$A$5:$A$6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(Category, Outcomes)'!$D$5:$D$6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9-4950-857E-94B238ACBCEC}"/>
            </c:ext>
          </c:extLst>
        </c:ser>
        <c:ser>
          <c:idx val="3"/>
          <c:order val="3"/>
          <c:tx>
            <c:strRef>
              <c:f>'Pivot (Category, Outcomes)'!$E$3:$E$4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(Category, Outcomes)'!$A$5:$A$6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(Category, Outcomes)'!$E$5:$E$6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9-4950-857E-94B238AC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6603407"/>
        <c:axId val="1236605487"/>
      </c:barChart>
      <c:catAx>
        <c:axId val="123660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05487"/>
        <c:crosses val="autoZero"/>
        <c:auto val="1"/>
        <c:lblAlgn val="ctr"/>
        <c:lblOffset val="100"/>
        <c:noMultiLvlLbl val="0"/>
      </c:catAx>
      <c:valAx>
        <c:axId val="123660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0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(Subcategory, Outcomes)!PivotTable2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7906244818153323"/>
          <c:y val="5.02973825519516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(Subcategory, Outcomes)'!$B$4:$B$5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(Subcategory, Outcomes)'!$A$6:$A$7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(Subcategory, Outcomes)'!$B$6:$B$7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E-4B38-9E1D-744959DC2531}"/>
            </c:ext>
          </c:extLst>
        </c:ser>
        <c:ser>
          <c:idx val="1"/>
          <c:order val="1"/>
          <c:tx>
            <c:strRef>
              <c:f>'Pivot (Subcategory, Outcomes)'!$C$4:$C$5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(Subcategory, Outcomes)'!$A$6:$A$7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(Subcategory, Outcomes)'!$C$6:$C$7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E-4B38-9E1D-744959DC2531}"/>
            </c:ext>
          </c:extLst>
        </c:ser>
        <c:ser>
          <c:idx val="2"/>
          <c:order val="2"/>
          <c:tx>
            <c:strRef>
              <c:f>'Pivot (Subcategory, Outcomes)'!$D$4:$D$5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(Subcategory, Outcomes)'!$A$6:$A$7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(Subcategory, Outcomes)'!$D$6:$D$7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E-4B38-9E1D-744959DC2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6593839"/>
        <c:axId val="1236600079"/>
      </c:barChart>
      <c:catAx>
        <c:axId val="123659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00079"/>
        <c:crosses val="autoZero"/>
        <c:auto val="1"/>
        <c:lblAlgn val="ctr"/>
        <c:lblOffset val="100"/>
        <c:noMultiLvlLbl val="0"/>
      </c:catAx>
      <c:valAx>
        <c:axId val="123660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(Launch Date)!PivotTable3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296110286078555"/>
          <c:y val="4.6255093093056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(Launch Date)'!$B$4:$B$5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(Launch Date)'!$B$6:$B$18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E-4FB8-9D87-21BF6C2077A3}"/>
            </c:ext>
          </c:extLst>
        </c:ser>
        <c:ser>
          <c:idx val="1"/>
          <c:order val="1"/>
          <c:tx>
            <c:strRef>
              <c:f>'Outcomes (Launch Date)'!$C$4:$C$5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(Launch Date)'!$C$6:$C$18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E-4FB8-9D87-21BF6C2077A3}"/>
            </c:ext>
          </c:extLst>
        </c:ser>
        <c:ser>
          <c:idx val="2"/>
          <c:order val="2"/>
          <c:tx>
            <c:strRef>
              <c:f>'Outcomes (Launch Date)'!$D$4:$D$5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(Launch Date)'!$A$6:$A$18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(Launch Date)'!$D$6:$D$18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2E-4FB8-9D87-21BF6C20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7097199"/>
        <c:axId val="1397095119"/>
      </c:lineChart>
      <c:catAx>
        <c:axId val="1397097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95119"/>
        <c:crosses val="autoZero"/>
        <c:auto val="1"/>
        <c:lblAlgn val="ctr"/>
        <c:lblOffset val="100"/>
        <c:noMultiLvlLbl val="0"/>
      </c:catAx>
      <c:valAx>
        <c:axId val="139709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2</xdr:row>
      <xdr:rowOff>104774</xdr:rowOff>
    </xdr:from>
    <xdr:to>
      <xdr:col>18</xdr:col>
      <xdr:colOff>333374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0BEE2-ED0D-476B-ABA2-9C5E3B8B0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14</xdr:row>
      <xdr:rowOff>104775</xdr:rowOff>
    </xdr:from>
    <xdr:to>
      <xdr:col>13</xdr:col>
      <xdr:colOff>381000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246DF-BA8A-4B61-8485-1E0A0FA37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42862</xdr:rowOff>
    </xdr:from>
    <xdr:to>
      <xdr:col>17</xdr:col>
      <xdr:colOff>247650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EA334-F641-4CF8-B72A-EAF0864BF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180974</xdr:rowOff>
    </xdr:from>
    <xdr:to>
      <xdr:col>18</xdr:col>
      <xdr:colOff>561975</xdr:colOff>
      <xdr:row>29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D87FA-796A-465A-877A-77E00AC3B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161925</xdr:rowOff>
    </xdr:from>
    <xdr:to>
      <xdr:col>18</xdr:col>
      <xdr:colOff>266699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C03CF-48B0-471D-9377-A797B1EB4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suko Day" refreshedDate="44627.452024537037" createdVersion="7" refreshedVersion="7" minRefreshableVersion="3" recordCount="4114" xr:uid="{830BAA24-E06A-4B43-94CB-9A80CCA8E4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erage Donation (Pledged/Backer)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suko Day" refreshedDate="44627.472238425929" createdVersion="7" refreshedVersion="7" minRefreshableVersion="3" recordCount="4114" xr:uid="{4B41E6C5-DB0A-4B91-BD07-4AD8D51534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erage Donation (Pledged/Backer)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suko Day" refreshedDate="44629.753303472222" createdVersion="7" refreshedVersion="7" minRefreshableVersion="3" recordCount="4115" xr:uid="{BE11CBAA-11B1-4EBA-8B3F-AE148F9951B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String="0" containsBlank="1" containsNumber="1" containsInteger="1" minValue="0" maxValue="2260300"/>
    </cacheField>
    <cacheField name="Average Donation (Pledged/Backer)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2621F-C23E-48E0-9A02-BD6743ADE0B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498AC-9428-4BEC-9EA2-EF0FADD53E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DD1F6-8E93-48B8-A638-6DB10B0BEE9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53EB1-C908-4752-B0B9-5B88758C1A2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18024-0F25-4503-AF69-B5FEF84211D3}">
  <dimension ref="A1:E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FE43-8B6A-45E7-920B-C80D31317E87}">
  <dimension ref="A1:H13"/>
  <sheetViews>
    <sheetView workbookViewId="0">
      <selection activeCell="A14" sqref="A14"/>
    </sheetView>
  </sheetViews>
  <sheetFormatPr defaultRowHeight="15" x14ac:dyDescent="0.25"/>
  <cols>
    <col min="1" max="1" width="17.140625" customWidth="1"/>
    <col min="2" max="2" width="19.42578125" customWidth="1"/>
    <col min="3" max="3" width="17.85546875" customWidth="1"/>
    <col min="4" max="4" width="20.140625" customWidth="1"/>
    <col min="5" max="5" width="16.85546875" customWidth="1"/>
    <col min="6" max="6" width="22" customWidth="1"/>
    <col min="7" max="7" width="19.28515625" customWidth="1"/>
    <col min="8" max="8" width="21.28515625" customWidth="1"/>
  </cols>
  <sheetData>
    <row r="1" spans="1:8" x14ac:dyDescent="0.25">
      <c r="A1" t="s">
        <v>8382</v>
      </c>
      <c r="B1" t="s">
        <v>8387</v>
      </c>
      <c r="C1" t="s">
        <v>8388</v>
      </c>
      <c r="D1" t="s">
        <v>8389</v>
      </c>
      <c r="E1" t="s">
        <v>8390</v>
      </c>
      <c r="F1" s="20" t="s">
        <v>8391</v>
      </c>
      <c r="G1" s="21" t="s">
        <v>8392</v>
      </c>
      <c r="H1" s="21" t="s">
        <v>8393</v>
      </c>
    </row>
    <row r="2" spans="1:8" x14ac:dyDescent="0.25">
      <c r="A2" t="s">
        <v>8394</v>
      </c>
      <c r="B2">
        <f>COUNTIFS(Kickstarter!F:F, "Successful", Kickstarter!D:D, "&lt;1000", Kickstarter!R:R,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0">
        <f>(B2/E2)*100</f>
        <v>75.806451612903231</v>
      </c>
      <c r="G2" s="21">
        <f>(C2/E2)*100</f>
        <v>24.193548387096776</v>
      </c>
      <c r="H2" s="21">
        <v>0</v>
      </c>
    </row>
    <row r="3" spans="1:8" x14ac:dyDescent="0.25">
      <c r="A3" t="s">
        <v>8395</v>
      </c>
      <c r="B3">
        <f>COUNTIFS(Kickstarter!$F:$F, "Successful", Kickstarter!$D:$D, "&gt;=1000", Kickstarter!$R:$R, "plays", Kickstarter!$D:$D, "&lt;=4999")</f>
        <v>388</v>
      </c>
      <c r="C3">
        <f>COUNTIFS(Kickstarter!$F:$F, "Failed", Kickstarter!$D:$D, "&gt;=1000", Kickstarter!$R:$R, "plays", Kickstarter!$D:$D, "&lt;=4999")</f>
        <v>146</v>
      </c>
      <c r="D3">
        <f>COUNTIFS(Kickstarter!$F:$F, "Canceled", Kickstarter!$D:$D, "&gt;1000", Kickstarter!$R:$R, "plays", Kickstarter!$D:$D, "&lt;4999")</f>
        <v>0</v>
      </c>
      <c r="E3">
        <f t="shared" ref="E3:E13" si="0">SUM(B3:D3)</f>
        <v>534</v>
      </c>
      <c r="F3" s="20">
        <f t="shared" ref="F3:F13" si="1">(B3/E3)*100</f>
        <v>72.659176029962552</v>
      </c>
      <c r="G3" s="21">
        <f t="shared" ref="G3:G13" si="2">(C3/E3)*100</f>
        <v>27.340823970037455</v>
      </c>
      <c r="H3" s="21">
        <v>0</v>
      </c>
    </row>
    <row r="4" spans="1:8" x14ac:dyDescent="0.25">
      <c r="A4" t="s">
        <v>8396</v>
      </c>
      <c r="B4">
        <f>COUNTIFS(Kickstarter!$F:$F, "Successful", Kickstarter!$D:$D, "&gt;=5000", Kickstarter!$R:$R, "plays", Kickstarter!$D:$D, "&lt;=9999")</f>
        <v>93</v>
      </c>
      <c r="C4">
        <f>COUNTIFS(Kickstarter!$F:$F, "Failed", Kickstarter!$D:$D, "&gt;=5000", Kickstarter!$R:$R, "plays", Kickstarter!$D:$D, "&lt;=9999")</f>
        <v>76</v>
      </c>
      <c r="D4" s="19">
        <f>COUNTIFS(Kickstarter!$F:$F, "Canceled", Kickstarter!$D:$D, "&gt;5000", Kickstarter!$R:$R, "plays", Kickstarter!$D:$D, "&lt;9999")</f>
        <v>0</v>
      </c>
      <c r="E4">
        <f t="shared" si="0"/>
        <v>169</v>
      </c>
      <c r="F4" s="20">
        <f t="shared" si="1"/>
        <v>55.029585798816569</v>
      </c>
      <c r="G4" s="21">
        <f t="shared" si="2"/>
        <v>44.970414201183431</v>
      </c>
      <c r="H4" s="21">
        <v>0</v>
      </c>
    </row>
    <row r="5" spans="1:8" x14ac:dyDescent="0.25">
      <c r="A5" t="s">
        <v>8397</v>
      </c>
      <c r="B5">
        <f>COUNTIFS(Kickstarter!$F:$F, "Successful", Kickstarter!$D:$D, "&gt;=10000", Kickstarter!$R:$R, "plays", Kickstarter!$D:$D, "&lt;=14999")</f>
        <v>39</v>
      </c>
      <c r="C5">
        <f>COUNTIFS(Kickstarter!$F:$F, "Failed", Kickstarter!$D:$D, "&gt;=10000", Kickstarter!$R:$R, "plays", Kickstarter!$D:$D, "&lt;=14999")</f>
        <v>33</v>
      </c>
      <c r="D5">
        <f>COUNTIFS(Kickstarter!$F:$F, "Canceled", Kickstarter!$D:$D, "&gt;10000", Kickstarter!$R:$R, "plays", Kickstarter!$D:$D, "&lt;14999")</f>
        <v>0</v>
      </c>
      <c r="E5">
        <f t="shared" si="0"/>
        <v>72</v>
      </c>
      <c r="F5" s="20">
        <f t="shared" si="1"/>
        <v>54.166666666666664</v>
      </c>
      <c r="G5" s="21">
        <f t="shared" si="2"/>
        <v>45.833333333333329</v>
      </c>
      <c r="H5" s="21">
        <v>0</v>
      </c>
    </row>
    <row r="6" spans="1:8" x14ac:dyDescent="0.25">
      <c r="A6" t="s">
        <v>8398</v>
      </c>
      <c r="B6">
        <f>COUNTIFS(Kickstarter!$F:$F, "Successful", Kickstarter!$D:$D, "&gt;=15000", Kickstarter!$R:$R, "plays", Kickstarter!$D:$D, "&lt;=19999")</f>
        <v>12</v>
      </c>
      <c r="C6">
        <f>COUNTIFS(Kickstarter!$F:$F, "Failed", Kickstarter!$D:$D, "&gt;=15000", Kickstarter!$R:$R, "plays", Kickstarter!$D:$D, "&lt;=19999")</f>
        <v>12</v>
      </c>
      <c r="D6">
        <f>COUNTIFS(Kickstarter!$F:$F, "Canceled", Kickstarter!$D:$D, "&gt;15000", Kickstarter!$R:$R, "plays", Kickstarter!$D:$D, "&lt;19999")</f>
        <v>0</v>
      </c>
      <c r="E6">
        <f t="shared" si="0"/>
        <v>24</v>
      </c>
      <c r="F6" s="20">
        <f t="shared" si="1"/>
        <v>50</v>
      </c>
      <c r="G6" s="21">
        <f t="shared" si="2"/>
        <v>50</v>
      </c>
      <c r="H6" s="21">
        <v>0</v>
      </c>
    </row>
    <row r="7" spans="1:8" x14ac:dyDescent="0.25">
      <c r="A7" t="s">
        <v>8399</v>
      </c>
      <c r="B7">
        <f>COUNTIFS(Kickstarter!$F:$F, "Successful", Kickstarter!$D:$D, "&gt;=20000", Kickstarter!$R:$R, "plays", Kickstarter!$D:$D, "&lt;=24999")</f>
        <v>9</v>
      </c>
      <c r="C7">
        <f>COUNTIFS(Kickstarter!$F:$F, "Failed", Kickstarter!$D:$D, "&gt;=20000", Kickstarter!$R:$R, "plays", Kickstarter!$D:$D, "&lt;=24999")</f>
        <v>11</v>
      </c>
      <c r="D7">
        <f>COUNTIFS(Kickstarter!$F:$F, "Canceled", Kickstarter!$D:$D, "&gt;20000", Kickstarter!$R:$R, "plays", Kickstarter!$D:$D, "&lt;24999")</f>
        <v>0</v>
      </c>
      <c r="E7">
        <f t="shared" si="0"/>
        <v>20</v>
      </c>
      <c r="F7" s="20">
        <f t="shared" si="1"/>
        <v>45</v>
      </c>
      <c r="G7" s="21">
        <f t="shared" si="2"/>
        <v>55.000000000000007</v>
      </c>
      <c r="H7" s="21">
        <v>0</v>
      </c>
    </row>
    <row r="8" spans="1:8" x14ac:dyDescent="0.25">
      <c r="A8" t="s">
        <v>8400</v>
      </c>
      <c r="B8">
        <f>COUNTIFS(Kickstarter!$F:$F, "Successful", Kickstarter!$D:$D, "&gt;=25000", Kickstarter!$R:$R, "plays", Kickstarter!$D:$D, "&lt;=29999")</f>
        <v>1</v>
      </c>
      <c r="C8">
        <f>COUNTIFS(Kickstarter!$F:$F, "Failed", Kickstarter!$D:$D, "&gt;=25000", Kickstarter!$R:$R, "plays", Kickstarter!$D:$D, "&lt;=29999")</f>
        <v>4</v>
      </c>
      <c r="D8">
        <f>COUNTIFS(Kickstarter!$F:$F, "Canceled", Kickstarter!$D:$D, "&gt;25000", Kickstarter!$R:$R, "plays", Kickstarter!$D:$D, "&lt;29999")</f>
        <v>0</v>
      </c>
      <c r="E8">
        <f t="shared" si="0"/>
        <v>5</v>
      </c>
      <c r="F8" s="20">
        <f t="shared" si="1"/>
        <v>20</v>
      </c>
      <c r="G8" s="21">
        <f t="shared" si="2"/>
        <v>80</v>
      </c>
      <c r="H8" s="21">
        <v>0</v>
      </c>
    </row>
    <row r="9" spans="1:8" x14ac:dyDescent="0.25">
      <c r="A9" t="s">
        <v>8401</v>
      </c>
      <c r="B9">
        <f>COUNTIFS(Kickstarter!$F:$F, "Successful", Kickstarter!$D:$D, "&gt;=30000", Kickstarter!$R:$R, "plays", Kickstarter!$D:$D, "&lt;=34999")</f>
        <v>3</v>
      </c>
      <c r="C9">
        <f>COUNTIFS(Kickstarter!$F:$F, "Failed", Kickstarter!$D:$D, "&gt;=30000", Kickstarter!$R:$R, "plays", Kickstarter!$D:$D, "&lt;=34999")</f>
        <v>8</v>
      </c>
      <c r="D9">
        <f>COUNTIFS(Kickstarter!$F:$F, "Canceled", Kickstarter!$D:$D, "&gt;30000", Kickstarter!$R:$R, "plays", Kickstarter!$D:$D, "&lt;34999")</f>
        <v>0</v>
      </c>
      <c r="E9">
        <f t="shared" si="0"/>
        <v>11</v>
      </c>
      <c r="F9" s="20">
        <f t="shared" si="1"/>
        <v>27.27272727272727</v>
      </c>
      <c r="G9" s="21">
        <f t="shared" si="2"/>
        <v>72.727272727272734</v>
      </c>
      <c r="H9" s="21">
        <v>0</v>
      </c>
    </row>
    <row r="10" spans="1:8" x14ac:dyDescent="0.25">
      <c r="A10" t="s">
        <v>8402</v>
      </c>
      <c r="B10">
        <f>COUNTIFS(Kickstarter!$F:$F, "Successful", Kickstarter!$D:$D, "&gt;=35000", Kickstarter!$R:$R, "plays", Kickstarter!$D:$D, "&lt;=39999")</f>
        <v>4</v>
      </c>
      <c r="C10">
        <f>COUNTIFS(Kickstarter!$F:$F, "Failed", Kickstarter!$D:$D, "&gt;=35000", Kickstarter!$R:$R, "plays", Kickstarter!$D:$D, "&lt;=39999")</f>
        <v>2</v>
      </c>
      <c r="D10">
        <f>COUNTIFS(Kickstarter!$F:$F, "Canceled", Kickstarter!$D:$D, "&gt;35000", Kickstarter!$R:$R, "plays", Kickstarter!$D:$D, "&lt;39999")</f>
        <v>0</v>
      </c>
      <c r="E10">
        <f t="shared" si="0"/>
        <v>6</v>
      </c>
      <c r="F10" s="20">
        <f t="shared" si="1"/>
        <v>66.666666666666657</v>
      </c>
      <c r="G10" s="21">
        <f t="shared" si="2"/>
        <v>33.333333333333329</v>
      </c>
      <c r="H10" s="21">
        <v>0</v>
      </c>
    </row>
    <row r="11" spans="1:8" x14ac:dyDescent="0.25">
      <c r="A11" t="s">
        <v>8403</v>
      </c>
      <c r="B11">
        <f>COUNTIFS(Kickstarter!$F:$F, "Successful", Kickstarter!$D:$D, "&gt;=40000", Kickstarter!$R:$R, "plays", Kickstarter!$D:$D, "&lt;=44999")</f>
        <v>2</v>
      </c>
      <c r="C11">
        <f>COUNTIFS(Kickstarter!$F:$F, "Failed", Kickstarter!$D:$D, "&gt;=40000", Kickstarter!$R:$R, "plays", Kickstarter!$D:$D, "&lt;=44999")</f>
        <v>1</v>
      </c>
      <c r="D11">
        <f>COUNTIFS(Kickstarter!$F:$F, "Canceled", Kickstarter!$D:$D, "&gt;40000", Kickstarter!$R:$R, "plays", Kickstarter!$D:$D, "&lt;44999")</f>
        <v>0</v>
      </c>
      <c r="E11">
        <f t="shared" si="0"/>
        <v>3</v>
      </c>
      <c r="F11" s="20">
        <f t="shared" si="1"/>
        <v>66.666666666666657</v>
      </c>
      <c r="G11" s="21">
        <f t="shared" si="2"/>
        <v>33.333333333333329</v>
      </c>
      <c r="H11" s="21">
        <v>0</v>
      </c>
    </row>
    <row r="12" spans="1:8" x14ac:dyDescent="0.25">
      <c r="A12" t="s">
        <v>8404</v>
      </c>
      <c r="B12">
        <f>COUNTIFS(Kickstarter!$F:$F, "Successful", Kickstarter!$D:$D, "&gt;=45000", Kickstarter!$R:$R, "plays", Kickstarter!$D:$D, "&lt;=49999")</f>
        <v>0</v>
      </c>
      <c r="C12">
        <f>COUNTIFS(Kickstarter!$F:$F, "Failed", Kickstarter!$D:$D, "&gt;=45000", Kickstarter!$R:$R, "plays", Kickstarter!$D:$D, "&lt;=49999")</f>
        <v>1</v>
      </c>
      <c r="D12">
        <f>COUNTIFS(Kickstarter!$F:$F, "Canceled", Kickstarter!$D:$D, "&gt;45000", Kickstarter!$R:$R, "plays", Kickstarter!$D:$D, "&lt;49999")</f>
        <v>0</v>
      </c>
      <c r="E12">
        <f t="shared" si="0"/>
        <v>1</v>
      </c>
      <c r="F12" s="20">
        <f t="shared" si="1"/>
        <v>0</v>
      </c>
      <c r="G12" s="21">
        <f t="shared" si="2"/>
        <v>100</v>
      </c>
      <c r="H12" s="21">
        <v>0</v>
      </c>
    </row>
    <row r="13" spans="1:8" x14ac:dyDescent="0.25">
      <c r="A13" t="s">
        <v>8405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"&gt;50000", Kickstarter!$R:$R, "plays")</f>
        <v>0</v>
      </c>
      <c r="E13">
        <f t="shared" si="0"/>
        <v>16</v>
      </c>
      <c r="F13" s="20">
        <f t="shared" si="1"/>
        <v>12.5</v>
      </c>
      <c r="G13" s="21">
        <f t="shared" si="2"/>
        <v>87.5</v>
      </c>
      <c r="H13" s="21">
        <v>0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ySplit="1" topLeftCell="A2" activePane="bottomLeft" state="frozen"/>
      <selection pane="bottomLeft" activeCell="D124" sqref="D1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0.5703125" style="10" customWidth="1"/>
    <col min="16" max="16" width="32.5703125" customWidth="1"/>
    <col min="17" max="17" width="22.140625" customWidth="1"/>
    <col min="18" max="18" width="15.140625" customWidth="1"/>
    <col min="19" max="19" width="23.5703125" style="17" customWidth="1"/>
    <col min="20" max="20" width="22.140625" style="17" customWidth="1"/>
    <col min="21" max="21" width="16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8359</v>
      </c>
      <c r="R1" s="1" t="s">
        <v>8358</v>
      </c>
      <c r="S1" s="16" t="s">
        <v>8365</v>
      </c>
      <c r="T1" s="17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3">
      <filters>
        <filter val="$25,000.00"/>
      </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8" priority="5" operator="equal">
      <formula>"failed"</formula>
    </cfRule>
    <cfRule type="cellIs" dxfId="7" priority="6" operator="equal">
      <formula>"canceled"</formula>
    </cfRule>
    <cfRule type="cellIs" dxfId="6" priority="7" operator="equal">
      <formula>"cancelled"</formula>
    </cfRule>
    <cfRule type="cellIs" dxfId="5" priority="8" operator="equal">
      <formula>"failure"</formula>
    </cfRule>
    <cfRule type="cellIs" dxfId="4" priority="9" operator="equal">
      <formula>"Failure"</formula>
    </cfRule>
    <cfRule type="cellIs" dxfId="3" priority="10" operator="equal">
      <formula>"Failure"</formula>
    </cfRule>
    <cfRule type="cellIs" dxfId="2" priority="11" operator="equal">
      <formula>"Successful"</formula>
    </cfRule>
    <cfRule type="cellIs" dxfId="1" priority="12" operator="equal">
      <formula>"Live"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A5BC0-DD49-4FA3-8765-34D1A31B6E6D}">
  <dimension ref="A1:F6"/>
  <sheetViews>
    <sheetView workbookViewId="0">
      <selection activeCell="A9" sqref="A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4D395-962D-4DAE-83CB-E10AD4F19034}">
  <dimension ref="A1:E7"/>
  <sheetViews>
    <sheetView tabSelected="1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8364</v>
      </c>
    </row>
    <row r="2" spans="1:5" x14ac:dyDescent="0.25">
      <c r="A2" s="13" t="s">
        <v>8359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C564B-FE29-490A-B1C0-7E0050883A96}">
  <dimension ref="A1:E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8373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25">
      <c r="A7" s="18" t="s">
        <v>8374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25">
      <c r="A8" s="18" t="s">
        <v>8375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25">
      <c r="A9" s="18" t="s">
        <v>8376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25">
      <c r="A10" s="18" t="s">
        <v>8367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25">
      <c r="A11" s="18" t="s">
        <v>8377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25">
      <c r="A12" s="18" t="s">
        <v>8368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25">
      <c r="A13" s="18" t="s">
        <v>8369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25">
      <c r="A14" s="18" t="s">
        <v>8370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25">
      <c r="A15" s="18" t="s">
        <v>8371</v>
      </c>
      <c r="B15" s="15"/>
      <c r="C15" s="15">
        <v>50</v>
      </c>
      <c r="D15" s="15">
        <v>65</v>
      </c>
      <c r="E15" s="15">
        <v>115</v>
      </c>
    </row>
    <row r="16" spans="1:5" x14ac:dyDescent="0.25">
      <c r="A16" s="18" t="s">
        <v>8372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25">
      <c r="A17" s="18" t="s">
        <v>8378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25">
      <c r="A18" s="18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AF0B-B340-4DEC-9446-BCEE33A732AB}">
  <dimension ref="A1:G6"/>
  <sheetViews>
    <sheetView zoomScale="120" zoomScaleNormal="120" workbookViewId="0">
      <selection activeCell="K6" sqref="K6"/>
    </sheetView>
  </sheetViews>
  <sheetFormatPr defaultRowHeight="15" x14ac:dyDescent="0.25"/>
  <cols>
    <col min="1" max="1" width="43.140625" customWidth="1"/>
    <col min="2" max="2" width="48.28515625" customWidth="1"/>
    <col min="5" max="5" width="18.5703125" customWidth="1"/>
    <col min="6" max="6" width="21.28515625" customWidth="1"/>
    <col min="7" max="7" width="12.42578125" customWidth="1"/>
  </cols>
  <sheetData>
    <row r="1" spans="1:7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</row>
    <row r="2" spans="1:7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  <c r="G2" t="str">
        <f>VLOOKUP(A2, Kickstarter!B:T, 5, FALSE)</f>
        <v>successful</v>
      </c>
    </row>
    <row r="3" spans="1:7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  <c r="G3" t="str">
        <f>VLOOKUP(A3, Kickstarter!B:T, 5, FALSE)</f>
        <v>successful</v>
      </c>
    </row>
    <row r="4" spans="1:7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  <c r="G4" t="str">
        <f>VLOOKUP(A4, Kickstarter!B:T, 5, FALSE)</f>
        <v>successful</v>
      </c>
    </row>
    <row r="5" spans="1:7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  <c r="G5" t="str">
        <f>VLOOKUP(A5, Kickstarter!B:T, 5, FALSE)</f>
        <v>successful</v>
      </c>
    </row>
    <row r="6" spans="1:7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  <c r="G6" t="str">
        <f>VLOOKUP(A6, Kickstarter!B:T, 5, FALSE)</f>
        <v>successful</v>
      </c>
    </row>
  </sheetData>
  <conditionalFormatting sqref="G1:G1048576">
    <cfRule type="cellIs" dxfId="0" priority="1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Theatre Outcomes (Launch Date)</vt:lpstr>
      <vt:lpstr>Outcomes (Goals)</vt:lpstr>
      <vt:lpstr>Kickstarter</vt:lpstr>
      <vt:lpstr>Pivot (Category, Outcomes)</vt:lpstr>
      <vt:lpstr>Pivot (Subcategory, Outcomes)</vt:lpstr>
      <vt:lpstr>Outcomes (Launch Date)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Katsuko Day</cp:lastModifiedBy>
  <dcterms:created xsi:type="dcterms:W3CDTF">2017-04-20T15:17:24Z</dcterms:created>
  <dcterms:modified xsi:type="dcterms:W3CDTF">2022-03-12T01:52:24Z</dcterms:modified>
</cp:coreProperties>
</file>