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2023" sheetId="1" r:id="rId4"/>
    <sheet state="hidden" name="SA2022" sheetId="2" r:id="rId5"/>
    <sheet state="hidden" name="SA2024" sheetId="3" r:id="rId6"/>
    <sheet state="hidden" name="SA2025" sheetId="4" r:id="rId7"/>
    <sheet state="visible" name="DAM2025" sheetId="5" r:id="rId8"/>
    <sheet state="hidden" name="CZ" sheetId="6" r:id="rId9"/>
    <sheet state="hidden" name="DigitalMethods" sheetId="7" r:id="rId10"/>
    <sheet state="hidden" name="DM2023" sheetId="8" r:id="rId11"/>
    <sheet state="hidden" name="GODH" sheetId="9" r:id="rId12"/>
    <sheet state="hidden" name="Mie_Places" sheetId="10" r:id="rId13"/>
    <sheet state="hidden" name="Sarahs_FavoritePlacesDM2021" sheetId="11" r:id="rId14"/>
    <sheet state="hidden" name="FavoritePlacesDM2021" sheetId="12" r:id="rId15"/>
    <sheet state="hidden" name="NicePlacesinDK" sheetId="13" r:id="rId16"/>
    <sheet state="hidden" name="FavoritePlacesDK2021SA" sheetId="14" r:id="rId17"/>
    <sheet state="visible" name="Lookups" sheetId="15" r:id="rId18"/>
  </sheets>
  <definedNames/>
  <calcPr/>
</workbook>
</file>

<file path=xl/sharedStrings.xml><?xml version="1.0" encoding="utf-8"?>
<sst xmlns="http://schemas.openxmlformats.org/spreadsheetml/2006/main" count="2054" uniqueCount="1396">
  <si>
    <t>Placename</t>
  </si>
  <si>
    <t>Type</t>
  </si>
  <si>
    <t>Coordinates</t>
  </si>
  <si>
    <t>Latitude</t>
  </si>
  <si>
    <t>Longitude</t>
  </si>
  <si>
    <t>Description</t>
  </si>
  <si>
    <t>Stars1_5</t>
  </si>
  <si>
    <t>Notes</t>
  </si>
  <si>
    <t>Aalborg</t>
  </si>
  <si>
    <t>cultural moment</t>
  </si>
  <si>
    <t>57.0482555,9.913457</t>
  </si>
  <si>
    <t>Our Lady Streetart in Aalborg</t>
  </si>
  <si>
    <t>Adela's example</t>
  </si>
  <si>
    <t>Egtvedpigens grav</t>
  </si>
  <si>
    <t>55.6284615,9.2806178</t>
  </si>
  <si>
    <t>Burial site of a girl from The Bronze Age. There's a current discussion going in academia about whether she was even from the area or in fact from northern Germany.</t>
  </si>
  <si>
    <t>Den sidste</t>
  </si>
  <si>
    <t>fun</t>
  </si>
  <si>
    <t>56.1600663,10.2071595</t>
  </si>
  <si>
    <t>Bazar Vest</t>
  </si>
  <si>
    <t>56.1629429,10.13143</t>
  </si>
  <si>
    <t>Many nice foods from various origins</t>
  </si>
  <si>
    <t>Varna Palæet</t>
  </si>
  <si>
    <t>homes</t>
  </si>
  <si>
    <t>56.1247776,10.2164328</t>
  </si>
  <si>
    <t>Force Majeure</t>
  </si>
  <si>
    <t>56.1596396,10.2064371</t>
  </si>
  <si>
    <t>Great cocktails</t>
  </si>
  <si>
    <t>Vikingetræf</t>
  </si>
  <si>
    <t>56.0867844,10.2418259</t>
  </si>
  <si>
    <t>Vandtårn på Volden</t>
  </si>
  <si>
    <t>55.5685898,9.7535174</t>
  </si>
  <si>
    <t>Why its worth visiting Fredericia</t>
  </si>
  <si>
    <t>Koldkrigsmuseet REGAN Vest</t>
  </si>
  <si>
    <t>56.8208508,9.7934042</t>
  </si>
  <si>
    <t>Old bunker</t>
  </si>
  <si>
    <t>Den Genfundne Bro</t>
  </si>
  <si>
    <t>56.1854662,9.8719751</t>
  </si>
  <si>
    <t>Old bridge</t>
  </si>
  <si>
    <t>Den Permanente</t>
  </si>
  <si>
    <t>56.17672,10.2226783</t>
  </si>
  <si>
    <t>Great place to swim and enjoy the sun</t>
  </si>
  <si>
    <t>Det Ny Sletten</t>
  </si>
  <si>
    <t>nature</t>
  </si>
  <si>
    <t>56.1117879,9.6667916</t>
  </si>
  <si>
    <t>Geat place for beautiful nature views</t>
  </si>
  <si>
    <t>Bornholms ismejeri</t>
  </si>
  <si>
    <t>travel</t>
  </si>
  <si>
    <t>55.1357849,15.142311</t>
  </si>
  <si>
    <t>Very good ice cream on Bornholm</t>
  </si>
  <si>
    <t>Den Gamle by</t>
  </si>
  <si>
    <t>education</t>
  </si>
  <si>
    <t>56.1587826,10.1899265</t>
  </si>
  <si>
    <t>Museum and hygge</t>
  </si>
  <si>
    <t>Legoland</t>
  </si>
  <si>
    <t>55.7355109,9.1246159</t>
  </si>
  <si>
    <t>Amusement park with LEGO theme</t>
  </si>
  <si>
    <t>Fregatten Jylland</t>
  </si>
  <si>
    <t>56.1962066,10.6711691</t>
  </si>
  <si>
    <t>The most glorious battle vessel Denmark has ever produced, involved in The Battle of Helgoland - one of the only Danish victories during the war of 1864.</t>
  </si>
  <si>
    <t>Aleks W's example</t>
  </si>
  <si>
    <t>La Cabra Coffee</t>
  </si>
  <si>
    <t>56.1587522,10.2082123</t>
  </si>
  <si>
    <t>Best Coffee in Aarhus</t>
  </si>
  <si>
    <t>Skagen "Grenen"</t>
  </si>
  <si>
    <t>57.7430915,10.6436888</t>
  </si>
  <si>
    <t>Where two oceans met in Denmark</t>
  </si>
  <si>
    <t>Gaijin Ramen</t>
  </si>
  <si>
    <t>56.161399,10.2079132</t>
  </si>
  <si>
    <t>Good food in Aarhus</t>
  </si>
  <si>
    <t>Gudmindrup Strand</t>
  </si>
  <si>
    <t>55.9069344,11.5169013</t>
  </si>
  <si>
    <t>nice beach :-)</t>
  </si>
  <si>
    <t>Great Belt Bridge</t>
  </si>
  <si>
    <t>55.3336704,10.9717117</t>
  </si>
  <si>
    <t>A very large suspension bridge</t>
  </si>
  <si>
    <t>Christiania</t>
  </si>
  <si>
    <t>55.6738165,12.5985903</t>
  </si>
  <si>
    <t>Interesting place</t>
  </si>
  <si>
    <t>Boksen in Herning</t>
  </si>
  <si>
    <t>56.1183751,8.9501455</t>
  </si>
  <si>
    <t xml:space="preserve">Volbeat and handball </t>
  </si>
  <si>
    <t>Frederik's example</t>
  </si>
  <si>
    <t>Thy national park</t>
  </si>
  <si>
    <t>56.9584784,8.3664659</t>
  </si>
  <si>
    <t>Very pretty, lots of PFAS pollution though :((</t>
  </si>
  <si>
    <t>Ali Baba</t>
  </si>
  <si>
    <t>56.1577346,10.2038688</t>
  </si>
  <si>
    <t>slice</t>
  </si>
  <si>
    <t>Roskilde festival</t>
  </si>
  <si>
    <t>55.6700633,11.9408798</t>
  </si>
  <si>
    <t>crazy daisy haderslev</t>
  </si>
  <si>
    <t>55.2504831,9.4831714,</t>
  </si>
  <si>
    <t>place to go crazy daisy</t>
  </si>
  <si>
    <t>crazy daisy vejen</t>
  </si>
  <si>
    <t>55.474437,9.1326326</t>
  </si>
  <si>
    <t xml:space="preserve">place to go crazy daisy </t>
  </si>
  <si>
    <t>Schawarma King</t>
  </si>
  <si>
    <t>56.1574515,10.2052362</t>
  </si>
  <si>
    <t>57.6963484,10.3577893</t>
  </si>
  <si>
    <t>Blokhus</t>
  </si>
  <si>
    <t>56.4147484,9.8114913</t>
  </si>
  <si>
    <t>Furreby Kystbatteri</t>
  </si>
  <si>
    <t>57.3788604,9.720357</t>
  </si>
  <si>
    <t>Creat collection of old bunkers</t>
  </si>
  <si>
    <t>The curling hall in Esbjerg</t>
  </si>
  <si>
    <t>55.4821298,8.4343282</t>
  </si>
  <si>
    <t>A place to play curling</t>
  </si>
  <si>
    <t>Skødshoved Skrænter</t>
  </si>
  <si>
    <t>56.1735955,10.3789191</t>
  </si>
  <si>
    <t>Go for a light hike, with a beautiful view right to Aarhus</t>
  </si>
  <si>
    <t>Svendborg Harbor</t>
  </si>
  <si>
    <t>55.0575849,10.6166223</t>
  </si>
  <si>
    <t>The best spot on Svenborg harbor to look and enjoys the traffic on land and by sea</t>
  </si>
  <si>
    <t>Nikita's example</t>
  </si>
  <si>
    <t>Skødshoved havn</t>
  </si>
  <si>
    <t>56.1812218,10.3770879</t>
  </si>
  <si>
    <t>Go crabfishing for (almost tame) crabs, let them free and watch them do a crabrace back to the sea</t>
  </si>
  <si>
    <t>Alex mom</t>
  </si>
  <si>
    <t>56.1829922,10.2211167</t>
  </si>
  <si>
    <t>Go visit Alex mom, she'll probably offer you tea</t>
  </si>
  <si>
    <t>Skødshoved strands finest part</t>
  </si>
  <si>
    <t>56.1791115,10.3776511</t>
  </si>
  <si>
    <t>Lay on the beach and enjoy the finest sand, child-friendly sea and view directly to Aarhus</t>
  </si>
  <si>
    <t>Copenhagen</t>
  </si>
  <si>
    <t>55.6674960,12.5315550</t>
  </si>
  <si>
    <t>Excellent Pizza place</t>
  </si>
  <si>
    <t>Aarhus</t>
  </si>
  <si>
    <t>56.1601680, 10.2094531</t>
  </si>
  <si>
    <t>Øst for Paradis</t>
  </si>
  <si>
    <t>Mols Bjerge</t>
  </si>
  <si>
    <t>56.226767, 10.571884</t>
  </si>
  <si>
    <t>Pretty</t>
  </si>
  <si>
    <t>56.1485225,10.1946845</t>
  </si>
  <si>
    <t>Great vegan burgers</t>
  </si>
  <si>
    <t>56.1712340, 10.2003382</t>
  </si>
  <si>
    <t>Studenterhus Aarhus</t>
  </si>
  <si>
    <t>Salsa night every sunday!</t>
  </si>
  <si>
    <t>Klit Møller</t>
  </si>
  <si>
    <t>57.04422874316184, 8.481764683795328</t>
  </si>
  <si>
    <t>Surfing location</t>
  </si>
  <si>
    <t>Billund</t>
  </si>
  <si>
    <t>55.728449, 9.112366</t>
  </si>
  <si>
    <t>Dybbøl Mølle</t>
  </si>
  <si>
    <t>Historic Place</t>
  </si>
  <si>
    <t>54.909063233444954, 9.75876201265655</t>
  </si>
  <si>
    <t>One of the places, and without a doubt the most famous, Denmark was absolutly demolished by prussian forces in the 2nd Schelswig War.</t>
  </si>
  <si>
    <t>Mostly fun for historically interessed individuals.</t>
  </si>
  <si>
    <t>Hammerhus Castle Ruins</t>
  </si>
  <si>
    <t>55.27138393795272, 14.755953397685188</t>
  </si>
  <si>
    <t>The famous castle ruins on Bornholm. It was onced used as a prison to house VIP's such as Corfitz and Leonora Christina Ulfeldt.</t>
  </si>
  <si>
    <t>Randers Regnskov</t>
  </si>
  <si>
    <t xml:space="preserve">  Zoo</t>
  </si>
  <si>
    <t>56.4571231,10.0303439</t>
  </si>
  <si>
    <t>Musvitten / Thyholm</t>
  </si>
  <si>
    <t>Hygge / nature</t>
  </si>
  <si>
    <t>56.5877969,8.5213843</t>
  </si>
  <si>
    <t>Grandmother's cabin right by the Limfjord</t>
  </si>
  <si>
    <t>Private cabin but public beach - best place to calm down</t>
  </si>
  <si>
    <t>Alsik hotel</t>
  </si>
  <si>
    <t>Restaurant</t>
  </si>
  <si>
    <t>54.9143188,9.7812241</t>
  </si>
  <si>
    <t>Big tower where Jesper Koch's restaurant is located at the very top.</t>
  </si>
  <si>
    <t xml:space="preserve">I'm sure the food is great, but the tower is ugly. </t>
  </si>
  <si>
    <t>Nordborg Slot</t>
  </si>
  <si>
    <t>Culture</t>
  </si>
  <si>
    <t>55.059329,9.7471357</t>
  </si>
  <si>
    <t>Nice castle that hosts a great music festival</t>
  </si>
  <si>
    <t>Skagen (Grenen)</t>
  </si>
  <si>
    <t>Nature</t>
  </si>
  <si>
    <t>57.74599, 10.65095</t>
  </si>
  <si>
    <t>Beautiful nature.</t>
  </si>
  <si>
    <t>Samsø</t>
  </si>
  <si>
    <t>holiday island</t>
  </si>
  <si>
    <t>55.824976, 10.604435</t>
  </si>
  <si>
    <t>cozy island for vacations</t>
  </si>
  <si>
    <t>Fanø</t>
  </si>
  <si>
    <t>55.438059931811196, 8.360101998778733</t>
  </si>
  <si>
    <t>Christiansborg</t>
  </si>
  <si>
    <t>Parlament</t>
  </si>
  <si>
    <t>55.6772290735211, 12.582332747004298</t>
  </si>
  <si>
    <t>The danish parlament and seat of government. Christiansborg was the old royal palace, but after it burnt down in 1794 / 1885, it was rebuilt and instead occupied by the danish government.</t>
  </si>
  <si>
    <t>A must visit for anybody interested in danish history and politics.</t>
  </si>
  <si>
    <t>Odense</t>
  </si>
  <si>
    <t>55.3987223,10.3886106</t>
  </si>
  <si>
    <t>HC Andersen Hus</t>
  </si>
  <si>
    <t>Herning</t>
  </si>
  <si>
    <t>Art museum</t>
  </si>
  <si>
    <t>56.1321311,9.0200594</t>
  </si>
  <si>
    <t>HEART Herning Museum of Contemporary Art</t>
  </si>
  <si>
    <r>
      <rPr>
        <rFont val="Arial"/>
        <color theme="1"/>
      </rPr>
      <t xml:space="preserve">One of the places where you can see Italian artist Piero Manzoni's piece </t>
    </r>
    <r>
      <rPr>
        <rFont val="Arial"/>
        <i/>
        <color theme="1"/>
      </rPr>
      <t>Merda d'artista</t>
    </r>
    <r>
      <rPr>
        <rFont val="Arial"/>
        <color theme="1"/>
      </rPr>
      <t xml:space="preserve"> (aka Artist's Shit).</t>
    </r>
  </si>
  <si>
    <t>Ejer Baunehøj</t>
  </si>
  <si>
    <t>"Mountain"</t>
  </si>
  <si>
    <t>55.9777778, 9.8330556</t>
  </si>
  <si>
    <t>Highest place in Denmark</t>
  </si>
  <si>
    <t>Hanstholm</t>
  </si>
  <si>
    <t>Nature/Cultural monument</t>
  </si>
  <si>
    <t>57.120834,8.6143056</t>
  </si>
  <si>
    <t>Bunkermuseum Hanstholm</t>
  </si>
  <si>
    <t>A beautiful area to go for a walk (you don't even have to go into the actual museum to enjoy visiting the place).</t>
  </si>
  <si>
    <t>Den Blå Planet</t>
  </si>
  <si>
    <t xml:space="preserve">Animals </t>
  </si>
  <si>
    <t>55.62818, 12.65571</t>
  </si>
  <si>
    <t xml:space="preserve">So many cool animals but there are kids absolutely everywhere </t>
  </si>
  <si>
    <t>Troldhøj</t>
  </si>
  <si>
    <t>Cabin</t>
  </si>
  <si>
    <t>55.0044807,9.8836249</t>
  </si>
  <si>
    <t>A large cabin in Nørreskoven, one of Denmarks longest forests.</t>
  </si>
  <si>
    <t xml:space="preserve">A lot of spiders in there though. </t>
  </si>
  <si>
    <t>København</t>
  </si>
  <si>
    <t>Zoo</t>
  </si>
  <si>
    <t>55.6724123,12.5191694</t>
  </si>
  <si>
    <t>København Zoo</t>
  </si>
  <si>
    <t>Skive Museum</t>
  </si>
  <si>
    <t>56.5695813,9.0344728</t>
  </si>
  <si>
    <t>A nice museum with both art and cultural history</t>
  </si>
  <si>
    <t>Nice historical exhibition for kids where they can play and have fun</t>
  </si>
  <si>
    <t>water park</t>
  </si>
  <si>
    <t>55.7331014,9.1355325</t>
  </si>
  <si>
    <t>Lalandia - huge waterpark</t>
  </si>
  <si>
    <t xml:space="preserve">very fun </t>
  </si>
  <si>
    <t>Mollerup Skov</t>
  </si>
  <si>
    <t>56.2032959,10.190962</t>
  </si>
  <si>
    <t xml:space="preserve">Small forest </t>
  </si>
  <si>
    <t>nice for walks and you might see cute highland cows</t>
  </si>
  <si>
    <t>56.1572237,10.2092291</t>
  </si>
  <si>
    <t>KØN museum</t>
  </si>
  <si>
    <t>exhibitions concerning gender</t>
  </si>
  <si>
    <t>56.1761411,10.2175407</t>
  </si>
  <si>
    <t>Riis Skov</t>
  </si>
  <si>
    <t>A nice place to go for a walk or a run. You can even pick ramson there in the spring (just be careful you don't pick the similar looking but highly poisonous lily of the valley instead).</t>
  </si>
  <si>
    <t>Koldinghus</t>
  </si>
  <si>
    <t>55.491593,9.4741576</t>
  </si>
  <si>
    <t>Beautiful castle</t>
  </si>
  <si>
    <t>Castle with cultural historic museum</t>
  </si>
  <si>
    <t xml:space="preserve">Dronningmølle </t>
  </si>
  <si>
    <t>56.0864107,12.3963899</t>
  </si>
  <si>
    <t>Rudolph Tegners Museum</t>
  </si>
  <si>
    <t xml:space="preserve">Interesting architecture and beautiful art </t>
  </si>
  <si>
    <t>Esbjerg</t>
  </si>
  <si>
    <t>Water Park</t>
  </si>
  <si>
    <t>55.4786324,8.435908</t>
  </si>
  <si>
    <t>The biggest svømmestadion in  Denmark</t>
  </si>
  <si>
    <t>Den Gamle By</t>
  </si>
  <si>
    <t>Museum</t>
  </si>
  <si>
    <t>56.15888413307946, 10.192125934604343</t>
  </si>
  <si>
    <t>Historical Amusement Park</t>
  </si>
  <si>
    <t xml:space="preserve">Himmelbjerget </t>
  </si>
  <si>
    <t xml:space="preserve">Monument </t>
  </si>
  <si>
    <t>56.1053065,9.6848622,15</t>
  </si>
  <si>
    <t>Papirtårnet</t>
  </si>
  <si>
    <t>Building</t>
  </si>
  <si>
    <t>56.17317429728296, 9.556957520183968</t>
  </si>
  <si>
    <t>Tall tower with a view over Silkeborg, and posters with historic information of nearby events and buildings.</t>
  </si>
  <si>
    <t>Trælund</t>
  </si>
  <si>
    <t>56.2010145,8.9632962</t>
  </si>
  <si>
    <t>Himmel Bjerget</t>
  </si>
  <si>
    <t>56.104165, 9.669434</t>
  </si>
  <si>
    <t>Hill that his been called tall</t>
  </si>
  <si>
    <t>Boat trip is fun if you go by boat</t>
  </si>
  <si>
    <t>Odense Domkirke</t>
  </si>
  <si>
    <t>church</t>
  </si>
  <si>
    <t>55.3953875,10.389136</t>
  </si>
  <si>
    <t xml:space="preserve">chruch with knud den helliges bones </t>
  </si>
  <si>
    <t>nobelparken</t>
  </si>
  <si>
    <t>monument to education</t>
  </si>
  <si>
    <t>56.1725556,10.205593</t>
  </si>
  <si>
    <t>Dansk stenanlæg ApS</t>
  </si>
  <si>
    <t>Business</t>
  </si>
  <si>
    <t>56.205574,8.9065236</t>
  </si>
  <si>
    <t>a place you buy rocks</t>
  </si>
  <si>
    <t>support local business</t>
  </si>
  <si>
    <t>Sommerhus</t>
  </si>
  <si>
    <t>Family house</t>
  </si>
  <si>
    <t>56.28140,10.69054</t>
  </si>
  <si>
    <t>Families holiday house</t>
  </si>
  <si>
    <t>CoordinatesFILLTHIS</t>
  </si>
  <si>
    <t>57.0782773,9.9121597</t>
  </si>
  <si>
    <t>Lindholm Høje Viking Burial Grounds</t>
  </si>
  <si>
    <t>56.1212154,10.2263854</t>
  </si>
  <si>
    <t>Ballehage Strand - great spot for bathing</t>
  </si>
  <si>
    <t>56.1604056,10.2227878</t>
  </si>
  <si>
    <t>Hobro</t>
  </si>
  <si>
    <t>Food</t>
  </si>
  <si>
    <t>56.7243699,9.8218164</t>
  </si>
  <si>
    <t>Vebbestrup icecream - very good (and cheap) softice</t>
  </si>
  <si>
    <t>Nykøbing Mors</t>
  </si>
  <si>
    <t>56.8949441,8.7517242</t>
  </si>
  <si>
    <t>Hanklit - beautiful view of Mors and Limfjorden</t>
  </si>
  <si>
    <t>Viborg</t>
  </si>
  <si>
    <t>56.4494857,9.4079267</t>
  </si>
  <si>
    <t xml:space="preserve">Viborg domkirke </t>
  </si>
  <si>
    <t>56.1724375,10.2006663</t>
  </si>
  <si>
    <t>Nobelparken</t>
  </si>
  <si>
    <t>Odder</t>
  </si>
  <si>
    <t>56.0005861,10.0823332</t>
  </si>
  <si>
    <t>Jens Henning Dahl Automobiler</t>
  </si>
  <si>
    <t>56.1373784,10.1961905</t>
  </si>
  <si>
    <t>Tivoli Friheden</t>
  </si>
  <si>
    <t>56.1825118,10.1820681</t>
  </si>
  <si>
    <t>Disc golf Vestereng, close to town but difficult terrain for throwing - dense forest!</t>
  </si>
  <si>
    <t>Sønderhav</t>
  </si>
  <si>
    <t>54.8596096,9.4962192</t>
  </si>
  <si>
    <t>Best ice cream in Denmark</t>
  </si>
  <si>
    <t>56.4793265,9.3751815</t>
  </si>
  <si>
    <t>Goat pen inside a forest. 3 goat kids!!!</t>
  </si>
  <si>
    <t>56.2024179,10.2021879</t>
  </si>
  <si>
    <t>Cute fluffy cows can be found in this forest</t>
  </si>
  <si>
    <t>55.3984075,10.3879438</t>
  </si>
  <si>
    <t>H.C. Andersen's House</t>
  </si>
  <si>
    <t>57.0515096,9.9137669</t>
  </si>
  <si>
    <t>Czech Beer</t>
  </si>
  <si>
    <t>Tune</t>
  </si>
  <si>
    <t>55.6258852,12.1728262</t>
  </si>
  <si>
    <t>Hedeland Skibakke</t>
  </si>
  <si>
    <t>56.1586863,10.2104028</t>
  </si>
  <si>
    <t>Great vegan food</t>
  </si>
  <si>
    <t>Fredericia</t>
  </si>
  <si>
    <t>55.5678293,9.7483656</t>
  </si>
  <si>
    <t>Fredericia Fortress</t>
  </si>
  <si>
    <t>Møns Klint</t>
  </si>
  <si>
    <t>54.9657332,12.5480077</t>
  </si>
  <si>
    <t>6 km stretch of chalk cliffs</t>
  </si>
  <si>
    <t>Rosenvold</t>
  </si>
  <si>
    <t>55.6784866,9.810002</t>
  </si>
  <si>
    <t xml:space="preserve">Nice place for a walk </t>
  </si>
  <si>
    <t>56.1168184, 8.8693314</t>
  </si>
  <si>
    <t>The official stadium of FC Midtjylland</t>
  </si>
  <si>
    <t>Kolding</t>
  </si>
  <si>
    <t>55.4905388,9.4799818</t>
  </si>
  <si>
    <t>A Jazz Club</t>
  </si>
  <si>
    <t>Aabenraa</t>
  </si>
  <si>
    <t>55.0375842,9.3623004</t>
  </si>
  <si>
    <t>Kongehøjen, the place where the Danish flag was presented to people for the first time</t>
  </si>
  <si>
    <t>55.673992,12.5925423</t>
  </si>
  <si>
    <t>Loppen, a music venue</t>
  </si>
  <si>
    <t>Haderslev</t>
  </si>
  <si>
    <t>55.2516569,9.485808</t>
  </si>
  <si>
    <t>Tribunen, a bar with a great pub quiz</t>
  </si>
  <si>
    <t>AU 1485-642</t>
  </si>
  <si>
    <t>56.17305,10.20657</t>
  </si>
  <si>
    <t>Our Classroom in Nobelparken</t>
  </si>
  <si>
    <t>Daniel's example</t>
  </si>
  <si>
    <t>Skagen</t>
  </si>
  <si>
    <t>57.72093,10.58394</t>
  </si>
  <si>
    <t>The most northern town in Denmark</t>
  </si>
  <si>
    <t>56.15660752806087, 10.206765257607698</t>
  </si>
  <si>
    <t>Aarhus Å</t>
  </si>
  <si>
    <t>54.964023, 12.552006</t>
  </si>
  <si>
    <t xml:space="preserve">Limestone and chalk cliffs </t>
  </si>
  <si>
    <t>Nordby</t>
  </si>
  <si>
    <t>55.9637, 10.5529</t>
  </si>
  <si>
    <t>Norby, a cute village in Samsø</t>
  </si>
  <si>
    <t>Lalandia</t>
  </si>
  <si>
    <t>55.7334143,9.1372008</t>
  </si>
  <si>
    <t>Aqua park in Billund</t>
  </si>
  <si>
    <t>le coq</t>
  </si>
  <si>
    <t>56.15869580374485, 10.21077217081422</t>
  </si>
  <si>
    <t>cheep beer and good vibes</t>
  </si>
  <si>
    <t>Anholt</t>
  </si>
  <si>
    <t>56.70294022439084, 11.567901422419755</t>
  </si>
  <si>
    <t>almind sø (silkeborg)</t>
  </si>
  <si>
    <t>56.15247452878424, 9.543441150511699</t>
  </si>
  <si>
    <t>Sheffield</t>
  </si>
  <si>
    <t>53.38297000 , -1.46590000</t>
  </si>
  <si>
    <t>Cool city in England - hometown &lt;3</t>
  </si>
  <si>
    <t>Café Kaj, Faaborg</t>
  </si>
  <si>
    <t>55.0954914602316, 10.239467788255899</t>
  </si>
  <si>
    <t>Café/bar in my hometown (which I own) :)</t>
  </si>
  <si>
    <t>Herrens mark</t>
  </si>
  <si>
    <t>55.99947640810058, 9.63429335678218</t>
  </si>
  <si>
    <t>Råbjerg Mile</t>
  </si>
  <si>
    <t>57.64987063444022, 10.409877079504557</t>
  </si>
  <si>
    <t>Råbjerg Mile, the closest to a desert Denmark will ever get</t>
  </si>
  <si>
    <t>Samsø Labyrinten</t>
  </si>
  <si>
    <t>55.9724024,10.5516869</t>
  </si>
  <si>
    <t>A big labyrinth on Samsø</t>
  </si>
  <si>
    <t>Museum Jorn</t>
  </si>
  <si>
    <t>56.161948541817274, 9.558265345916162</t>
  </si>
  <si>
    <t>A museum in Silkeborg</t>
  </si>
  <si>
    <t>Opalsøen</t>
  </si>
  <si>
    <t>55.2823169,14.7584575</t>
  </si>
  <si>
    <t>Nature area in Bornholm</t>
  </si>
  <si>
    <t>Region</t>
  </si>
  <si>
    <t>Greatness(1_ok_5_ecstatic)</t>
  </si>
  <si>
    <t>Lousiana</t>
  </si>
  <si>
    <t>Hovedstaden</t>
  </si>
  <si>
    <t>55.969552,12.5402037</t>
  </si>
  <si>
    <t>Et museum med moderne kunst</t>
  </si>
  <si>
    <t>H.C.Andersen</t>
  </si>
  <si>
    <t>Fyn</t>
  </si>
  <si>
    <t>55.39854460132087, 10.390583069093264</t>
  </si>
  <si>
    <t>Museum om H.C.Andersens liv og eventyrer</t>
  </si>
  <si>
    <t>Nationalmuseet</t>
  </si>
  <si>
    <t>55.6744995,12.565117</t>
  </si>
  <si>
    <t>Museum med samlinger og udstillinger om Danmarks historie, dets folk og kultur</t>
  </si>
  <si>
    <t>ARoS</t>
  </si>
  <si>
    <t>Midtjylland</t>
  </si>
  <si>
    <t>56.15402055784345, 10.199737453818058</t>
  </si>
  <si>
    <t>Museum med kunst fra mange tidsperioder</t>
  </si>
  <si>
    <t>Moesgaard Museum</t>
  </si>
  <si>
    <t>56.0886884,10.1411018</t>
  </si>
  <si>
    <t>Hjemsted for Gravballemanden og fantastisk museum</t>
  </si>
  <si>
    <t>KØN</t>
  </si>
  <si>
    <t>56.15760115612519, 10.211273102808615</t>
  </si>
  <si>
    <t>Oplev kønnenes kulturhistorie med både faste- og særudstillinger</t>
  </si>
  <si>
    <t>Arbejdermuseet</t>
  </si>
  <si>
    <t>55.6849141,12.4877915</t>
  </si>
  <si>
    <t>Interatktivt museum om dansk arbejderhistorie</t>
  </si>
  <si>
    <t>Danmarks Tekniske Museum</t>
  </si>
  <si>
    <t>56.022367,12.5535698</t>
  </si>
  <si>
    <t>Videnskabs - og teknologimuseum med dampmotorer, veteranbiler - og fly</t>
  </si>
  <si>
    <t>Rosenborg Slot</t>
  </si>
  <si>
    <t>55.68593019182967, 12.577161407756385</t>
  </si>
  <si>
    <t>Danmarks skattekammer</t>
  </si>
  <si>
    <t>Middelaldercentret</t>
  </si>
  <si>
    <t>54.7751791964096, 11.841047496883585</t>
  </si>
  <si>
    <t>Great museum</t>
  </si>
  <si>
    <t>Kostumemuset</t>
  </si>
  <si>
    <t>Syddanmark</t>
  </si>
  <si>
    <t>55.05905004702808, 10.616975782558802</t>
  </si>
  <si>
    <t>Særudstillinger om kostumerne fra badehotellet</t>
  </si>
  <si>
    <t>Dybbøl mølle</t>
  </si>
  <si>
    <t xml:space="preserve">cultural moment </t>
  </si>
  <si>
    <t>54.90694,9.7553901</t>
  </si>
  <si>
    <t>Interaktivt museum om slaget ved Dybbøl, 1864</t>
  </si>
  <si>
    <t>Trapholt Museum</t>
  </si>
  <si>
    <t>55.5613753,9.4485626</t>
  </si>
  <si>
    <t>Museum i Kolding, berømt for udstilling af guldfisk i blendere</t>
  </si>
  <si>
    <t>Langelandsfortet</t>
  </si>
  <si>
    <t>54.75240704973362, 10.715240665346538</t>
  </si>
  <si>
    <t>Fort, der har været i brug indtil 1993, men i dag formidler krigshistorie</t>
  </si>
  <si>
    <t>Bornholms Forsvarsmuseum</t>
  </si>
  <si>
    <t>Sjælland</t>
  </si>
  <si>
    <t>55.0924949,14.7008354</t>
  </si>
  <si>
    <t>Museum om 2. verdenskrig, hvor Bornholm var besat længere end resten af DK</t>
  </si>
  <si>
    <t>Skagens Museum</t>
  </si>
  <si>
    <t>culture moment</t>
  </si>
  <si>
    <t>Nordjylland</t>
  </si>
  <si>
    <t>57.7248099,10.5943461</t>
  </si>
  <si>
    <t xml:space="preserve">Værker af fremtrædende skagensmalere fra 1800-tallet </t>
  </si>
  <si>
    <t>Davids samling</t>
  </si>
  <si>
    <t>55.68449188786596, 12.582256265426484</t>
  </si>
  <si>
    <t>Kæmpe stor samling af klenoider fra ind- og udland</t>
  </si>
  <si>
    <t>Frilandsmuseet</t>
  </si>
  <si>
    <t>55.7857728,12.4899042</t>
  </si>
  <si>
    <t>Frilandsmuseum med bygninger fra 1650-1940, gamle kvægracer, haver og kostumeudklædte skuespillere</t>
  </si>
  <si>
    <t>Den gamle by</t>
  </si>
  <si>
    <t>56.15793584735627, 10.193676782653482</t>
  </si>
  <si>
    <t>Rekonstruktion af byer fra mange perioder</t>
  </si>
  <si>
    <t>Jernbanemuseet</t>
  </si>
  <si>
    <t>55.40607739986758, 10.388486627827339</t>
  </si>
  <si>
    <t>Gamle toge udstillet</t>
  </si>
  <si>
    <t>Tirpitz</t>
  </si>
  <si>
    <t>55.5502825,8.089727</t>
  </si>
  <si>
    <t>Museeum i Vestjylland om dansk krigshistorie med en FANTASTISK rav-udstilling</t>
  </si>
  <si>
    <t>Johannes Larsen museet</t>
  </si>
  <si>
    <t>55.45674940469719, 10.66185737471658</t>
  </si>
  <si>
    <t>Meget idylisk museum i Johannes Larsens tidligere hjem. Hyggelig café og tæt ved vandet</t>
  </si>
  <si>
    <t>German place name in book</t>
  </si>
  <si>
    <t>Czech place name today</t>
  </si>
  <si>
    <t>#lines mention</t>
  </si>
  <si>
    <t>Attraction described</t>
  </si>
  <si>
    <t>Osegg</t>
  </si>
  <si>
    <t>Osek</t>
  </si>
  <si>
    <t>Cistercian monastary</t>
  </si>
  <si>
    <t>Brüx</t>
  </si>
  <si>
    <t>Most</t>
  </si>
  <si>
    <t>Between them mineral sources</t>
  </si>
  <si>
    <t>Saatz</t>
  </si>
  <si>
    <t>Žatec</t>
  </si>
  <si>
    <t>Podersam</t>
  </si>
  <si>
    <t>Podbořany</t>
  </si>
  <si>
    <t>Liebkowitz</t>
  </si>
  <si>
    <t>Libkovice, Lubenec</t>
  </si>
  <si>
    <t>Park</t>
  </si>
  <si>
    <t>Buchau</t>
  </si>
  <si>
    <t>Bochov</t>
  </si>
  <si>
    <t>Point on route, no description</t>
  </si>
  <si>
    <t>Komotau</t>
  </si>
  <si>
    <t>Chomutov</t>
  </si>
  <si>
    <t>Rentsch</t>
  </si>
  <si>
    <t>Řevničov</t>
  </si>
  <si>
    <t>Horosedl</t>
  </si>
  <si>
    <t>?</t>
  </si>
  <si>
    <t>-</t>
  </si>
  <si>
    <t>Duschnik</t>
  </si>
  <si>
    <t>Beraun</t>
  </si>
  <si>
    <t>Beroun</t>
  </si>
  <si>
    <t>Karlstein</t>
  </si>
  <si>
    <t>Karlštejn</t>
  </si>
  <si>
    <t>Castle</t>
  </si>
  <si>
    <t>Zditz</t>
  </si>
  <si>
    <t>Zdice</t>
  </si>
  <si>
    <t>Przibram</t>
  </si>
  <si>
    <t>Příbram</t>
  </si>
  <si>
    <t>Silver mines</t>
  </si>
  <si>
    <t>Horzowitz</t>
  </si>
  <si>
    <t>Hořovice</t>
  </si>
  <si>
    <t>Jiri z Podebrad birth place</t>
  </si>
  <si>
    <t>Czerhowitz</t>
  </si>
  <si>
    <t>Mauth</t>
  </si>
  <si>
    <t>Mýto v Čechách</t>
  </si>
  <si>
    <t>Rokitzan</t>
  </si>
  <si>
    <t>Rokycany</t>
  </si>
  <si>
    <t>Pilsen</t>
  </si>
  <si>
    <t>Plzeň</t>
  </si>
  <si>
    <t>Staab an der Radbusa</t>
  </si>
  <si>
    <t>Stod</t>
  </si>
  <si>
    <t>Stankau</t>
  </si>
  <si>
    <t>Staňkov</t>
  </si>
  <si>
    <t>Bischof-Teinitz</t>
  </si>
  <si>
    <t>Horšovský Týn</t>
  </si>
  <si>
    <t>Klentsch</t>
  </si>
  <si>
    <t>Klenčí pod Čerchovem</t>
  </si>
  <si>
    <t>Haselbach</t>
  </si>
  <si>
    <t>Lísková</t>
  </si>
  <si>
    <t>Border crossing</t>
  </si>
  <si>
    <t>Jessenitz</t>
  </si>
  <si>
    <t>Jesenice</t>
  </si>
  <si>
    <t>Dnespeck</t>
  </si>
  <si>
    <t>Nespeky</t>
  </si>
  <si>
    <t>Bistritz</t>
  </si>
  <si>
    <t>Bystřice</t>
  </si>
  <si>
    <t>Wottitz</t>
  </si>
  <si>
    <t>Votice</t>
  </si>
  <si>
    <t>Sudomierzitz</t>
  </si>
  <si>
    <t>Sudoměřice u Tábora</t>
  </si>
  <si>
    <t>Tabor</t>
  </si>
  <si>
    <t>Tábor</t>
  </si>
  <si>
    <t>Raudna</t>
  </si>
  <si>
    <t>Roudná</t>
  </si>
  <si>
    <t>Kardasch-Rzeczitz</t>
  </si>
  <si>
    <t>Kardašova Řečice</t>
  </si>
  <si>
    <t>Neuhaus</t>
  </si>
  <si>
    <t>Jindřichův Hradec</t>
  </si>
  <si>
    <t>Neubistritz</t>
  </si>
  <si>
    <t>Nová Bystřice</t>
  </si>
  <si>
    <t>Last town in Bohemia</t>
  </si>
  <si>
    <t>Biechowitz</t>
  </si>
  <si>
    <t>Běchovice</t>
  </si>
  <si>
    <t>Böhmischbrod</t>
  </si>
  <si>
    <t>Český Brod</t>
  </si>
  <si>
    <t>Planian</t>
  </si>
  <si>
    <t>Plaňany</t>
  </si>
  <si>
    <t>Collin</t>
  </si>
  <si>
    <t>Kolín</t>
  </si>
  <si>
    <t>Czaslau</t>
  </si>
  <si>
    <t>Čáslav</t>
  </si>
  <si>
    <t>Jenikau</t>
  </si>
  <si>
    <t>Golčův Jeníkov</t>
  </si>
  <si>
    <t>Steinsdorf</t>
  </si>
  <si>
    <t>Kámen u Habrů</t>
  </si>
  <si>
    <t>Deutschbrod</t>
  </si>
  <si>
    <t>Havlíčkův Brod</t>
  </si>
  <si>
    <t>Stecken</t>
  </si>
  <si>
    <t>Štoky</t>
  </si>
  <si>
    <t>Iglau</t>
  </si>
  <si>
    <t>Jihlava</t>
  </si>
  <si>
    <t>Stannern</t>
  </si>
  <si>
    <t>Stonařov</t>
  </si>
  <si>
    <t>Schelletau</t>
  </si>
  <si>
    <t>Želetava</t>
  </si>
  <si>
    <t>Mährisch-Budweis</t>
  </si>
  <si>
    <t>Moravské Budějovice</t>
  </si>
  <si>
    <t>Frainersdorf</t>
  </si>
  <si>
    <t>Vranovská Ves</t>
  </si>
  <si>
    <t>Znaim</t>
  </si>
  <si>
    <t>Znojmo</t>
  </si>
  <si>
    <t>Wessely</t>
  </si>
  <si>
    <t>Veselí nad Lužnicí</t>
  </si>
  <si>
    <t>Budweis</t>
  </si>
  <si>
    <t>České Budějovice</t>
  </si>
  <si>
    <t>Kaplitz</t>
  </si>
  <si>
    <t>Kaplice</t>
  </si>
  <si>
    <t>(railline Wien-Brno listed with stops on the way)</t>
  </si>
  <si>
    <t>Brünn</t>
  </si>
  <si>
    <t>Brno</t>
  </si>
  <si>
    <t>Posorsitz</t>
  </si>
  <si>
    <t>Austerlitz</t>
  </si>
  <si>
    <t>Austerlitz battlefield</t>
  </si>
  <si>
    <t>Wischau</t>
  </si>
  <si>
    <t>Vyškov</t>
  </si>
  <si>
    <t>Prossnitz</t>
  </si>
  <si>
    <t>Prostějov</t>
  </si>
  <si>
    <t>Olmütz</t>
  </si>
  <si>
    <t>Olomouc</t>
  </si>
  <si>
    <t>Neutitschen</t>
  </si>
  <si>
    <t>Novy Jičín</t>
  </si>
  <si>
    <t>Freiberg</t>
  </si>
  <si>
    <t>Příbor</t>
  </si>
  <si>
    <t>Freideck an der Ostrowitza</t>
  </si>
  <si>
    <t>Frýdek-Místek</t>
  </si>
  <si>
    <t>Peterswalde</t>
  </si>
  <si>
    <t>Petrovice</t>
  </si>
  <si>
    <t>battle</t>
  </si>
  <si>
    <t>Arbesau</t>
  </si>
  <si>
    <t>Varvažov</t>
  </si>
  <si>
    <t>battle, monument</t>
  </si>
  <si>
    <t>Kulm</t>
  </si>
  <si>
    <t>Chlumec u Chabařovic</t>
  </si>
  <si>
    <t>chapel, battlefield</t>
  </si>
  <si>
    <t>Töplitz (Teplitz)</t>
  </si>
  <si>
    <t>Teplice</t>
  </si>
  <si>
    <t>Numerous</t>
  </si>
  <si>
    <t>Mariaschein</t>
  </si>
  <si>
    <t>Bohosudov, Krupka,</t>
  </si>
  <si>
    <t>Pilgrimage</t>
  </si>
  <si>
    <t>Milleschauer</t>
  </si>
  <si>
    <t>Milešovka</t>
  </si>
  <si>
    <t>Panorama</t>
  </si>
  <si>
    <t>Dux</t>
  </si>
  <si>
    <t>Duchov</t>
  </si>
  <si>
    <t>Castle, museum</t>
  </si>
  <si>
    <t>Aussig</t>
  </si>
  <si>
    <t>Ústí nad Labem</t>
  </si>
  <si>
    <t>traffic connections</t>
  </si>
  <si>
    <t>Tetschen</t>
  </si>
  <si>
    <t>Děčín</t>
  </si>
  <si>
    <t>lively city en route to Schandau</t>
  </si>
  <si>
    <t>Lobositz</t>
  </si>
  <si>
    <t>Lovosice</t>
  </si>
  <si>
    <t>Battle</t>
  </si>
  <si>
    <t>Leitmeritz</t>
  </si>
  <si>
    <t>Litoměřice</t>
  </si>
  <si>
    <t>Bohemian glass, wine</t>
  </si>
  <si>
    <t>Theresienstadt</t>
  </si>
  <si>
    <t>Terezín</t>
  </si>
  <si>
    <t>Festung</t>
  </si>
  <si>
    <t>Doxan</t>
  </si>
  <si>
    <t>Doksany</t>
  </si>
  <si>
    <t>Neudorf</t>
  </si>
  <si>
    <t>Nová Ves</t>
  </si>
  <si>
    <t>Weltrus</t>
  </si>
  <si>
    <t>Veltrusy</t>
  </si>
  <si>
    <t>Castle, park</t>
  </si>
  <si>
    <t>Zdibsko</t>
  </si>
  <si>
    <t>Bilin</t>
  </si>
  <si>
    <t>Bílina</t>
  </si>
  <si>
    <t>Strange minerals</t>
  </si>
  <si>
    <t>Wachholderberge</t>
  </si>
  <si>
    <t>Štěrbina</t>
  </si>
  <si>
    <t>Mireschowitz</t>
  </si>
  <si>
    <t>Hrobčice</t>
  </si>
  <si>
    <t>Mineral water</t>
  </si>
  <si>
    <t>Krzemusch</t>
  </si>
  <si>
    <t>Křemýž</t>
  </si>
  <si>
    <t>Laun an der Eger</t>
  </si>
  <si>
    <t>Louny</t>
  </si>
  <si>
    <t>annual floods, road Prague-Karlsbad</t>
  </si>
  <si>
    <t>Jungfern-Teinitz</t>
  </si>
  <si>
    <t>Panenský Týnec</t>
  </si>
  <si>
    <t>Schlan</t>
  </si>
  <si>
    <t>Slaný</t>
  </si>
  <si>
    <t>old dilapidated city</t>
  </si>
  <si>
    <t>Strzbdokluk</t>
  </si>
  <si>
    <t>Středokluky</t>
  </si>
  <si>
    <t>Prag</t>
  </si>
  <si>
    <t>Praha</t>
  </si>
  <si>
    <t>Eger</t>
  </si>
  <si>
    <t>Cheb</t>
  </si>
  <si>
    <t>Falkenau</t>
  </si>
  <si>
    <t>Sokolov</t>
  </si>
  <si>
    <t>Elbogen</t>
  </si>
  <si>
    <t>Loket</t>
  </si>
  <si>
    <t>Karlsbad</t>
  </si>
  <si>
    <t>Karlovy Vary</t>
  </si>
  <si>
    <t>Petschau</t>
  </si>
  <si>
    <t>Bečov nad Teplou</t>
  </si>
  <si>
    <t>Marienbad</t>
  </si>
  <si>
    <t>Mariánské Lázně</t>
  </si>
  <si>
    <t>Franzensbad</t>
  </si>
  <si>
    <t>Františkovy Lázně</t>
  </si>
  <si>
    <t>Maria Kulm</t>
  </si>
  <si>
    <t>Chlum Svaté Maří</t>
  </si>
  <si>
    <t>Königswart</t>
  </si>
  <si>
    <t>Kynžvart</t>
  </si>
  <si>
    <t>Place_Name</t>
  </si>
  <si>
    <t>56.0887188,10.2209268</t>
  </si>
  <si>
    <t>Moesgaard museum is a museum near Aarhus</t>
  </si>
  <si>
    <t>Ribe Vikingecenter</t>
  </si>
  <si>
    <t>55.3096059,8.7624704</t>
  </si>
  <si>
    <t>A place built to seem like a town from the viking age.</t>
  </si>
  <si>
    <t>Very realistic, and a nice place to be.</t>
  </si>
  <si>
    <t>Bornholm middelalder center</t>
  </si>
  <si>
    <t>55.1763793,14.953611</t>
  </si>
  <si>
    <t>A place built to seem like a town from the middle ages.</t>
  </si>
  <si>
    <t>Dyrehaven ved Haderslev</t>
  </si>
  <si>
    <t>55.4675,9.1693567</t>
  </si>
  <si>
    <t>A large wild area where animals roam free and humans can walk around.</t>
  </si>
  <si>
    <t>A very relaxing place with wild deer,</t>
  </si>
  <si>
    <t>BRs hjem</t>
  </si>
  <si>
    <t>56.1517,10.2042896</t>
  </si>
  <si>
    <t>Benjamins hus.</t>
  </si>
  <si>
    <t>Jels Vikingespil</t>
  </si>
  <si>
    <t>55.359834,9.2108391</t>
  </si>
  <si>
    <t>A place where people do a show about viking life during the summer.</t>
  </si>
  <si>
    <t>Kalø Slotsruin</t>
  </si>
  <si>
    <t>56.2746133,10.464093</t>
  </si>
  <si>
    <t>A ruin of a castle</t>
  </si>
  <si>
    <t xml:space="preserve">Tidsvilde strand </t>
  </si>
  <si>
    <t>56.0565037,12.0587298</t>
  </si>
  <si>
    <t>A beach</t>
  </si>
  <si>
    <t>Jelling Monumenterne</t>
  </si>
  <si>
    <t>55.7565694,9.4169964</t>
  </si>
  <si>
    <t>Rune stones in Jelling that were made by Harald Bluetooth.</t>
  </si>
  <si>
    <t>Faarup Sommerland</t>
  </si>
  <si>
    <t>57.271066,9.6469198</t>
  </si>
  <si>
    <t>A theme park in north Jutland.</t>
  </si>
  <si>
    <t>Vordingborg  Gåsetårnet        55.0070976,11.9121704        55.0070976        11.9121704        Last remaining tower of the castle in Vordinborg</t>
  </si>
  <si>
    <t>55.0070976,11.9121704</t>
  </si>
  <si>
    <t>Last remaining tower of the castle in Vordinborg</t>
  </si>
  <si>
    <t>A very pretty sight</t>
  </si>
  <si>
    <t>Tivoli</t>
  </si>
  <si>
    <t>55.6736871,12.5655668</t>
  </si>
  <si>
    <t>A very old theme park in the capital, Copenhagen.</t>
  </si>
  <si>
    <t>The rides are fun, but expensive</t>
  </si>
  <si>
    <t>56.1051294,9.6851738</t>
  </si>
  <si>
    <t>The tallest point in Denmark</t>
  </si>
  <si>
    <t>It's very tall, pretty cool</t>
  </si>
  <si>
    <t>historical</t>
  </si>
  <si>
    <t>A very important place from the war of 1864</t>
  </si>
  <si>
    <t>Dybbøl Mølle is a very important historical site, and is also pretty cool</t>
  </si>
  <si>
    <t>56.0887157,10.2186308</t>
  </si>
  <si>
    <t>A museum near Aarhus where the grauballemand is.</t>
  </si>
  <si>
    <t>They have some great exhibits sometimes, and they change every now and again.</t>
  </si>
  <si>
    <t>Downtown</t>
  </si>
  <si>
    <t>56.142848,10.1946182</t>
  </si>
  <si>
    <t>Downtown Aarhus</t>
  </si>
  <si>
    <t>Education</t>
  </si>
  <si>
    <t>56.1708646,10.2040287</t>
  </si>
  <si>
    <t>Shop</t>
  </si>
  <si>
    <t>56.1529896,10.2035677</t>
  </si>
  <si>
    <t>Store in Aarhus</t>
  </si>
  <si>
    <t>Sankt Sørens Kilde</t>
  </si>
  <si>
    <t>sacred place</t>
  </si>
  <si>
    <t>56.0800343,9.6883882</t>
  </si>
  <si>
    <t xml:space="preserve">Holy </t>
  </si>
  <si>
    <t>Møns klint</t>
  </si>
  <si>
    <t>Natural wonder</t>
  </si>
  <si>
    <t>54.9646224,12.5418424</t>
  </si>
  <si>
    <t>Cliffside</t>
  </si>
  <si>
    <t>Det Kongelige Bibliotek</t>
  </si>
  <si>
    <t>Library</t>
  </si>
  <si>
    <t>56.1715151,10.1992008</t>
  </si>
  <si>
    <t>56.2097851,10.1734996</t>
  </si>
  <si>
    <t>Ikea Store</t>
  </si>
  <si>
    <t>Maribo Domkirke</t>
  </si>
  <si>
    <t>Cathedral</t>
  </si>
  <si>
    <t>54.7726278,11.4973362</t>
  </si>
  <si>
    <t>Larger former Bridgettine monastic church, including the grave of the princess Leonora Christina.</t>
  </si>
  <si>
    <t>quiet place, worth a visit</t>
  </si>
  <si>
    <t xml:space="preserve">Grenen Skagen </t>
  </si>
  <si>
    <t>57.7444016,10.6490276</t>
  </si>
  <si>
    <t>Top of Denmark</t>
  </si>
  <si>
    <t>Beautiful but very Windy</t>
  </si>
  <si>
    <t>Nordstern Arena Horsens</t>
  </si>
  <si>
    <t>Stadium</t>
  </si>
  <si>
    <t>55.8719042,9.8591218</t>
  </si>
  <si>
    <t>Local stadium of hometown</t>
  </si>
  <si>
    <t>Nysted Orgelmuseum</t>
  </si>
  <si>
    <t>54.6680611,11.7259071</t>
  </si>
  <si>
    <t>The best - and only - church organ museum in the country.</t>
  </si>
  <si>
    <t>dependent on interest, naturally</t>
  </si>
  <si>
    <t>Lighthouse</t>
  </si>
  <si>
    <t>Building Aarhus Ø</t>
  </si>
  <si>
    <t>56.1656309,10.2264851</t>
  </si>
  <si>
    <t>Ribe Domkirke</t>
  </si>
  <si>
    <t>55.3283043,8.7615532</t>
  </si>
  <si>
    <t>Cathedral (Ribe diocese)</t>
  </si>
  <si>
    <t>The most beautiful cathedral in Jutland</t>
  </si>
  <si>
    <t>Marselisborg Dyrehave</t>
  </si>
  <si>
    <t>56.1227003,10.2190643</t>
  </si>
  <si>
    <t>A park with many animals, close to Aarhus</t>
  </si>
  <si>
    <t>Fjenneslev Kirke</t>
  </si>
  <si>
    <t>Chruch</t>
  </si>
  <si>
    <t>55.4335662,11.6874908</t>
  </si>
  <si>
    <t>Church build by Asser Rig</t>
  </si>
  <si>
    <t>Øm Kloster museum</t>
  </si>
  <si>
    <t>Ruins of monastery</t>
  </si>
  <si>
    <t>56.052311,9.7474401</t>
  </si>
  <si>
    <t>Historisk Fredagsbar FRED</t>
  </si>
  <si>
    <t>Fredagsbar</t>
  </si>
  <si>
    <t>56.1728708,10.2039512</t>
  </si>
  <si>
    <t>A historical and very "hyggelig" bar, that will supply you with all your needs for the perfect night out</t>
  </si>
  <si>
    <t>Haderslev Domkirke</t>
  </si>
  <si>
    <t>55.2498626,9.4866225</t>
  </si>
  <si>
    <t>Cathedral (Haderslev biocese)</t>
  </si>
  <si>
    <t>The most beautiful cathedral in Sønderjylland</t>
  </si>
  <si>
    <t>Sankt Nikolai Kirke, Nakskov</t>
  </si>
  <si>
    <t>Church</t>
  </si>
  <si>
    <t>54.8310006,11.1320784</t>
  </si>
  <si>
    <t>Nice gothic church in the common North German school of architecture. Including an old swedish cannonball.</t>
  </si>
  <si>
    <t>Lovely brick gothic church, containing an old organ, and a swedisch cannonball (long story)</t>
  </si>
  <si>
    <t>Energi Viborg Arena</t>
  </si>
  <si>
    <t>56.4552419,9.3968526</t>
  </si>
  <si>
    <t>Easily the most beautiful stadium in all of Denmark, and home of the best team in Denmark</t>
  </si>
  <si>
    <t>Royal Danish Library, Tangen 2</t>
  </si>
  <si>
    <t>Reading room for newspapers</t>
  </si>
  <si>
    <t>56.1979752,10.1754707</t>
  </si>
  <si>
    <t>Here, you can read old danish newspapers which are not digitalized in mediestream.</t>
  </si>
  <si>
    <t>A gem!</t>
  </si>
  <si>
    <t>56.0887158,10.2209268</t>
  </si>
  <si>
    <t>Museum dedicated to archaeology and ethnography</t>
  </si>
  <si>
    <t>Conditori La Glace</t>
  </si>
  <si>
    <t>Confectionery</t>
  </si>
  <si>
    <t>55.678595,12.5687056</t>
  </si>
  <si>
    <t>Famous Danish confectionery founded in 1870</t>
  </si>
  <si>
    <t>Nyborg Slot</t>
  </si>
  <si>
    <t>55.3126452,10.7842089</t>
  </si>
  <si>
    <t>Restored medieval castle</t>
  </si>
  <si>
    <t>Gjellerup Kirke</t>
  </si>
  <si>
    <t>56.1444479,9.050002</t>
  </si>
  <si>
    <t>Denmark's oldest dated church</t>
  </si>
  <si>
    <t>Jyske Bank Boxen</t>
  </si>
  <si>
    <t>Arena</t>
  </si>
  <si>
    <t>56.1286693,8.9484227</t>
  </si>
  <si>
    <t>Denmark's best multi-arena</t>
  </si>
  <si>
    <t>Tekstilmuseet</t>
  </si>
  <si>
    <t>56.133896,8.9584724</t>
  </si>
  <si>
    <t>At the Textile Museum, the story of the flourishing and development of the textile industry is told</t>
  </si>
  <si>
    <t>A mill built on 'Dybbøl Banke', that served as a battleground during the Schleswig wars</t>
  </si>
  <si>
    <t>Løgumkloster Kirke</t>
  </si>
  <si>
    <t>Kirke</t>
  </si>
  <si>
    <t>55.0569851,8.9402638</t>
  </si>
  <si>
    <t>A monastery that also gave name to the city of Løgumkloster, which has stood for the last 850 years.</t>
  </si>
  <si>
    <t>Sønderborg Slot</t>
  </si>
  <si>
    <t>Slot</t>
  </si>
  <si>
    <t>56.1652038,10.0714847</t>
  </si>
  <si>
    <t>A castle in Sønderborg by the waterline, served as prison for Christian 2. and residence for Hans the Younger</t>
  </si>
  <si>
    <t>Vorbasse Marked</t>
  </si>
  <si>
    <t>Market</t>
  </si>
  <si>
    <t>55.627167,9.0705561</t>
  </si>
  <si>
    <t>Denmarks biggest market. Go here to get knocked out by angry Jutlanders.</t>
  </si>
  <si>
    <t>Ølgod</t>
  </si>
  <si>
    <t>Værtshus</t>
  </si>
  <si>
    <t>55.8110182,8.6216981</t>
  </si>
  <si>
    <t xml:space="preserve">Det lokale suttersted </t>
  </si>
  <si>
    <t>Horsens</t>
  </si>
  <si>
    <t>restaurant</t>
  </si>
  <si>
    <t>55.8589702,9.8604612</t>
  </si>
  <si>
    <t>A great restaurant if you want a great time with the family</t>
  </si>
  <si>
    <t>Bryghus</t>
  </si>
  <si>
    <t>55.8092246,8.620149</t>
  </si>
  <si>
    <t xml:space="preserve">Ølgods bryghus der laver middelmådig, lokal øl </t>
  </si>
  <si>
    <t xml:space="preserve">Horsens </t>
  </si>
  <si>
    <t>55.8650999,9.8610085</t>
  </si>
  <si>
    <t>A museum in Horsens that has a great variety of modern art</t>
  </si>
  <si>
    <t xml:space="preserve">Ølgod </t>
  </si>
  <si>
    <t>Plaza Pizza</t>
  </si>
  <si>
    <t>55.8065764,8.6178444</t>
  </si>
  <si>
    <t xml:space="preserve">Godt sted til tømmermændsmad efter en tur på Bryghuset og Gasolin </t>
  </si>
  <si>
    <t>55.8628992,9.8460282</t>
  </si>
  <si>
    <t xml:space="preserve">The only Catholic church in Horsens </t>
  </si>
  <si>
    <t>Rømø</t>
  </si>
  <si>
    <t>Icecream shop</t>
  </si>
  <si>
    <t>55.1460745,8.4926275</t>
  </si>
  <si>
    <t>IceCream shop on Rømø, maybe the best</t>
  </si>
  <si>
    <t xml:space="preserve">Kirke </t>
  </si>
  <si>
    <t>55.8088845,8.6096275</t>
  </si>
  <si>
    <t xml:space="preserve">Ølgod kirke - godt sted for syndsforladelse for de dumheder der blev lavet på gasolin </t>
  </si>
  <si>
    <t>Freemason Lodge</t>
  </si>
  <si>
    <t>55.8617067,9.8553656</t>
  </si>
  <si>
    <t>A cool place if you are interested in world domination</t>
  </si>
  <si>
    <t>Søndervig</t>
  </si>
  <si>
    <t>Camping</t>
  </si>
  <si>
    <t>56.1150854,8.086709</t>
  </si>
  <si>
    <t xml:space="preserve">A place to camp </t>
  </si>
  <si>
    <t>Bork</t>
  </si>
  <si>
    <t>Vikingsmuseum</t>
  </si>
  <si>
    <t>55.835484,8.2591009</t>
  </si>
  <si>
    <t>A museum in Bork with a vikings theme</t>
  </si>
  <si>
    <t>Billardklub</t>
  </si>
  <si>
    <t>55.8087882,8.6127801</t>
  </si>
  <si>
    <t>Ølgod Billardklub</t>
  </si>
  <si>
    <t>McDonalds</t>
  </si>
  <si>
    <t>55.8700845,9.8630781</t>
  </si>
  <si>
    <t>A great place for some fast food</t>
  </si>
  <si>
    <t>Sandsculpturepark</t>
  </si>
  <si>
    <t>57.2488172,9.6088532</t>
  </si>
  <si>
    <t xml:space="preserve">A great place to see sculptures made out of sand </t>
  </si>
  <si>
    <t>Løkken</t>
  </si>
  <si>
    <t>57.3715579,9.7090861</t>
  </si>
  <si>
    <t>A great place to eat icecream</t>
  </si>
  <si>
    <t>Nordborg</t>
  </si>
  <si>
    <t>55.0591176,9.7463957</t>
  </si>
  <si>
    <t>Nice castle with a pretty lake you can walk around</t>
  </si>
  <si>
    <t>Oplevelsespark</t>
  </si>
  <si>
    <t>55.0414476,9.7914973</t>
  </si>
  <si>
    <t>Oplevelses park</t>
  </si>
  <si>
    <t>A nice park to visit where you get introduced and get to interact with cool science</t>
  </si>
  <si>
    <t>Dybbøl</t>
  </si>
  <si>
    <t>54.9073486,9.7498943</t>
  </si>
  <si>
    <t>Museum for 1864</t>
  </si>
  <si>
    <t>Dyvig</t>
  </si>
  <si>
    <t>Hotel/restaurant</t>
  </si>
  <si>
    <t>55.0456173,9.683224</t>
  </si>
  <si>
    <t>Hotel/Restaurant</t>
  </si>
  <si>
    <t>Nice hotel/restaurant with good food where you can sit by the sea</t>
  </si>
  <si>
    <t>Sønderborg</t>
  </si>
  <si>
    <t>54.9082979,9.783443</t>
  </si>
  <si>
    <t>Homemade icecream shop</t>
  </si>
  <si>
    <t>A really good icecream shop that won DK's best homemade icecream a few years back</t>
  </si>
  <si>
    <t>Legeland</t>
  </si>
  <si>
    <t>56.1534338,8.9725947</t>
  </si>
  <si>
    <t xml:space="preserve">A good indoor playground with minigolf, slides and much more </t>
  </si>
  <si>
    <t>55.7352104,9.1257106</t>
  </si>
  <si>
    <t>Super cool leisure park</t>
  </si>
  <si>
    <t>Holme-Olstrup</t>
  </si>
  <si>
    <t>Forlystelsespark</t>
  </si>
  <si>
    <t>55.260873,11.8605921</t>
  </si>
  <si>
    <t>Jelling</t>
  </si>
  <si>
    <t>Jelling monuments</t>
  </si>
  <si>
    <t>55.7565664,9.4169964</t>
  </si>
  <si>
    <t>Runestone made by Harald Bluetooth</t>
  </si>
  <si>
    <t>Marselisborg lystbådehavn</t>
  </si>
  <si>
    <t>Lystbådehavn</t>
  </si>
  <si>
    <t>56.1387014,10.2152327</t>
  </si>
  <si>
    <t>Ishus på Marselisborg lystbådehavn</t>
  </si>
  <si>
    <t>Ceres Park</t>
  </si>
  <si>
    <t>56.1320428,10.1941437</t>
  </si>
  <si>
    <t xml:space="preserve">Fodboldstadion </t>
  </si>
  <si>
    <t>Aarhus C</t>
  </si>
  <si>
    <t>Cinemaxx</t>
  </si>
  <si>
    <t>56.14938,10.2015491</t>
  </si>
  <si>
    <t>Biograf</t>
  </si>
  <si>
    <t xml:space="preserve">Falling </t>
  </si>
  <si>
    <t>Falling kirke</t>
  </si>
  <si>
    <t>55.9102276,10.1338812</t>
  </si>
  <si>
    <t>Botanisk have</t>
  </si>
  <si>
    <t>56.1621745,10.186907</t>
  </si>
  <si>
    <t>Vordingborg</t>
  </si>
  <si>
    <t>Gåsetårnet</t>
  </si>
  <si>
    <t>Skarrild</t>
  </si>
  <si>
    <t>Skarrild Kirke</t>
  </si>
  <si>
    <t>55.9783371,8.8878213</t>
  </si>
  <si>
    <t>The old chirch in Skarrild</t>
  </si>
  <si>
    <t>The church was build in 1150</t>
  </si>
  <si>
    <t>Domkirken</t>
  </si>
  <si>
    <t>56.1568917,10.2083009</t>
  </si>
  <si>
    <t>Danmakrs største domkirke</t>
  </si>
  <si>
    <t>HC Andersens hus</t>
  </si>
  <si>
    <t>55.3984045,10.3879384</t>
  </si>
  <si>
    <t>Fødehjem</t>
  </si>
  <si>
    <t>Ny Carlsberg Glyptotek</t>
  </si>
  <si>
    <t>55.674491,12.5825651</t>
  </si>
  <si>
    <t>Øl</t>
  </si>
  <si>
    <t>Basis</t>
  </si>
  <si>
    <t>55.9310369,10.073121</t>
  </si>
  <si>
    <t>Jagtvej 69</t>
  </si>
  <si>
    <t>Ungdomshuset</t>
  </si>
  <si>
    <t>55.6939726,12.5475822</t>
  </si>
  <si>
    <t>Ungdomshuset Jagtvej 69, revet ned i 2007, København</t>
  </si>
  <si>
    <t>Vojens</t>
  </si>
  <si>
    <t>Congo Bar</t>
  </si>
  <si>
    <t>55.2439794,9.2969418</t>
  </si>
  <si>
    <t>Very Hyggelig pub in the greatest city in the world</t>
  </si>
  <si>
    <t>Trehøje</t>
  </si>
  <si>
    <t>56.2042748,10.5108845</t>
  </si>
  <si>
    <t>Three legendary hill tops</t>
  </si>
  <si>
    <t>Store Belt</t>
  </si>
  <si>
    <t>Østbroen</t>
  </si>
  <si>
    <t>55.341805,11.0316461</t>
  </si>
  <si>
    <t>A big bridge</t>
  </si>
  <si>
    <t>Vestbroen</t>
  </si>
  <si>
    <t>55.31057,10.8995251</t>
  </si>
  <si>
    <t>A long bridge</t>
  </si>
  <si>
    <t>Flensborg Fjord</t>
  </si>
  <si>
    <t>Store Okseø</t>
  </si>
  <si>
    <t>54.8635436,9.5023098</t>
  </si>
  <si>
    <t>Danmarks hyggeligste shelter</t>
  </si>
  <si>
    <t>Lillebælt</t>
  </si>
  <si>
    <t>Fænø Kalv</t>
  </si>
  <si>
    <t>55.4921451,9.6592057</t>
  </si>
  <si>
    <t>Hjemsted for nogle legendariske spejderture</t>
  </si>
  <si>
    <t>forlystelsespark</t>
  </si>
  <si>
    <t>Nordjyllands bedste sommerland</t>
  </si>
  <si>
    <t>Frederiksborg Slot</t>
  </si>
  <si>
    <t>Casttle</t>
  </si>
  <si>
    <t>55.926684,12.2887963,4424</t>
  </si>
  <si>
    <t>Jysk Park</t>
  </si>
  <si>
    <t>56.1799209,9.5715494</t>
  </si>
  <si>
    <t>test</t>
  </si>
  <si>
    <t>Ambolten</t>
  </si>
  <si>
    <t>Bar</t>
  </si>
  <si>
    <t>56.091848,9.7588051,164</t>
  </si>
  <si>
    <t>Lumskebugten</t>
  </si>
  <si>
    <t>bar</t>
  </si>
  <si>
    <t>55.70720238197096, 9.540636176595296</t>
  </si>
  <si>
    <t>en lumsk bugt</t>
  </si>
  <si>
    <t>Vejle stadion</t>
  </si>
  <si>
    <t>stadion</t>
  </si>
  <si>
    <t>55.713733661083964, 9.556286823712647</t>
  </si>
  <si>
    <t>Jyllands rubin</t>
  </si>
  <si>
    <t>Vejlefjordbroen</t>
  </si>
  <si>
    <t>bro</t>
  </si>
  <si>
    <t>55.69906262861073, 9.572703832641666</t>
  </si>
  <si>
    <t>its a bridge over a fjord</t>
  </si>
  <si>
    <t>56.457126,10.0299577</t>
  </si>
  <si>
    <t>Large indoor zoo, very hot and humid, but many interesting animals.</t>
  </si>
  <si>
    <t>Dolce Vita</t>
  </si>
  <si>
    <t>Ice Cream Shop</t>
  </si>
  <si>
    <t>56.1802838,10.199354</t>
  </si>
  <si>
    <t>Very good ice cream.</t>
  </si>
  <si>
    <t>Studenterbaren</t>
  </si>
  <si>
    <t>56.171334603595234, 10.20029366840441</t>
  </si>
  <si>
    <t>Stevnsfortet</t>
  </si>
  <si>
    <t>55.264558,12.3684984</t>
  </si>
  <si>
    <t>A museum placed at a cold war era military installation</t>
  </si>
  <si>
    <t>Bogormen</t>
  </si>
  <si>
    <t>55.46564,8.4537231</t>
  </si>
  <si>
    <t>A vendor in Esbjerg selling vintage bops and bits like records, books, boardgames, etc.</t>
  </si>
  <si>
    <t>Oyisi Sushi</t>
  </si>
  <si>
    <t>56.1943684,10.1944196</t>
  </si>
  <si>
    <t>Good sushi.</t>
  </si>
  <si>
    <t>Subhuset</t>
  </si>
  <si>
    <t>Venue</t>
  </si>
  <si>
    <t>56.367263,8.6170479</t>
  </si>
  <si>
    <t>An underground, volunteer-driven, non-profit venue located in a defunct butchery plant</t>
  </si>
  <si>
    <t>Knuds Garage</t>
  </si>
  <si>
    <t>55.4896192,9.4725834</t>
  </si>
  <si>
    <t xml:space="preserve">Frederiksborg Slot </t>
  </si>
  <si>
    <t xml:space="preserve">Museum </t>
  </si>
  <si>
    <t>55.93510339327337, 12.301272396267702</t>
  </si>
  <si>
    <t xml:space="preserve">The National Historic Museum </t>
  </si>
  <si>
    <t>Grønvang Grill</t>
  </si>
  <si>
    <t>Ice Cream</t>
  </si>
  <si>
    <t>56.44888927464187, 10.06027991555099</t>
  </si>
  <si>
    <t>Best Ice Cream in Randers</t>
  </si>
  <si>
    <t>Icehockey Arena</t>
  </si>
  <si>
    <t>55.2510706,9.3095699</t>
  </si>
  <si>
    <t>Icehockey arena in Vojens, the home of Sønderjyske</t>
  </si>
  <si>
    <t>Borre Knob</t>
  </si>
  <si>
    <t>55.831776,10.018869</t>
  </si>
  <si>
    <t>Nice place to go for a walk on the southern part of Horsens Fjord</t>
  </si>
  <si>
    <t>Baggen</t>
  </si>
  <si>
    <t>ORALE!!!!</t>
  </si>
  <si>
    <t>55.66874299594239, 12.559773205158153</t>
  </si>
  <si>
    <t>Baggen?</t>
  </si>
  <si>
    <t>GURDEN</t>
  </si>
  <si>
    <t>ER DU EN GURDENKRIGER?? JEG ER EN GURDENKRIGER!! LAD OS RAMME!! GUUUUUURRRDDDEEEEEENNNNNN!!!!</t>
  </si>
  <si>
    <t>55.70369113731087, 12.55371551806654</t>
  </si>
  <si>
    <t>The Gurt (Sigurdsgade (en Dansebar)</t>
  </si>
  <si>
    <t>Rørbæk Sø</t>
  </si>
  <si>
    <t>55.9324217,9.3441676</t>
  </si>
  <si>
    <t>Nice place to go for a walk</t>
  </si>
  <si>
    <t>Havnens Café &amp; Isbar</t>
  </si>
  <si>
    <t>Icecream</t>
  </si>
  <si>
    <t>55.7139887,10.0137133</t>
  </si>
  <si>
    <t>Delicius icecream in Juelsminde</t>
  </si>
  <si>
    <t>Fyrkat</t>
  </si>
  <si>
    <t>56.62343237703906, 9.770178069198478</t>
  </si>
  <si>
    <t>Line</t>
  </si>
  <si>
    <t>city</t>
  </si>
  <si>
    <t>57.72537656079884, 10.572369965033687</t>
  </si>
  <si>
    <t>Beskyttelsesrum Hipsterhøjen, Aarhus</t>
  </si>
  <si>
    <t>cultural monument</t>
  </si>
  <si>
    <t>56.15857,10.21044</t>
  </si>
  <si>
    <t>Pubilc shelter built during the Korean War</t>
  </si>
  <si>
    <t>Rosanna</t>
  </si>
  <si>
    <t>Beskyttelsesrum Bogtårnet, Aarhus</t>
  </si>
  <si>
    <t>56.17047,10.19937</t>
  </si>
  <si>
    <t>Cold War shelter to protect regional cultural heritage. In peacetime used for storage for the University Library</t>
  </si>
  <si>
    <t>Beskyttelsesrum Busgaden, Aarhus</t>
  </si>
  <si>
    <t>56.15605,10.20613</t>
  </si>
  <si>
    <t>Aarhus' largest public shelter, parking agarage in peacetime</t>
  </si>
  <si>
    <t>Beskyttelsesrum Otto Benzonsvej</t>
  </si>
  <si>
    <t>56.16739,10.18795</t>
  </si>
  <si>
    <t>Small public shelter (50 persons)</t>
  </si>
  <si>
    <t>Queen Mary Statue</t>
  </si>
  <si>
    <t>55.68616630991015, 12.597241097429047</t>
  </si>
  <si>
    <t>Monument commemorating Danish colonial presence in the former Danish West Indies</t>
  </si>
  <si>
    <t>5_stars</t>
  </si>
  <si>
    <t>Thea</t>
  </si>
  <si>
    <t>Nordatlantens Brygge</t>
  </si>
  <si>
    <t>55.6778364983942, 12.596582970234918</t>
  </si>
  <si>
    <t>Cultural hub focusing on North Atlantic culture</t>
  </si>
  <si>
    <t>55.407861694956466, 10.380207912747183</t>
  </si>
  <si>
    <t>Skovby Kirke</t>
  </si>
  <si>
    <t>56.1569652,9.9446105</t>
  </si>
  <si>
    <t>School</t>
  </si>
  <si>
    <t>56.155259,9.9391803</t>
  </si>
  <si>
    <t>Sisters Party</t>
  </si>
  <si>
    <t>56.149862,9.9575603</t>
  </si>
  <si>
    <t>Party place</t>
  </si>
  <si>
    <t xml:space="preserve">Moms Party </t>
  </si>
  <si>
    <t>56.1333663,9.8915517</t>
  </si>
  <si>
    <t>My Party</t>
  </si>
  <si>
    <t>56.1500468,9.9581676</t>
  </si>
  <si>
    <t>Viborg Sygehus</t>
  </si>
  <si>
    <t>56.4457328,9.4040269</t>
  </si>
  <si>
    <t>Where I was born</t>
  </si>
  <si>
    <t>Søndermarksvej 8, 8800 Viborg</t>
  </si>
  <si>
    <t>56.4448791,9.3985731</t>
  </si>
  <si>
    <t>My first home</t>
  </si>
  <si>
    <t>Baptism</t>
  </si>
  <si>
    <t>56.4482137,9.4318566</t>
  </si>
  <si>
    <t>Daycare</t>
  </si>
  <si>
    <t>56.4409738,9.3905319</t>
  </si>
  <si>
    <t>Kindergarden</t>
  </si>
  <si>
    <t>56.4438353,9.3984403</t>
  </si>
  <si>
    <t>Kindergarten</t>
  </si>
  <si>
    <t>Vestre Skole</t>
  </si>
  <si>
    <t>56.452471,9.3956203</t>
  </si>
  <si>
    <t>Elementary school</t>
  </si>
  <si>
    <t>Italy, Lago di Garda</t>
  </si>
  <si>
    <t>45.5845447,10.7185345</t>
  </si>
  <si>
    <t>First holiday in Italy</t>
  </si>
  <si>
    <t>Croatia, Lanterna Camping</t>
  </si>
  <si>
    <t>45.297046,13.5921923</t>
  </si>
  <si>
    <t>First holiday in Croatia</t>
  </si>
  <si>
    <t>Trekronervej 128, 9620 Aalestrup</t>
  </si>
  <si>
    <t>56.64414,9.5280533</t>
  </si>
  <si>
    <t xml:space="preserve">My second home </t>
  </si>
  <si>
    <t>Møldrup Skole</t>
  </si>
  <si>
    <t>56.619154,9.4987307</t>
  </si>
  <si>
    <t>Second school</t>
  </si>
  <si>
    <t>Møldrup hallen</t>
  </si>
  <si>
    <t>Playing handball</t>
  </si>
  <si>
    <t>Møldrup fodboldbaner</t>
  </si>
  <si>
    <t>56.6196115,9.499066</t>
  </si>
  <si>
    <t>Playing football</t>
  </si>
  <si>
    <t>Astrid Lindgrens Värld, Sverige</t>
  </si>
  <si>
    <t>57.6742381,15.8404989</t>
  </si>
  <si>
    <t>First time in Sweden</t>
  </si>
  <si>
    <t>Disneyland, Paris, France</t>
  </si>
  <si>
    <t>48.8673858,2.7814043</t>
  </si>
  <si>
    <t>My first time in France</t>
  </si>
  <si>
    <t>Cruise, Thera, Greece</t>
  </si>
  <si>
    <t>36.4071334,25.3505909</t>
  </si>
  <si>
    <t>My first cruise</t>
  </si>
  <si>
    <t>Egypt, Hugarda</t>
  </si>
  <si>
    <t>27.2567633,33.8282866</t>
  </si>
  <si>
    <t>First time in Egypt</t>
  </si>
  <si>
    <t>Confirmation</t>
  </si>
  <si>
    <t>56.6702803,9.4851045</t>
  </si>
  <si>
    <t>Turkey</t>
  </si>
  <si>
    <t>27.9466924,34.278713</t>
  </si>
  <si>
    <t>First time in Turkey</t>
  </si>
  <si>
    <t>Viborg Gymnasium</t>
  </si>
  <si>
    <t>56.463585,9.4487803</t>
  </si>
  <si>
    <t>High School</t>
  </si>
  <si>
    <t>Houlkær Bageri</t>
  </si>
  <si>
    <t>Memories sharing pastry</t>
  </si>
  <si>
    <t>Jyske Bank</t>
  </si>
  <si>
    <t>56.4494806,9.4032565</t>
  </si>
  <si>
    <t>My first work</t>
  </si>
  <si>
    <t>Lidl</t>
  </si>
  <si>
    <t>56.4449005,9.3891067</t>
  </si>
  <si>
    <t>Job in gap year</t>
  </si>
  <si>
    <t>Maldives</t>
  </si>
  <si>
    <t>3.1024749,68.7289458</t>
  </si>
  <si>
    <t>Gap year</t>
  </si>
  <si>
    <t>Sri Lanka</t>
  </si>
  <si>
    <t>7.8516994,78.4556509</t>
  </si>
  <si>
    <t>Thailand</t>
  </si>
  <si>
    <t>13.6111017,94.7508411</t>
  </si>
  <si>
    <t>Qatar</t>
  </si>
  <si>
    <t>25.2646811,51.5681529</t>
  </si>
  <si>
    <t>Australia, Jerrabomberra</t>
  </si>
  <si>
    <t>-35.3801497,149.202997</t>
  </si>
  <si>
    <t>Gap year / working abroad</t>
  </si>
  <si>
    <t>Perisher Valley</t>
  </si>
  <si>
    <t>-36.4052829,148.3833114</t>
  </si>
  <si>
    <t>First (and last) time snowboarding</t>
  </si>
  <si>
    <t>New Zealand</t>
  </si>
  <si>
    <t>-40.5748934,166.0173195</t>
  </si>
  <si>
    <t>56.1552965,10.1780741</t>
  </si>
  <si>
    <t>Moved out from my parents and to Aarhus</t>
  </si>
  <si>
    <t>Aarhus University</t>
  </si>
  <si>
    <t>56.1724346,10.2033485</t>
  </si>
  <si>
    <t>Started university</t>
  </si>
  <si>
    <t xml:space="preserve">Ikea </t>
  </si>
  <si>
    <t>56.2030018,10.1788538</t>
  </si>
  <si>
    <t>Started job in Ikea</t>
  </si>
  <si>
    <t>r</t>
  </si>
  <si>
    <t>Three mounds</t>
  </si>
  <si>
    <t>56.2280642,10.7174371</t>
  </si>
  <si>
    <t>Cool mounds with sea view</t>
  </si>
  <si>
    <t>56.0887158,10.221313</t>
  </si>
  <si>
    <t>Nice museum</t>
  </si>
  <si>
    <t>55.6736871,12.5659584</t>
  </si>
  <si>
    <t>Amusement Park</t>
  </si>
  <si>
    <t>Church in Skovby</t>
  </si>
  <si>
    <t>Sdr. Felding</t>
  </si>
  <si>
    <t>55.9381974,8.7300809</t>
  </si>
  <si>
    <t>Village in Midtjylland</t>
  </si>
  <si>
    <t>Købstadsmuseum</t>
  </si>
  <si>
    <t>Studenterbaren Aarhus</t>
  </si>
  <si>
    <t>56.1720435,10.2002921</t>
  </si>
  <si>
    <t>Pub</t>
  </si>
  <si>
    <t>Caspers Home</t>
  </si>
  <si>
    <t>coxyness</t>
  </si>
  <si>
    <t>56.1323273,10.1465997</t>
  </si>
  <si>
    <t>The best place on earth</t>
  </si>
  <si>
    <t>Holstebro Gymnasie &amp; HF</t>
  </si>
  <si>
    <t>prison</t>
  </si>
  <si>
    <t>56.370411,8.6048592</t>
  </si>
  <si>
    <t>Holstebro gymansie</t>
  </si>
  <si>
    <t>Stars</t>
  </si>
  <si>
    <t>Randers Stadion</t>
  </si>
  <si>
    <t>56.4657089539835, 10.009485558539799</t>
  </si>
  <si>
    <t>Holy grail of Danish football</t>
  </si>
  <si>
    <t>Broca's Bodega</t>
  </si>
  <si>
    <t>56.1727164,10.2061572</t>
  </si>
  <si>
    <t>Best friday bar at in the world, located in the Nobel Park.</t>
  </si>
  <si>
    <t>Dejbjeg Golfklub</t>
  </si>
  <si>
    <t>55.998047,8.4682353</t>
  </si>
  <si>
    <t>Vestjyllands most pristine golf course</t>
  </si>
  <si>
    <t>Kridtgraven</t>
  </si>
  <si>
    <t>57.0436161,9.8756756</t>
  </si>
  <si>
    <t xml:space="preserve">Chalk grave </t>
  </si>
  <si>
    <t>55.6779618,12.5876764</t>
  </si>
  <si>
    <t>Freetown at Christianshavn</t>
  </si>
  <si>
    <t>Slåensø</t>
  </si>
  <si>
    <t>56.1230061,9.6101629</t>
  </si>
  <si>
    <t>The most beautiful lake in the Silkeborg area</t>
  </si>
  <si>
    <t>Thy</t>
  </si>
  <si>
    <t>56.979914117853006, 8.409491731201944</t>
  </si>
  <si>
    <t xml:space="preserve">Pure wilderness </t>
  </si>
  <si>
    <t>Grenen</t>
  </si>
  <si>
    <t>57.7436103,10.6365231</t>
  </si>
  <si>
    <t>Colliding seas</t>
  </si>
  <si>
    <t>Marselisborg Dyrehave (deerpark)</t>
  </si>
  <si>
    <t>56.12041,10.2177093</t>
  </si>
  <si>
    <t>Deer Park in Aarhus</t>
  </si>
  <si>
    <t>55.68901, 12.579734</t>
  </si>
  <si>
    <t>Great climbing tree</t>
  </si>
  <si>
    <t>57.7436103,10.6365232</t>
  </si>
  <si>
    <t>Top of DK</t>
  </si>
  <si>
    <t>Snogebæk, Bornholm</t>
  </si>
  <si>
    <t>hospitality</t>
  </si>
  <si>
    <t>55.024103, 15.116195</t>
  </si>
  <si>
    <t>Best softice on Bornholm</t>
  </si>
  <si>
    <t>Silkeborg</t>
  </si>
  <si>
    <t>56.1827476, 9.4256895</t>
  </si>
  <si>
    <t>Beautiful city with a lot of nature</t>
  </si>
  <si>
    <t>Glyptoteket</t>
  </si>
  <si>
    <t>55.672983, 12.5703543</t>
  </si>
  <si>
    <t>Museum with antique sculptures</t>
  </si>
  <si>
    <t>Bissensgade 1</t>
  </si>
  <si>
    <t>56.1546656, 10.1953078</t>
  </si>
  <si>
    <t>my home</t>
  </si>
  <si>
    <t>Blidsø</t>
  </si>
  <si>
    <t>56.0485137, 9.6609709</t>
  </si>
  <si>
    <t>caught a huge great northern pike!!!!!!!!</t>
  </si>
  <si>
    <t>Roskilde Domkirke</t>
  </si>
  <si>
    <t>55.6426377,12.0782604</t>
  </si>
  <si>
    <t xml:space="preserve">The coolest church in Denmark. It has the record for most dead royals buried within a single building.  </t>
  </si>
  <si>
    <t>56.2151424,10.5368877</t>
  </si>
  <si>
    <t>Beautiful National Park great for a day-hike</t>
  </si>
  <si>
    <t>LEGOLAND</t>
  </si>
  <si>
    <t>55.7333775,9.1249593</t>
  </si>
  <si>
    <t>Where parents come to slowly die while queing with their kids for a boring ride..</t>
  </si>
  <si>
    <t>Mighty nobel park</t>
  </si>
  <si>
    <t>56.1724346,10.2033486</t>
  </si>
  <si>
    <t xml:space="preserve">Wonderful place to study - some say, the greatest in all the world </t>
  </si>
  <si>
    <t>57.6963487,10.3581323</t>
  </si>
  <si>
    <t xml:space="preserve">A place with very cute baby seals </t>
  </si>
  <si>
    <t>54.984129,12.5437017</t>
  </si>
  <si>
    <t>Cliff in the Southern part of Denmark</t>
  </si>
  <si>
    <t>56.153922, 10.1975273</t>
  </si>
  <si>
    <t>Hundsemyre, Bornholm</t>
  </si>
  <si>
    <t>55.0307997, 15.1000274</t>
  </si>
  <si>
    <t>Nice swamp for going for a walk (remember rubber boots)</t>
  </si>
  <si>
    <t>MCH Arena</t>
  </si>
  <si>
    <t>56.1168488,8.9495426</t>
  </si>
  <si>
    <t xml:space="preserve">Wolf habitat.. A place where dreams come true! </t>
  </si>
  <si>
    <t>Susan Himmelblå</t>
  </si>
  <si>
    <t>57.0488889,9.9136446</t>
  </si>
  <si>
    <t>A great bar in Aalborg</t>
  </si>
  <si>
    <t>56.09513063364731, 10.51281752102004</t>
  </si>
  <si>
    <t>Fields, fields, and fields</t>
  </si>
  <si>
    <t>Stændertorvet, Roskilde</t>
  </si>
  <si>
    <t>55.641487,12.0788073</t>
  </si>
  <si>
    <t>Central plaza at Roskilde city. It has many nice cafés, thoug you do not want to leave your lunch alone for more than a minute, or the seagulls from the harbor will eat it. I am deadly serious.</t>
  </si>
  <si>
    <t>Agri Bavnehøj</t>
  </si>
  <si>
    <t>56.2285446,10.5296579</t>
  </si>
  <si>
    <t>greatest view in mols mountains</t>
  </si>
  <si>
    <t>Infinite Bridge</t>
  </si>
  <si>
    <t>56.1246662, 10.2161462</t>
  </si>
  <si>
    <t>The never-ending circular bridge</t>
  </si>
  <si>
    <t>Ebeltoft Gårdbryggeri</t>
  </si>
  <si>
    <t>56.1864053,10.5658076</t>
  </si>
  <si>
    <t>Excellent brewery + bar near Ebeltoft. Beautiful view of Danish fields and sea</t>
  </si>
  <si>
    <t>Djurs Sommerland</t>
  </si>
  <si>
    <t>56.4252157,10.5487792</t>
  </si>
  <si>
    <t>Fenomenal Summer park</t>
  </si>
  <si>
    <t>Carlsens Kvarter</t>
  </si>
  <si>
    <t>55.3908292,10.3860613</t>
  </si>
  <si>
    <t>The place to be if you want a great beer in Odense</t>
  </si>
  <si>
    <t>55.463252, 11.721498</t>
  </si>
  <si>
    <t>Actual Denmark</t>
  </si>
  <si>
    <t>Botanisk Have</t>
  </si>
  <si>
    <t>56.1621736,10.1872971</t>
  </si>
  <si>
    <t>The botanical garden of Aarhus. Flowers and stuff</t>
  </si>
  <si>
    <t>Matematisk Kantine</t>
  </si>
  <si>
    <t>56.1666311,10.2002604</t>
  </si>
  <si>
    <t>A canteen that understands quantity over quality</t>
  </si>
  <si>
    <t>Himmelbjerget</t>
  </si>
  <si>
    <t>56.11712176162609, 9.711611389655623</t>
  </si>
  <si>
    <t>Ideal for camping in the company of cute martens</t>
  </si>
  <si>
    <t>Fjand</t>
  </si>
  <si>
    <t>Vacation house</t>
  </si>
  <si>
    <t>56.328661,8.1523593</t>
  </si>
  <si>
    <t>Best location for zoom meetings</t>
  </si>
  <si>
    <t>Arresø</t>
  </si>
  <si>
    <t>5.9771515,12.0414168</t>
  </si>
  <si>
    <t>large lake polluted in 1900</t>
  </si>
  <si>
    <t>Molslabaratoriet</t>
  </si>
  <si>
    <t>National park</t>
  </si>
  <si>
    <t>56.2258556,10.5708117</t>
  </si>
  <si>
    <t>Nice nature, cute horses and cows, rewilding project</t>
  </si>
  <si>
    <t>Rebild Bakker</t>
  </si>
  <si>
    <t>56.831689,9.8348412</t>
  </si>
  <si>
    <t>57.7481601,10.6322525</t>
  </si>
  <si>
    <t>Northernmost point of Jutland</t>
  </si>
  <si>
    <t>Windy</t>
  </si>
  <si>
    <t>Grærup beach</t>
  </si>
  <si>
    <t>55.6485444,8.1373206</t>
  </si>
  <si>
    <t>Nice wide beach.</t>
  </si>
  <si>
    <t>55.6441794,8.0874958</t>
  </si>
  <si>
    <t xml:space="preserve"> preserved villages on military training grounds</t>
  </si>
  <si>
    <t>Ry station</t>
  </si>
  <si>
    <t>56.0925452,9.7449905</t>
  </si>
  <si>
    <t xml:space="preserve">Startpoint for a hike to Silkeborg </t>
  </si>
  <si>
    <t>Gudensø</t>
  </si>
  <si>
    <t>56.060939,9.7423903</t>
  </si>
  <si>
    <t>Quote from visitor: "I did not think there were real forrest in Denmark til I visited this place"</t>
  </si>
  <si>
    <t>Skallerup Klit</t>
  </si>
  <si>
    <t>Vacation home</t>
  </si>
  <si>
    <t>57.4872219,9.8339629</t>
  </si>
  <si>
    <t>Vacation Home</t>
  </si>
  <si>
    <t>Læsø Kur</t>
  </si>
  <si>
    <t>Spa, bathing facility</t>
  </si>
  <si>
    <t>57.2876291,10.9163443</t>
  </si>
  <si>
    <t>Nice spa, located in an old church</t>
  </si>
  <si>
    <t>Tilst Bypark</t>
  </si>
  <si>
    <t>Public park</t>
  </si>
  <si>
    <t>56.1867962,10.0937753</t>
  </si>
  <si>
    <t>Tilst Disc Golf Course</t>
  </si>
  <si>
    <t>Vosnæs Pynt</t>
  </si>
  <si>
    <t>56.2726962,10.3659959</t>
  </si>
  <si>
    <t>Sea trouts</t>
  </si>
  <si>
    <t>Svanninge Bakker</t>
  </si>
  <si>
    <t>55.3772588,9.4186468</t>
  </si>
  <si>
    <t xml:space="preserve">De Fynske Alper. The Funish Alps. </t>
  </si>
  <si>
    <t>Hjarnø</t>
  </si>
  <si>
    <t>55.8257645,10.0699034</t>
  </si>
  <si>
    <t>Small island in Horsens Fjord</t>
  </si>
  <si>
    <t>Store Økssø</t>
  </si>
  <si>
    <t>56.8049063,9.8580488</t>
  </si>
  <si>
    <t>Horndrup</t>
  </si>
  <si>
    <t>56.0167989,9.8623515</t>
  </si>
  <si>
    <t>Shelters outside Skanderborg</t>
  </si>
  <si>
    <t xml:space="preserve">Padborg </t>
  </si>
  <si>
    <t>Train station</t>
  </si>
  <si>
    <t>54.8236291,9.3573904</t>
  </si>
  <si>
    <t>The closest thing to bliss in Denmark</t>
  </si>
  <si>
    <t>Bregninge Kirke</t>
  </si>
  <si>
    <t>55.0212286,10.6097379</t>
  </si>
  <si>
    <t>One can see the entirety of Sydfyn on a good day</t>
  </si>
  <si>
    <t>Stige Ø</t>
  </si>
  <si>
    <t>55.4405113,10.3480238</t>
  </si>
  <si>
    <t>Beautiful nature on top of a big wastefield</t>
  </si>
  <si>
    <t>Jelling Monuments</t>
  </si>
  <si>
    <t>55.7565694,9.4173826</t>
  </si>
  <si>
    <t>54.9787695,12.3883748</t>
  </si>
  <si>
    <t>55.6284645,9.2806231</t>
  </si>
  <si>
    <t>Skarø</t>
  </si>
  <si>
    <t>55.0094067,10.4545604</t>
  </si>
  <si>
    <t>Lovely people, great icecream</t>
  </si>
  <si>
    <t>Skæring beach</t>
  </si>
  <si>
    <t>56.2244723,10.300058</t>
  </si>
  <si>
    <t>Nice beach</t>
  </si>
  <si>
    <t xml:space="preserve">Mariager kirke </t>
  </si>
  <si>
    <t>56.6478349,9.9760273</t>
  </si>
  <si>
    <t xml:space="preserve">A really beautiful church </t>
  </si>
  <si>
    <t>56.1576105,10.1995768</t>
  </si>
  <si>
    <t>Vesterlauget, good beer</t>
  </si>
  <si>
    <t>Aarhus Universitet</t>
  </si>
  <si>
    <t>University building</t>
  </si>
  <si>
    <t>56.1728828,10.2063215</t>
  </si>
  <si>
    <t>Vikingeborgen Fyrkat</t>
  </si>
  <si>
    <t>56.6317638,9.7675998</t>
  </si>
  <si>
    <t xml:space="preserve">Viking Fortress Fyrkat in northern jutland </t>
  </si>
  <si>
    <t>Faxe Kalkbrud</t>
  </si>
  <si>
    <t>55.218412,12.0986043</t>
  </si>
  <si>
    <t>Møn</t>
  </si>
  <si>
    <t>55.0857232,12.2669409</t>
  </si>
  <si>
    <t>Hiking</t>
  </si>
  <si>
    <t>Trøjborg</t>
  </si>
  <si>
    <t>District</t>
  </si>
  <si>
    <t>56.1716544,10.2166632</t>
  </si>
  <si>
    <t>Bjørnø</t>
  </si>
  <si>
    <t>55.062678,10.2334107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</si>
</sst>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"/>
  </numFmts>
  <fonts count="41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Consolas"/>
    </font>
    <font>
      <b/>
      <color theme="1"/>
      <name val="Arial"/>
      <scheme val="minor"/>
    </font>
    <font>
      <color theme="1"/>
      <name val="Arial"/>
    </font>
    <font>
      <sz val="11.0"/>
      <color rgb="FF000000"/>
      <name val="Consolas"/>
    </font>
    <font>
      <color theme="1"/>
      <name val="Consolas"/>
    </font>
    <font>
      <color theme="1"/>
      <name val="Arial"/>
      <scheme val="minor"/>
    </font>
    <font>
      <color rgb="FF000000"/>
      <name val="Arial"/>
    </font>
    <font>
      <color rgb="FF000000"/>
      <name val="&quot;Arial&quot;"/>
    </font>
    <font>
      <u/>
      <sz val="11.0"/>
      <color rgb="FF2244DD"/>
      <name val="Arial"/>
    </font>
    <font>
      <u/>
      <sz val="11.0"/>
      <color rgb="FF2244DD"/>
      <name val="-apple-system"/>
    </font>
    <font>
      <sz val="11.0"/>
      <color rgb="FF333333"/>
      <name val="Arial"/>
    </font>
    <font>
      <sz val="9.0"/>
      <color rgb="FF1A73E8"/>
      <name val="Roboto"/>
    </font>
    <font>
      <sz val="11.0"/>
      <color rgb="FF4D5156"/>
      <name val="Arial"/>
    </font>
    <font>
      <color rgb="FF000000"/>
      <name val="Roboto"/>
    </font>
    <font>
      <sz val="9.0"/>
      <color rgb="FF1F1F1F"/>
      <name val="&quot;Google Sans&quot;"/>
    </font>
    <font>
      <color rgb="FF202124"/>
      <name val="&quot;Google Sans&quot;"/>
    </font>
    <font>
      <sz val="10.0"/>
      <color rgb="FF202124"/>
      <name val="Arial"/>
    </font>
    <font>
      <sz val="11.0"/>
      <color rgb="FF001C3B"/>
      <name val="&quot;Google Sans&quot;"/>
    </font>
    <font>
      <sz val="11.0"/>
      <color rgb="FF333333"/>
      <name val="Inter"/>
    </font>
    <font>
      <color rgb="FF000000"/>
      <name val="&quot;Google Sans&quot;"/>
    </font>
    <font>
      <u/>
      <color rgb="FF000000"/>
      <name val="&quot;Google Sans&quot;"/>
    </font>
    <font>
      <u/>
      <sz val="10.0"/>
      <color rgb="FF000000"/>
      <name val="Arial"/>
      <scheme val="minor"/>
    </font>
    <font>
      <u/>
      <sz val="11.0"/>
      <color rgb="FF5E5E5E"/>
      <name val="&quot;Google Sans&quot;"/>
    </font>
    <font>
      <sz val="11.0"/>
      <color rgb="FFFFFFFF"/>
      <name val="Arial"/>
    </font>
    <font>
      <color rgb="FF0B57D0"/>
      <name val="&quot;Google Sans&quot;"/>
    </font>
    <font>
      <sz val="12.0"/>
      <color rgb="FFFFFFFF"/>
      <name val="Roboto"/>
    </font>
    <font>
      <sz val="14.0"/>
      <color rgb="FFFFFFFF"/>
      <name val="&quot;Google Symbols&quot;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  <font>
      <i/>
      <sz val="8.0"/>
      <color rgb="FF222222"/>
      <name val="Arial"/>
    </font>
    <font>
      <sz val="9.0"/>
      <color rgb="FF000000"/>
      <name val="&quot;Google Sans Mono&quot;"/>
    </font>
    <font>
      <color rgb="FF0000FF"/>
      <name val="&quot;Lucida Console&quot;"/>
    </font>
    <font>
      <sz val="11.0"/>
      <color rgb="FF1F1F1F"/>
      <name val="&quot;Google Sans&quot;"/>
    </font>
    <font>
      <color rgb="FF000000"/>
      <name val="Arial"/>
      <scheme val="minor"/>
    </font>
    <font>
      <sz val="11.0"/>
      <color rgb="FF4D5156"/>
      <name val="Roboto"/>
    </font>
    <font>
      <sz val="11.0"/>
      <color rgb="FF000000"/>
      <name val="Inconsolata"/>
    </font>
    <font>
      <color rgb="FF000000"/>
      <name val="Docs-Roboto"/>
    </font>
    <font>
      <b/>
      <color rgb="FF454545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1F1F1"/>
        <bgColor rgb="FFF1F1F1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1B6EF3"/>
        <bgColor rgb="FF1B6EF3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horizontal="left" vertical="bottom"/>
    </xf>
    <xf borderId="0" fillId="3" fontId="2" numFmtId="0" xfId="0" applyAlignment="1" applyFill="1" applyFont="1">
      <alignment readingOrder="0" vertical="bottom"/>
    </xf>
    <xf borderId="0" fillId="3" fontId="2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4" numFmtId="0" xfId="0" applyAlignment="1" applyFont="1">
      <alignment horizontal="left" readingOrder="0" vertical="bottom"/>
    </xf>
    <xf borderId="0" fillId="3" fontId="5" numFmtId="0" xfId="0" applyFont="1"/>
    <xf borderId="0" fillId="3" fontId="6" numFmtId="0" xfId="0" applyFont="1"/>
    <xf borderId="0" fillId="0" fontId="4" numFmtId="3" xfId="0" applyAlignment="1" applyFont="1" applyNumberFormat="1">
      <alignment horizontal="left" readingOrder="0" vertical="bottom"/>
    </xf>
    <xf borderId="0" fillId="0" fontId="7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2" fontId="7" numFmtId="0" xfId="0" applyFont="1"/>
    <xf borderId="0" fillId="2" fontId="10" numFmtId="0" xfId="0" applyAlignment="1" applyFont="1">
      <alignment horizontal="left" readingOrder="0"/>
    </xf>
    <xf borderId="0" fillId="2" fontId="11" numFmtId="0" xfId="0" applyAlignment="1" applyFont="1">
      <alignment horizontal="left" readingOrder="0"/>
    </xf>
    <xf borderId="0" fillId="4" fontId="12" numFmtId="0" xfId="0" applyAlignment="1" applyFill="1" applyFont="1">
      <alignment readingOrder="0"/>
    </xf>
    <xf borderId="0" fillId="2" fontId="8" numFmtId="0" xfId="0" applyAlignment="1" applyFont="1">
      <alignment horizontal="left" readingOrder="0"/>
    </xf>
    <xf borderId="0" fillId="5" fontId="13" numFmtId="0" xfId="0" applyAlignment="1" applyFill="1" applyFont="1">
      <alignment horizontal="left" readingOrder="0"/>
    </xf>
    <xf borderId="0" fillId="5" fontId="14" numFmtId="0" xfId="0" applyAlignment="1" applyFont="1">
      <alignment horizontal="left" readingOrder="0"/>
    </xf>
    <xf borderId="0" fillId="5" fontId="15" numFmtId="0" xfId="0" applyAlignment="1" applyFont="1">
      <alignment readingOrder="0"/>
    </xf>
    <xf borderId="0" fillId="3" fontId="6" numFmtId="0" xfId="0" applyAlignment="1" applyFont="1">
      <alignment readingOrder="0"/>
    </xf>
    <xf borderId="0" fillId="2" fontId="1" numFmtId="0" xfId="0" applyAlignment="1" applyFont="1">
      <alignment horizontal="left" readingOrder="0" vertical="bottom"/>
    </xf>
    <xf borderId="0" fillId="5" fontId="16" numFmtId="0" xfId="0" applyAlignment="1" applyFont="1">
      <alignment readingOrder="0"/>
    </xf>
    <xf borderId="0" fillId="0" fontId="17" numFmtId="0" xfId="0" applyAlignment="1" applyFont="1">
      <alignment horizontal="left" readingOrder="0"/>
    </xf>
    <xf borderId="0" fillId="5" fontId="18" numFmtId="0" xfId="0" applyAlignment="1" applyFont="1">
      <alignment horizontal="left" readingOrder="0"/>
    </xf>
    <xf borderId="0" fillId="5" fontId="8" numFmtId="0" xfId="0" applyAlignment="1" applyFont="1">
      <alignment horizontal="left" readingOrder="0"/>
    </xf>
    <xf borderId="0" fillId="3" fontId="7" numFmtId="0" xfId="0" applyAlignment="1" applyFont="1">
      <alignment readingOrder="0"/>
    </xf>
    <xf borderId="0" fillId="3" fontId="5" numFmtId="0" xfId="0" applyAlignment="1" applyFont="1">
      <alignment readingOrder="0"/>
    </xf>
    <xf borderId="0" fillId="2" fontId="19" numFmtId="0" xfId="0" applyAlignment="1" applyFont="1">
      <alignment readingOrder="0"/>
    </xf>
    <xf borderId="0" fillId="2" fontId="20" numFmtId="0" xfId="0" applyAlignment="1" applyFont="1">
      <alignment readingOrder="0"/>
    </xf>
    <xf borderId="0" fillId="3" fontId="20" numFmtId="0" xfId="0" applyAlignment="1" applyFont="1">
      <alignment readingOrder="0"/>
    </xf>
    <xf borderId="0" fillId="2" fontId="21" numFmtId="0" xfId="0" applyAlignment="1" applyFont="1">
      <alignment horizontal="left" readingOrder="0" shrinkToFit="0" wrapText="0"/>
    </xf>
    <xf borderId="0" fillId="0" fontId="22" numFmtId="0" xfId="0" applyAlignment="1" applyFont="1">
      <alignment horizontal="left" readingOrder="0"/>
    </xf>
    <xf borderId="0" fillId="2" fontId="21" numFmtId="0" xfId="0" applyAlignment="1" applyFont="1">
      <alignment horizontal="left" readingOrder="0" shrinkToFit="0" wrapText="0"/>
    </xf>
    <xf borderId="0" fillId="6" fontId="23" numFmtId="0" xfId="0" applyAlignment="1" applyFill="1" applyFont="1">
      <alignment readingOrder="0"/>
    </xf>
    <xf borderId="0" fillId="2" fontId="21" numFmtId="0" xfId="0" applyAlignment="1" applyFont="1">
      <alignment horizontal="left" readingOrder="0" shrinkToFit="0" wrapText="0"/>
    </xf>
    <xf borderId="0" fillId="5" fontId="24" numFmtId="0" xfId="0" applyAlignment="1" applyFont="1">
      <alignment horizontal="center" readingOrder="0"/>
    </xf>
    <xf borderId="0" fillId="5" fontId="25" numFmtId="0" xfId="0" applyAlignment="1" applyFont="1">
      <alignment readingOrder="0"/>
    </xf>
    <xf borderId="0" fillId="0" fontId="26" numFmtId="0" xfId="0" applyAlignment="1" applyFont="1">
      <alignment horizontal="left" readingOrder="0"/>
    </xf>
    <xf borderId="0" fillId="7" fontId="27" numFmtId="0" xfId="0" applyAlignment="1" applyFill="1" applyFont="1">
      <alignment horizontal="center" readingOrder="0"/>
    </xf>
    <xf borderId="0" fillId="7" fontId="28" numFmtId="0" xfId="0" applyAlignment="1" applyFont="1">
      <alignment readingOrder="0" shrinkToFit="0" wrapText="0"/>
    </xf>
    <xf borderId="0" fillId="0" fontId="29" numFmtId="0" xfId="0" applyAlignment="1" applyFont="1">
      <alignment horizontal="center" readingOrder="0" shrinkToFit="0" wrapText="0"/>
    </xf>
    <xf borderId="0" fillId="0" fontId="29" numFmtId="0" xfId="0" applyAlignment="1" applyFont="1">
      <alignment readingOrder="0" shrinkToFit="0" wrapText="0"/>
    </xf>
    <xf borderId="0" fillId="0" fontId="30" numFmtId="0" xfId="0" applyFont="1"/>
    <xf borderId="0" fillId="0" fontId="30" numFmtId="0" xfId="0" applyAlignment="1" applyFont="1">
      <alignment readingOrder="0" shrinkToFit="0" wrapText="0"/>
    </xf>
    <xf borderId="0" fillId="0" fontId="30" numFmtId="0" xfId="0" applyAlignment="1" applyFont="1">
      <alignment horizontal="center" readingOrder="0" shrinkToFit="0" wrapText="0"/>
    </xf>
    <xf borderId="0" fillId="0" fontId="30" numFmtId="0" xfId="0" applyAlignment="1" applyFont="1">
      <alignment horizontal="right" readingOrder="0" shrinkToFit="0" wrapText="0"/>
    </xf>
    <xf borderId="0" fillId="0" fontId="30" numFmtId="0" xfId="0" applyAlignment="1" applyFont="1">
      <alignment horizontal="left"/>
    </xf>
    <xf borderId="0" fillId="0" fontId="31" numFmtId="0" xfId="0" applyAlignment="1" applyFont="1">
      <alignment readingOrder="0" shrinkToFit="0" wrapText="0"/>
    </xf>
    <xf borderId="0" fillId="0" fontId="30" numFmtId="0" xfId="0" applyAlignment="1" applyFont="1">
      <alignment horizontal="left" readingOrder="0" shrinkToFit="0" wrapText="0"/>
    </xf>
    <xf borderId="0" fillId="0" fontId="30" numFmtId="0" xfId="0" applyAlignment="1" applyFont="1">
      <alignment horizontal="left" shrinkToFit="0" vertical="bottom" wrapText="0"/>
    </xf>
    <xf borderId="0" fillId="0" fontId="30" numFmtId="0" xfId="0" applyAlignment="1" applyFont="1">
      <alignment horizontal="right" readingOrder="0"/>
    </xf>
    <xf borderId="0" fillId="0" fontId="30" numFmtId="0" xfId="0" applyAlignment="1" applyFont="1">
      <alignment shrinkToFit="0" vertical="bottom" wrapText="0"/>
    </xf>
    <xf borderId="0" fillId="0" fontId="32" numFmtId="0" xfId="0" applyAlignment="1" applyFont="1">
      <alignment readingOrder="0" shrinkToFit="0" wrapText="0"/>
    </xf>
    <xf borderId="0" fillId="5" fontId="33" numFmtId="0" xfId="0" applyFont="1"/>
    <xf borderId="0" fillId="5" fontId="34" numFmtId="0" xfId="0" applyAlignment="1" applyFont="1">
      <alignment readingOrder="0"/>
    </xf>
    <xf borderId="0" fillId="5" fontId="35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36" numFmtId="0" xfId="0" applyAlignment="1" applyFont="1">
      <alignment readingOrder="0"/>
    </xf>
    <xf borderId="0" fillId="5" fontId="37" numFmtId="0" xfId="0" applyAlignment="1" applyFont="1">
      <alignment horizontal="left" readingOrder="0"/>
    </xf>
    <xf borderId="0" fillId="3" fontId="4" numFmtId="0" xfId="0" applyAlignment="1" applyFont="1">
      <alignment readingOrder="0"/>
    </xf>
    <xf borderId="0" fillId="3" fontId="7" numFmtId="0" xfId="0" applyFont="1"/>
    <xf borderId="0" fillId="0" fontId="1" numFmtId="0" xfId="0" applyAlignment="1" applyFont="1">
      <alignment horizontal="left" vertical="bottom"/>
    </xf>
    <xf borderId="0" fillId="8" fontId="1" numFmtId="0" xfId="0" applyAlignment="1" applyFill="1" applyFont="1">
      <alignment readingOrder="0" vertical="bottom"/>
    </xf>
    <xf borderId="0" fillId="8" fontId="1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horizontal="left" readingOrder="0" vertical="bottom"/>
    </xf>
    <xf borderId="0" fillId="5" fontId="38" numFmtId="0" xfId="0" applyFont="1"/>
    <xf borderId="0" fillId="8" fontId="7" numFmtId="0" xfId="0" applyFont="1"/>
    <xf borderId="0" fillId="8" fontId="38" numFmtId="0" xfId="0" applyAlignment="1" applyFont="1">
      <alignment readingOrder="0"/>
    </xf>
    <xf borderId="0" fillId="8" fontId="7" numFmtId="0" xfId="0" applyAlignment="1" applyFont="1">
      <alignment readingOrder="0"/>
    </xf>
    <xf borderId="0" fillId="8" fontId="38" numFmtId="0" xfId="0" applyFont="1"/>
    <xf borderId="0" fillId="0" fontId="1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4" numFmtId="3" xfId="0" applyAlignment="1" applyFont="1" applyNumberFormat="1">
      <alignment horizontal="right" readingOrder="0" vertical="bottom"/>
    </xf>
    <xf borderId="0" fillId="0" fontId="15" numFmtId="164" xfId="0" applyAlignment="1" applyFont="1" applyNumberFormat="1">
      <alignment horizontal="right" readingOrder="0"/>
    </xf>
    <xf borderId="0" fillId="0" fontId="8" numFmtId="164" xfId="0" applyAlignment="1" applyFont="1" applyNumberFormat="1">
      <alignment horizontal="right" readingOrder="0"/>
    </xf>
    <xf borderId="0" fillId="0" fontId="7" numFmtId="164" xfId="0" applyAlignment="1" applyFont="1" applyNumberFormat="1">
      <alignment horizontal="right" readingOrder="0"/>
    </xf>
    <xf borderId="0" fillId="0" fontId="15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0" fontId="15" numFmtId="164" xfId="0" applyAlignment="1" applyFont="1" applyNumberFormat="1">
      <alignment horizontal="right" readingOrder="0"/>
    </xf>
    <xf borderId="0" fillId="0" fontId="39" numFmtId="164" xfId="0" applyAlignment="1" applyFont="1" applyNumberFormat="1">
      <alignment horizontal="right" readingOrder="0"/>
    </xf>
    <xf borderId="0" fillId="0" fontId="40" numFmtId="0" xfId="0" applyAlignment="1" applyFont="1">
      <alignment horizontal="left" readingOrder="0"/>
    </xf>
    <xf borderId="0" fillId="0" fontId="7" numFmtId="164" xfId="0" applyAlignment="1" applyFont="1" applyNumberFormat="1">
      <alignment horizontal="right"/>
    </xf>
    <xf borderId="0" fillId="0" fontId="9" numFmtId="164" xfId="0" applyAlignment="1" applyFont="1" applyNumberFormat="1">
      <alignment horizontal="right" readingOrder="0"/>
    </xf>
    <xf borderId="0" fillId="0" fontId="7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penstreetmap.org/" TargetMode="External"/><Relationship Id="rId2" Type="http://schemas.openxmlformats.org/officeDocument/2006/relationships/hyperlink" Target="https://www.openstreetmap.org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de.wikipedia.org/wiki/Be%C4%8Dov_nad_Teplou" TargetMode="External"/><Relationship Id="rId10" Type="http://schemas.openxmlformats.org/officeDocument/2006/relationships/hyperlink" Target="https://de.wikipedia.org/wiki/Karlsbad" TargetMode="External"/><Relationship Id="rId13" Type="http://schemas.openxmlformats.org/officeDocument/2006/relationships/drawing" Target="../drawings/drawing6.xml"/><Relationship Id="rId12" Type="http://schemas.openxmlformats.org/officeDocument/2006/relationships/hyperlink" Target="https://de.wikipedia.org/wiki/Chlum_Svat%C3%A9_Ma%C5%99%C3%AD" TargetMode="External"/><Relationship Id="rId1" Type="http://schemas.openxmlformats.org/officeDocument/2006/relationships/hyperlink" Target="https://de.wikipedia.org/wiki/M%C3%BDto_v_%C4%8Cech%C3%A1ch" TargetMode="External"/><Relationship Id="rId2" Type="http://schemas.openxmlformats.org/officeDocument/2006/relationships/hyperlink" Target="https://de.wikipedia.org/wiki/Hor%C5%A1ovsk%C3%BD_T%C3%BDn" TargetMode="External"/><Relationship Id="rId3" Type="http://schemas.openxmlformats.org/officeDocument/2006/relationships/hyperlink" Target="https://www.sudomericeutabora.cz/o-obci/" TargetMode="External"/><Relationship Id="rId4" Type="http://schemas.openxmlformats.org/officeDocument/2006/relationships/hyperlink" Target="https://de.wikipedia.org/wiki/Havl%C3%AD%C4%8Dk%C5%AFv_Brod" TargetMode="External"/><Relationship Id="rId9" Type="http://schemas.openxmlformats.org/officeDocument/2006/relationships/hyperlink" Target="https://de.wikipedia.org/wiki/Sokolov" TargetMode="External"/><Relationship Id="rId5" Type="http://schemas.openxmlformats.org/officeDocument/2006/relationships/hyperlink" Target="https://de.wikipedia.org/wiki/%C5%A0toky" TargetMode="External"/><Relationship Id="rId6" Type="http://schemas.openxmlformats.org/officeDocument/2006/relationships/hyperlink" Target="https://de.wikipedia.org/wiki/Jihlava" TargetMode="External"/><Relationship Id="rId7" Type="http://schemas.openxmlformats.org/officeDocument/2006/relationships/hyperlink" Target="https://de.wikipedia.org/wiki/Vranovsk%C3%A1_Ves" TargetMode="External"/><Relationship Id="rId8" Type="http://schemas.openxmlformats.org/officeDocument/2006/relationships/hyperlink" Target="https://de.wikipedia.org/wiki/%C4%8Cesk%C3%A9_Bud%C4%9Bjovice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3" max="3" width="20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6" t="s">
        <v>6</v>
      </c>
      <c r="H1" s="7" t="s">
        <v>7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7" t="s">
        <v>8</v>
      </c>
      <c r="B2" s="7" t="s">
        <v>9</v>
      </c>
      <c r="C2" s="9" t="s">
        <v>10</v>
      </c>
      <c r="D2" s="10">
        <f>IFERROR(__xludf.DUMMYFUNCTION("SPLIT(C2,"","")"),57.0482555)</f>
        <v>57.0482555</v>
      </c>
      <c r="E2" s="11">
        <f>IFERROR(__xludf.DUMMYFUNCTION("""COMPUTED_VALUE"""),9.913457)</f>
        <v>9.913457</v>
      </c>
      <c r="F2" s="12" t="s">
        <v>11</v>
      </c>
      <c r="G2" s="7">
        <v>3.0</v>
      </c>
      <c r="H2" s="13" t="s">
        <v>12</v>
      </c>
    </row>
    <row r="3">
      <c r="A3" s="13" t="s">
        <v>13</v>
      </c>
      <c r="B3" s="7" t="s">
        <v>9</v>
      </c>
      <c r="C3" s="14" t="s">
        <v>14</v>
      </c>
      <c r="D3" s="10">
        <f>IFERROR(__xludf.DUMMYFUNCTION("SPLIT(C3,"","")"),55.6284615)</f>
        <v>55.6284615</v>
      </c>
      <c r="E3" s="15">
        <f>IFERROR(__xludf.DUMMYFUNCTION("""COMPUTED_VALUE"""),9.2806178)</f>
        <v>9.2806178</v>
      </c>
      <c r="F3" s="13" t="s">
        <v>15</v>
      </c>
      <c r="G3" s="13">
        <v>1.0</v>
      </c>
    </row>
    <row r="4">
      <c r="A4" s="13" t="s">
        <v>16</v>
      </c>
      <c r="B4" s="7" t="s">
        <v>17</v>
      </c>
      <c r="C4" s="14" t="s">
        <v>18</v>
      </c>
      <c r="D4" s="10">
        <f>IFERROR(__xludf.DUMMYFUNCTION("SPLIT(C4,"","")"),56.1600663)</f>
        <v>56.1600663</v>
      </c>
      <c r="E4" s="15">
        <f>IFERROR(__xludf.DUMMYFUNCTION("""COMPUTED_VALUE"""),10.2071595)</f>
        <v>10.2071595</v>
      </c>
      <c r="G4" s="13">
        <v>4.0</v>
      </c>
    </row>
    <row r="5">
      <c r="A5" s="13" t="s">
        <v>19</v>
      </c>
      <c r="B5" s="7" t="s">
        <v>17</v>
      </c>
      <c r="C5" s="14" t="s">
        <v>20</v>
      </c>
      <c r="D5" s="10">
        <f>IFERROR(__xludf.DUMMYFUNCTION("SPLIT(C5,"","")"),56.1629429)</f>
        <v>56.1629429</v>
      </c>
      <c r="E5" s="15">
        <f>IFERROR(__xludf.DUMMYFUNCTION("""COMPUTED_VALUE"""),10.13143)</f>
        <v>10.13143</v>
      </c>
      <c r="F5" s="13" t="s">
        <v>21</v>
      </c>
    </row>
    <row r="6">
      <c r="A6" s="13" t="s">
        <v>22</v>
      </c>
      <c r="B6" s="7" t="s">
        <v>23</v>
      </c>
      <c r="C6" s="14" t="s">
        <v>24</v>
      </c>
      <c r="D6" s="10">
        <f>IFERROR(__xludf.DUMMYFUNCTION("SPLIT(C6,"","")"),56.1247776)</f>
        <v>56.1247776</v>
      </c>
      <c r="E6" s="15">
        <f>IFERROR(__xludf.DUMMYFUNCTION("""COMPUTED_VALUE"""),10.2164328)</f>
        <v>10.2164328</v>
      </c>
    </row>
    <row r="7">
      <c r="A7" s="13" t="s">
        <v>25</v>
      </c>
      <c r="B7" s="7" t="s">
        <v>17</v>
      </c>
      <c r="C7" s="14" t="s">
        <v>26</v>
      </c>
      <c r="D7" s="10">
        <f>IFERROR(__xludf.DUMMYFUNCTION("SPLIT(C7,"","")"),56.1596396)</f>
        <v>56.1596396</v>
      </c>
      <c r="E7" s="15">
        <f>IFERROR(__xludf.DUMMYFUNCTION("""COMPUTED_VALUE"""),10.2064371)</f>
        <v>10.2064371</v>
      </c>
      <c r="F7" s="13" t="s">
        <v>27</v>
      </c>
    </row>
    <row r="8">
      <c r="A8" s="13" t="s">
        <v>28</v>
      </c>
      <c r="B8" s="7" t="s">
        <v>9</v>
      </c>
      <c r="C8" s="14" t="s">
        <v>29</v>
      </c>
      <c r="D8" s="10">
        <f>IFERROR(__xludf.DUMMYFUNCTION("SPLIT(C8,"","")"),56.0867844)</f>
        <v>56.0867844</v>
      </c>
      <c r="E8" s="15">
        <f>IFERROR(__xludf.DUMMYFUNCTION("""COMPUTED_VALUE"""),10.2418259)</f>
        <v>10.2418259</v>
      </c>
    </row>
    <row r="9">
      <c r="A9" s="13" t="s">
        <v>30</v>
      </c>
      <c r="B9" s="7" t="s">
        <v>9</v>
      </c>
      <c r="C9" s="14" t="s">
        <v>31</v>
      </c>
      <c r="D9" s="10">
        <f>IFERROR(__xludf.DUMMYFUNCTION("SPLIT(C9,"","")"),55.5685898)</f>
        <v>55.5685898</v>
      </c>
      <c r="E9" s="15">
        <f>IFERROR(__xludf.DUMMYFUNCTION("""COMPUTED_VALUE"""),9.7535174)</f>
        <v>9.7535174</v>
      </c>
      <c r="F9" s="13" t="s">
        <v>32</v>
      </c>
    </row>
    <row r="10">
      <c r="A10" s="13" t="s">
        <v>33</v>
      </c>
      <c r="B10" s="7" t="s">
        <v>9</v>
      </c>
      <c r="C10" s="14" t="s">
        <v>34</v>
      </c>
      <c r="D10" s="10">
        <f>IFERROR(__xludf.DUMMYFUNCTION("SPLIT(C10,"","")"),56.8208508)</f>
        <v>56.8208508</v>
      </c>
      <c r="E10" s="15">
        <f>IFERROR(__xludf.DUMMYFUNCTION("""COMPUTED_VALUE"""),9.7934042)</f>
        <v>9.7934042</v>
      </c>
      <c r="F10" s="13" t="s">
        <v>35</v>
      </c>
    </row>
    <row r="11">
      <c r="A11" s="13" t="s">
        <v>36</v>
      </c>
      <c r="B11" s="7" t="s">
        <v>9</v>
      </c>
      <c r="C11" s="14" t="s">
        <v>37</v>
      </c>
      <c r="D11" s="10">
        <f>IFERROR(__xludf.DUMMYFUNCTION("SPLIT(C11,"","")"),56.1854662)</f>
        <v>56.1854662</v>
      </c>
      <c r="E11" s="15">
        <f>IFERROR(__xludf.DUMMYFUNCTION("""COMPUTED_VALUE"""),9.8719751)</f>
        <v>9.8719751</v>
      </c>
      <c r="F11" s="13" t="s">
        <v>38</v>
      </c>
    </row>
    <row r="12">
      <c r="A12" s="13" t="s">
        <v>39</v>
      </c>
      <c r="B12" s="7" t="s">
        <v>17</v>
      </c>
      <c r="C12" s="14" t="s">
        <v>40</v>
      </c>
      <c r="D12" s="10">
        <f>IFERROR(__xludf.DUMMYFUNCTION("SPLIT(C12,"","")"),56.17672)</f>
        <v>56.17672</v>
      </c>
      <c r="E12" s="15">
        <f>IFERROR(__xludf.DUMMYFUNCTION("""COMPUTED_VALUE"""),10.2226783)</f>
        <v>10.2226783</v>
      </c>
      <c r="F12" s="13" t="s">
        <v>41</v>
      </c>
      <c r="G12" s="13">
        <v>4.0</v>
      </c>
    </row>
    <row r="13">
      <c r="A13" s="13" t="s">
        <v>42</v>
      </c>
      <c r="B13" s="7" t="s">
        <v>43</v>
      </c>
      <c r="C13" s="14" t="s">
        <v>44</v>
      </c>
      <c r="D13" s="10">
        <f>IFERROR(__xludf.DUMMYFUNCTION("SPLIT(C13,"","")"),56.1117879)</f>
        <v>56.1117879</v>
      </c>
      <c r="E13" s="15">
        <f>IFERROR(__xludf.DUMMYFUNCTION("""COMPUTED_VALUE"""),9.6667916)</f>
        <v>9.6667916</v>
      </c>
      <c r="F13" s="13" t="s">
        <v>45</v>
      </c>
      <c r="G13" s="13">
        <v>4.0</v>
      </c>
    </row>
    <row r="14">
      <c r="A14" s="13" t="s">
        <v>46</v>
      </c>
      <c r="B14" s="7" t="s">
        <v>47</v>
      </c>
      <c r="C14" s="14" t="s">
        <v>48</v>
      </c>
      <c r="D14" s="10">
        <f>IFERROR(__xludf.DUMMYFUNCTION("SPLIT(C14,"","")"),55.1357849)</f>
        <v>55.1357849</v>
      </c>
      <c r="E14" s="15">
        <f>IFERROR(__xludf.DUMMYFUNCTION("""COMPUTED_VALUE"""),15.142311)</f>
        <v>15.142311</v>
      </c>
      <c r="F14" s="13" t="s">
        <v>49</v>
      </c>
    </row>
    <row r="15">
      <c r="A15" s="13" t="s">
        <v>50</v>
      </c>
      <c r="B15" s="7" t="s">
        <v>51</v>
      </c>
      <c r="C15" s="14" t="s">
        <v>52</v>
      </c>
      <c r="D15" s="10">
        <f>IFERROR(__xludf.DUMMYFUNCTION("SPLIT(C15,"","")"),56.1587826)</f>
        <v>56.1587826</v>
      </c>
      <c r="E15" s="15">
        <f>IFERROR(__xludf.DUMMYFUNCTION("""COMPUTED_VALUE"""),10.1899265)</f>
        <v>10.1899265</v>
      </c>
      <c r="F15" s="13" t="s">
        <v>53</v>
      </c>
    </row>
    <row r="16">
      <c r="A16" s="13" t="s">
        <v>54</v>
      </c>
      <c r="B16" s="7" t="s">
        <v>17</v>
      </c>
      <c r="C16" s="14" t="s">
        <v>55</v>
      </c>
      <c r="D16" s="10">
        <f>IFERROR(__xludf.DUMMYFUNCTION("SPLIT(C16,"","")"),55.7355109)</f>
        <v>55.7355109</v>
      </c>
      <c r="E16" s="15">
        <f>IFERROR(__xludf.DUMMYFUNCTION("""COMPUTED_VALUE"""),9.1246159)</f>
        <v>9.1246159</v>
      </c>
      <c r="F16" s="13" t="s">
        <v>56</v>
      </c>
    </row>
    <row r="17">
      <c r="A17" s="13" t="s">
        <v>57</v>
      </c>
      <c r="B17" s="7" t="s">
        <v>9</v>
      </c>
      <c r="C17" s="14" t="s">
        <v>58</v>
      </c>
      <c r="D17" s="10">
        <f>IFERROR(__xludf.DUMMYFUNCTION("SPLIT(C17,"","")"),56.1962066)</f>
        <v>56.1962066</v>
      </c>
      <c r="E17" s="15">
        <f>IFERROR(__xludf.DUMMYFUNCTION("""COMPUTED_VALUE"""),10.6711691)</f>
        <v>10.6711691</v>
      </c>
      <c r="F17" s="13" t="s">
        <v>59</v>
      </c>
      <c r="G17" s="13">
        <v>4.0</v>
      </c>
      <c r="H17" s="13" t="s">
        <v>60</v>
      </c>
    </row>
    <row r="18">
      <c r="A18" s="13" t="s">
        <v>61</v>
      </c>
      <c r="B18" s="7" t="s">
        <v>9</v>
      </c>
      <c r="C18" s="14" t="s">
        <v>62</v>
      </c>
      <c r="D18" s="10">
        <f>IFERROR(__xludf.DUMMYFUNCTION("SPLIT(C18,"","")"),56.1587522)</f>
        <v>56.1587522</v>
      </c>
      <c r="E18" s="15">
        <f>IFERROR(__xludf.DUMMYFUNCTION("""COMPUTED_VALUE"""),10.2082123)</f>
        <v>10.2082123</v>
      </c>
      <c r="F18" s="13" t="s">
        <v>63</v>
      </c>
    </row>
    <row r="19">
      <c r="A19" s="13" t="s">
        <v>64</v>
      </c>
      <c r="B19" s="7" t="s">
        <v>43</v>
      </c>
      <c r="C19" s="14" t="s">
        <v>65</v>
      </c>
      <c r="D19" s="10">
        <f>IFERROR(__xludf.DUMMYFUNCTION("SPLIT(C19,"","")"),57.7430915)</f>
        <v>57.7430915</v>
      </c>
      <c r="E19" s="15">
        <f>IFERROR(__xludf.DUMMYFUNCTION("""COMPUTED_VALUE"""),10.6436888)</f>
        <v>10.6436888</v>
      </c>
      <c r="F19" s="13" t="s">
        <v>66</v>
      </c>
    </row>
    <row r="20">
      <c r="A20" s="13" t="s">
        <v>67</v>
      </c>
      <c r="B20" s="7" t="s">
        <v>17</v>
      </c>
      <c r="C20" s="14" t="s">
        <v>68</v>
      </c>
      <c r="D20" s="10">
        <f>IFERROR(__xludf.DUMMYFUNCTION("SPLIT(C20,"","")"),56.161399)</f>
        <v>56.161399</v>
      </c>
      <c r="E20" s="15">
        <f>IFERROR(__xludf.DUMMYFUNCTION("""COMPUTED_VALUE"""),10.2079132)</f>
        <v>10.2079132</v>
      </c>
      <c r="F20" s="13" t="s">
        <v>69</v>
      </c>
    </row>
    <row r="21">
      <c r="A21" s="13" t="s">
        <v>70</v>
      </c>
      <c r="B21" s="7" t="s">
        <v>43</v>
      </c>
      <c r="C21" s="14" t="s">
        <v>71</v>
      </c>
      <c r="D21" s="10">
        <f>IFERROR(__xludf.DUMMYFUNCTION("SPLIT(C21,"","")"),55.9069344)</f>
        <v>55.9069344</v>
      </c>
      <c r="E21" s="15">
        <f>IFERROR(__xludf.DUMMYFUNCTION("""COMPUTED_VALUE"""),11.5169013)</f>
        <v>11.5169013</v>
      </c>
      <c r="F21" s="13" t="s">
        <v>72</v>
      </c>
    </row>
    <row r="22">
      <c r="A22" s="13" t="s">
        <v>73</v>
      </c>
      <c r="B22" s="7" t="s">
        <v>9</v>
      </c>
      <c r="C22" s="14" t="s">
        <v>74</v>
      </c>
      <c r="D22" s="10">
        <f>IFERROR(__xludf.DUMMYFUNCTION("SPLIT(C22,"","")"),55.3336704)</f>
        <v>55.3336704</v>
      </c>
      <c r="E22" s="15">
        <f>IFERROR(__xludf.DUMMYFUNCTION("""COMPUTED_VALUE"""),10.9717117)</f>
        <v>10.9717117</v>
      </c>
      <c r="F22" s="13" t="s">
        <v>75</v>
      </c>
      <c r="G22" s="13">
        <v>2.0</v>
      </c>
    </row>
    <row r="23">
      <c r="A23" s="13" t="s">
        <v>76</v>
      </c>
      <c r="B23" s="7" t="s">
        <v>9</v>
      </c>
      <c r="C23" s="14" t="s">
        <v>77</v>
      </c>
      <c r="D23" s="10">
        <f>IFERROR(__xludf.DUMMYFUNCTION("SPLIT(C23,"","")"),55.6738165)</f>
        <v>55.6738165</v>
      </c>
      <c r="E23" s="15">
        <f>IFERROR(__xludf.DUMMYFUNCTION("""COMPUTED_VALUE"""),12.5985903)</f>
        <v>12.5985903</v>
      </c>
      <c r="F23" s="13" t="s">
        <v>78</v>
      </c>
    </row>
    <row r="24">
      <c r="A24" s="13" t="s">
        <v>79</v>
      </c>
      <c r="B24" s="7" t="s">
        <v>9</v>
      </c>
      <c r="C24" s="14" t="s">
        <v>80</v>
      </c>
      <c r="D24" s="10">
        <f>IFERROR(__xludf.DUMMYFUNCTION("SPLIT(C24,"","")"),56.1183751)</f>
        <v>56.1183751</v>
      </c>
      <c r="E24" s="15">
        <f>IFERROR(__xludf.DUMMYFUNCTION("""COMPUTED_VALUE"""),8.9501455)</f>
        <v>8.9501455</v>
      </c>
      <c r="F24" s="13" t="s">
        <v>81</v>
      </c>
      <c r="H24" s="13" t="s">
        <v>82</v>
      </c>
    </row>
    <row r="25">
      <c r="A25" s="13" t="s">
        <v>83</v>
      </c>
      <c r="B25" s="7" t="s">
        <v>43</v>
      </c>
      <c r="C25" s="14" t="s">
        <v>84</v>
      </c>
      <c r="D25" s="10">
        <f>IFERROR(__xludf.DUMMYFUNCTION("SPLIT(C25,"","")"),56.9584784)</f>
        <v>56.9584784</v>
      </c>
      <c r="E25" s="16">
        <f>IFERROR(__xludf.DUMMYFUNCTION("""COMPUTED_VALUE"""),8.3664659)</f>
        <v>8.3664659</v>
      </c>
      <c r="F25" s="13" t="s">
        <v>85</v>
      </c>
    </row>
    <row r="26">
      <c r="A26" s="13" t="s">
        <v>86</v>
      </c>
      <c r="B26" s="7" t="s">
        <v>17</v>
      </c>
      <c r="C26" s="14" t="s">
        <v>87</v>
      </c>
      <c r="D26" s="10">
        <f>IFERROR(__xludf.DUMMYFUNCTION("SPLIT(C26,"","")"),56.1577346)</f>
        <v>56.1577346</v>
      </c>
      <c r="E26" s="15">
        <f>IFERROR(__xludf.DUMMYFUNCTION("""COMPUTED_VALUE"""),10.2038688)</f>
        <v>10.2038688</v>
      </c>
      <c r="F26" s="13" t="s">
        <v>88</v>
      </c>
    </row>
    <row r="27">
      <c r="A27" s="13" t="s">
        <v>89</v>
      </c>
      <c r="B27" s="7" t="s">
        <v>9</v>
      </c>
      <c r="C27" s="14" t="s">
        <v>90</v>
      </c>
      <c r="D27" s="10">
        <f>IFERROR(__xludf.DUMMYFUNCTION("SPLIT(C27,"","")"),55.6700633)</f>
        <v>55.6700633</v>
      </c>
      <c r="E27" s="15">
        <f>IFERROR(__xludf.DUMMYFUNCTION("""COMPUTED_VALUE"""),11.9408798)</f>
        <v>11.9408798</v>
      </c>
    </row>
    <row r="28">
      <c r="A28" s="13" t="s">
        <v>91</v>
      </c>
      <c r="B28" s="7" t="s">
        <v>17</v>
      </c>
      <c r="C28" s="14" t="s">
        <v>92</v>
      </c>
      <c r="D28" s="10">
        <f>IFERROR(__xludf.DUMMYFUNCTION("SPLIT(C28,"","")"),55.2504831)</f>
        <v>55.2504831</v>
      </c>
      <c r="E28" s="15">
        <f>IFERROR(__xludf.DUMMYFUNCTION("""COMPUTED_VALUE"""),9.4831714)</f>
        <v>9.4831714</v>
      </c>
      <c r="F28" s="13" t="s">
        <v>93</v>
      </c>
    </row>
    <row r="29">
      <c r="A29" s="13" t="s">
        <v>94</v>
      </c>
      <c r="B29" s="7" t="s">
        <v>17</v>
      </c>
      <c r="C29" s="14" t="s">
        <v>95</v>
      </c>
      <c r="D29" s="10">
        <f>IFERROR(__xludf.DUMMYFUNCTION("SPLIT(C29,"","")"),55.474437)</f>
        <v>55.474437</v>
      </c>
      <c r="E29" s="15">
        <f>IFERROR(__xludf.DUMMYFUNCTION("""COMPUTED_VALUE"""),9.1326326)</f>
        <v>9.1326326</v>
      </c>
      <c r="F29" s="13" t="s">
        <v>96</v>
      </c>
    </row>
    <row r="30">
      <c r="A30" s="13" t="s">
        <v>97</v>
      </c>
      <c r="B30" s="7" t="s">
        <v>9</v>
      </c>
      <c r="C30" s="14" t="s">
        <v>98</v>
      </c>
      <c r="D30" s="10">
        <f>IFERROR(__xludf.DUMMYFUNCTION("SPLIT(C30,"","")"),56.1574515)</f>
        <v>56.1574515</v>
      </c>
      <c r="E30" s="15">
        <f>IFERROR(__xludf.DUMMYFUNCTION("""COMPUTED_VALUE"""),10.2052362)</f>
        <v>10.2052362</v>
      </c>
    </row>
    <row r="31">
      <c r="A31" s="13" t="s">
        <v>64</v>
      </c>
      <c r="B31" s="7" t="s">
        <v>47</v>
      </c>
      <c r="C31" s="14" t="s">
        <v>99</v>
      </c>
      <c r="D31" s="10">
        <f>IFERROR(__xludf.DUMMYFUNCTION("SPLIT(C31,"","")"),57.6963484)</f>
        <v>57.6963484</v>
      </c>
      <c r="E31" s="15">
        <f>IFERROR(__xludf.DUMMYFUNCTION("""COMPUTED_VALUE"""),10.3577893)</f>
        <v>10.3577893</v>
      </c>
    </row>
    <row r="32">
      <c r="A32" s="13" t="s">
        <v>100</v>
      </c>
      <c r="B32" s="7" t="s">
        <v>17</v>
      </c>
      <c r="C32" s="14" t="s">
        <v>101</v>
      </c>
      <c r="D32" s="10">
        <f>IFERROR(__xludf.DUMMYFUNCTION("SPLIT(C32,"","")"),56.4147484)</f>
        <v>56.4147484</v>
      </c>
      <c r="E32" s="15">
        <f>IFERROR(__xludf.DUMMYFUNCTION("""COMPUTED_VALUE"""),9.8114913)</f>
        <v>9.8114913</v>
      </c>
    </row>
    <row r="33">
      <c r="A33" s="13" t="s">
        <v>102</v>
      </c>
      <c r="B33" s="7" t="s">
        <v>9</v>
      </c>
      <c r="C33" s="14" t="s">
        <v>103</v>
      </c>
      <c r="D33" s="10">
        <f>IFERROR(__xludf.DUMMYFUNCTION("SPLIT(C33,"","")"),57.3788604)</f>
        <v>57.3788604</v>
      </c>
      <c r="E33" s="15">
        <f>IFERROR(__xludf.DUMMYFUNCTION("""COMPUTED_VALUE"""),9.720357)</f>
        <v>9.720357</v>
      </c>
      <c r="F33" s="13" t="s">
        <v>104</v>
      </c>
      <c r="G33" s="13">
        <v>3.0</v>
      </c>
    </row>
    <row r="34">
      <c r="A34" s="13" t="s">
        <v>105</v>
      </c>
      <c r="B34" s="7" t="s">
        <v>17</v>
      </c>
      <c r="C34" s="14" t="s">
        <v>106</v>
      </c>
      <c r="D34" s="10">
        <f>IFERROR(__xludf.DUMMYFUNCTION("SPLIT(C34,"","")"),55.4821298)</f>
        <v>55.4821298</v>
      </c>
      <c r="E34" s="15">
        <f>IFERROR(__xludf.DUMMYFUNCTION("""COMPUTED_VALUE"""),8.4343282)</f>
        <v>8.4343282</v>
      </c>
      <c r="F34" s="13" t="s">
        <v>107</v>
      </c>
      <c r="G34" s="13">
        <v>3.0</v>
      </c>
    </row>
    <row r="35">
      <c r="A35" s="13" t="s">
        <v>108</v>
      </c>
      <c r="B35" s="7" t="s">
        <v>43</v>
      </c>
      <c r="C35" s="14" t="s">
        <v>109</v>
      </c>
      <c r="D35" s="10">
        <f>IFERROR(__xludf.DUMMYFUNCTION("SPLIT(C35,"","")"),56.1735955)</f>
        <v>56.1735955</v>
      </c>
      <c r="E35" s="17">
        <f>IFERROR(__xludf.DUMMYFUNCTION("""COMPUTED_VALUE"""),10.3789191)</f>
        <v>10.3789191</v>
      </c>
      <c r="F35" s="13" t="s">
        <v>110</v>
      </c>
    </row>
    <row r="36">
      <c r="A36" s="13" t="s">
        <v>111</v>
      </c>
      <c r="B36" s="7" t="s">
        <v>51</v>
      </c>
      <c r="C36" s="14" t="s">
        <v>112</v>
      </c>
      <c r="D36" s="10">
        <f>IFERROR(__xludf.DUMMYFUNCTION("SPLIT(C36,"","")"),55.0575849)</f>
        <v>55.0575849</v>
      </c>
      <c r="E36" s="15">
        <f>IFERROR(__xludf.DUMMYFUNCTION("""COMPUTED_VALUE"""),10.6166223)</f>
        <v>10.6166223</v>
      </c>
      <c r="F36" s="13" t="s">
        <v>113</v>
      </c>
      <c r="H36" s="13" t="s">
        <v>114</v>
      </c>
    </row>
    <row r="37">
      <c r="A37" s="13" t="s">
        <v>115</v>
      </c>
      <c r="B37" s="7" t="s">
        <v>17</v>
      </c>
      <c r="C37" s="14" t="s">
        <v>116</v>
      </c>
      <c r="D37" s="10">
        <f>IFERROR(__xludf.DUMMYFUNCTION("SPLIT(C37,"","")"),56.1812218)</f>
        <v>56.1812218</v>
      </c>
      <c r="E37" s="15">
        <f>IFERROR(__xludf.DUMMYFUNCTION("""COMPUTED_VALUE"""),10.3770879)</f>
        <v>10.3770879</v>
      </c>
      <c r="F37" s="13" t="s">
        <v>117</v>
      </c>
      <c r="H37" s="13" t="s">
        <v>114</v>
      </c>
    </row>
    <row r="38">
      <c r="A38" s="13" t="s">
        <v>118</v>
      </c>
      <c r="B38" s="7" t="s">
        <v>23</v>
      </c>
      <c r="C38" s="14" t="s">
        <v>119</v>
      </c>
      <c r="D38" s="10">
        <f>IFERROR(__xludf.DUMMYFUNCTION("SPLIT(C38,"","")"),56.1829922)</f>
        <v>56.1829922</v>
      </c>
      <c r="E38" s="15">
        <f>IFERROR(__xludf.DUMMYFUNCTION("""COMPUTED_VALUE"""),10.2211167)</f>
        <v>10.2211167</v>
      </c>
      <c r="F38" s="13" t="s">
        <v>120</v>
      </c>
    </row>
    <row r="39">
      <c r="A39" s="13" t="s">
        <v>121</v>
      </c>
      <c r="B39" s="7" t="s">
        <v>43</v>
      </c>
      <c r="C39" s="14" t="s">
        <v>122</v>
      </c>
      <c r="D39" s="10">
        <f>IFERROR(__xludf.DUMMYFUNCTION("SPLIT(C39,"","")"),56.1791115)</f>
        <v>56.1791115</v>
      </c>
      <c r="E39" s="15">
        <f>IFERROR(__xludf.DUMMYFUNCTION("""COMPUTED_VALUE"""),10.3776511)</f>
        <v>10.3776511</v>
      </c>
      <c r="F39" s="13" t="s">
        <v>123</v>
      </c>
      <c r="H39" s="13" t="s">
        <v>114</v>
      </c>
    </row>
    <row r="40">
      <c r="B40" s="7" t="s">
        <v>9</v>
      </c>
      <c r="C40" s="14" t="s">
        <v>122</v>
      </c>
      <c r="D40" s="10"/>
    </row>
    <row r="41">
      <c r="B41" s="7" t="s">
        <v>9</v>
      </c>
      <c r="C41" s="18"/>
      <c r="D41" s="10" t="str">
        <f>IFERROR(__xludf.DUMMYFUNCTION("SPLIT(C41,"","")"),"#VALUE!")</f>
        <v>#VALUE!</v>
      </c>
    </row>
    <row r="42">
      <c r="B42" s="7" t="s">
        <v>9</v>
      </c>
      <c r="C42" s="18"/>
      <c r="D42" s="10" t="str">
        <f>IFERROR(__xludf.DUMMYFUNCTION("SPLIT(C42,"","")"),"#VALUE!")</f>
        <v>#VALUE!</v>
      </c>
    </row>
    <row r="43">
      <c r="B43" s="7" t="s">
        <v>9</v>
      </c>
      <c r="C43" s="18"/>
      <c r="D43" s="10" t="str">
        <f>IFERROR(__xludf.DUMMYFUNCTION("SPLIT(C43,"","")"),"#VALUE!")</f>
        <v>#VALUE!</v>
      </c>
    </row>
    <row r="44">
      <c r="B44" s="7" t="s">
        <v>9</v>
      </c>
      <c r="C44" s="18"/>
      <c r="D44" s="10" t="str">
        <f>IFERROR(__xludf.DUMMYFUNCTION("SPLIT(C44,"","")"),"#VALUE!")</f>
        <v>#VALUE!</v>
      </c>
    </row>
    <row r="45">
      <c r="B45" s="7" t="s">
        <v>9</v>
      </c>
      <c r="C45" s="18"/>
      <c r="D45" s="10" t="str">
        <f>IFERROR(__xludf.DUMMYFUNCTION("SPLIT(C45,"","")"),"#VALUE!")</f>
        <v>#VALUE!</v>
      </c>
    </row>
    <row r="46">
      <c r="B46" s="7" t="s">
        <v>9</v>
      </c>
      <c r="C46" s="18"/>
      <c r="D46" s="10" t="str">
        <f>IFERROR(__xludf.DUMMYFUNCTION("SPLIT(C46,"","")"),"#VALUE!")</f>
        <v>#VALUE!</v>
      </c>
    </row>
    <row r="47">
      <c r="B47" s="7" t="s">
        <v>9</v>
      </c>
      <c r="C47" s="18"/>
      <c r="D47" s="10" t="str">
        <f>IFERROR(__xludf.DUMMYFUNCTION("SPLIT(C47,"","")"),"#VALUE!")</f>
        <v>#VALUE!</v>
      </c>
    </row>
    <row r="48">
      <c r="B48" s="7" t="s">
        <v>9</v>
      </c>
      <c r="C48" s="18"/>
      <c r="D48" s="10" t="str">
        <f>IFERROR(__xludf.DUMMYFUNCTION("SPLIT(C48,"","")"),"#VALUE!")</f>
        <v>#VALUE!</v>
      </c>
    </row>
    <row r="49">
      <c r="B49" s="7" t="s">
        <v>9</v>
      </c>
      <c r="C49" s="18"/>
      <c r="D49" s="10" t="str">
        <f>IFERROR(__xludf.DUMMYFUNCTION("SPLIT(C49,"","")"),"#VALUE!")</f>
        <v>#VALUE!</v>
      </c>
    </row>
    <row r="50">
      <c r="B50" s="7" t="s">
        <v>9</v>
      </c>
      <c r="C50" s="18"/>
      <c r="D50" s="10" t="str">
        <f>IFERROR(__xludf.DUMMYFUNCTION("SPLIT(C50,"","")"),"#VALUE!")</f>
        <v>#VALUE!</v>
      </c>
    </row>
    <row r="51">
      <c r="B51" s="7" t="s">
        <v>9</v>
      </c>
      <c r="C51" s="18"/>
      <c r="D51" s="10" t="str">
        <f>IFERROR(__xludf.DUMMYFUNCTION("SPLIT(C51,"","")"),"#VALUE!")</f>
        <v>#VALUE!</v>
      </c>
    </row>
    <row r="52">
      <c r="B52" s="7" t="s">
        <v>9</v>
      </c>
      <c r="C52" s="18"/>
      <c r="D52" s="10" t="str">
        <f>IFERROR(__xludf.DUMMYFUNCTION("SPLIT(C52,"","")"),"#VALUE!")</f>
        <v>#VALUE!</v>
      </c>
    </row>
    <row r="53">
      <c r="B53" s="7" t="s">
        <v>9</v>
      </c>
      <c r="C53" s="18"/>
      <c r="D53" s="10" t="str">
        <f>IFERROR(__xludf.DUMMYFUNCTION("SPLIT(C53,"","")"),"#VALUE!")</f>
        <v>#VALUE!</v>
      </c>
    </row>
    <row r="54">
      <c r="B54" s="7" t="s">
        <v>9</v>
      </c>
      <c r="C54" s="18"/>
      <c r="D54" s="10" t="str">
        <f>IFERROR(__xludf.DUMMYFUNCTION("SPLIT(C54,"","")"),"#VALUE!")</f>
        <v>#VALUE!</v>
      </c>
    </row>
    <row r="55">
      <c r="B55" s="7" t="s">
        <v>9</v>
      </c>
      <c r="C55" s="18"/>
      <c r="D55" s="10" t="str">
        <f>IFERROR(__xludf.DUMMYFUNCTION("SPLIT(C55,"","")"),"#VALUE!")</f>
        <v>#VALUE!</v>
      </c>
    </row>
    <row r="56">
      <c r="B56" s="7" t="s">
        <v>9</v>
      </c>
      <c r="C56" s="18"/>
      <c r="D56" s="10" t="str">
        <f>IFERROR(__xludf.DUMMYFUNCTION("SPLIT(C56,"","")"),"#VALUE!")</f>
        <v>#VALUE!</v>
      </c>
    </row>
    <row r="57">
      <c r="B57" s="7" t="s">
        <v>9</v>
      </c>
      <c r="C57" s="18"/>
      <c r="D57" s="10" t="str">
        <f>IFERROR(__xludf.DUMMYFUNCTION("SPLIT(C57,"","")"),"#VALUE!")</f>
        <v>#VALUE!</v>
      </c>
    </row>
    <row r="58">
      <c r="B58" s="7" t="s">
        <v>9</v>
      </c>
      <c r="C58" s="18"/>
    </row>
    <row r="59">
      <c r="B59" s="7" t="s">
        <v>9</v>
      </c>
      <c r="C59" s="18"/>
    </row>
    <row r="60">
      <c r="B60" s="7" t="s">
        <v>9</v>
      </c>
      <c r="C60" s="18"/>
    </row>
    <row r="61">
      <c r="B61" s="7" t="s">
        <v>9</v>
      </c>
      <c r="C61" s="18"/>
    </row>
    <row r="62">
      <c r="C62" s="18"/>
    </row>
    <row r="63">
      <c r="C63" s="18"/>
    </row>
    <row r="64">
      <c r="C64" s="18"/>
    </row>
    <row r="65">
      <c r="C65" s="18"/>
    </row>
    <row r="66">
      <c r="C66" s="18"/>
    </row>
    <row r="67">
      <c r="C67" s="18"/>
    </row>
    <row r="68">
      <c r="C68" s="18"/>
    </row>
    <row r="69">
      <c r="C69" s="18"/>
    </row>
    <row r="70">
      <c r="C70" s="18"/>
    </row>
    <row r="71">
      <c r="C71" s="18"/>
    </row>
    <row r="72">
      <c r="C72" s="18"/>
    </row>
    <row r="73">
      <c r="C73" s="18"/>
    </row>
    <row r="74">
      <c r="C74" s="18"/>
    </row>
    <row r="75">
      <c r="C75" s="18"/>
    </row>
    <row r="76">
      <c r="C76" s="18"/>
    </row>
    <row r="77">
      <c r="C77" s="18"/>
    </row>
    <row r="78">
      <c r="C78" s="18"/>
    </row>
    <row r="79">
      <c r="C79" s="18"/>
    </row>
    <row r="80">
      <c r="C80" s="18"/>
    </row>
    <row r="81">
      <c r="C81" s="18"/>
    </row>
    <row r="82">
      <c r="C82" s="18"/>
    </row>
    <row r="83">
      <c r="C83" s="18"/>
    </row>
    <row r="84">
      <c r="C84" s="18"/>
    </row>
    <row r="85">
      <c r="C85" s="18"/>
    </row>
    <row r="86">
      <c r="C86" s="18"/>
    </row>
    <row r="87">
      <c r="C87" s="18"/>
    </row>
    <row r="88">
      <c r="C88" s="18"/>
    </row>
    <row r="89">
      <c r="C89" s="18"/>
    </row>
    <row r="90">
      <c r="C90" s="18"/>
    </row>
    <row r="91">
      <c r="C91" s="18"/>
    </row>
    <row r="92">
      <c r="C92" s="18"/>
    </row>
    <row r="93">
      <c r="C93" s="18"/>
    </row>
    <row r="94">
      <c r="C94" s="18"/>
    </row>
    <row r="95">
      <c r="C95" s="18"/>
    </row>
    <row r="96">
      <c r="C96" s="18"/>
    </row>
    <row r="97">
      <c r="C97" s="18"/>
    </row>
    <row r="98">
      <c r="C98" s="18"/>
    </row>
    <row r="99">
      <c r="C99" s="18"/>
    </row>
    <row r="100">
      <c r="C100" s="18"/>
    </row>
    <row r="101">
      <c r="C101" s="18"/>
    </row>
    <row r="102">
      <c r="C102" s="18"/>
    </row>
    <row r="103">
      <c r="C103" s="18"/>
    </row>
    <row r="104">
      <c r="C104" s="18"/>
    </row>
    <row r="105">
      <c r="C105" s="18"/>
    </row>
    <row r="106">
      <c r="C106" s="18"/>
    </row>
    <row r="107">
      <c r="C107" s="18"/>
    </row>
    <row r="108">
      <c r="C108" s="18"/>
    </row>
    <row r="109">
      <c r="C109" s="18"/>
    </row>
    <row r="110">
      <c r="C110" s="18"/>
    </row>
    <row r="111">
      <c r="C111" s="18"/>
    </row>
    <row r="112">
      <c r="C112" s="18"/>
    </row>
    <row r="113">
      <c r="C113" s="18"/>
    </row>
    <row r="114">
      <c r="C114" s="18"/>
    </row>
    <row r="115">
      <c r="C115" s="18"/>
    </row>
    <row r="116">
      <c r="C116" s="18"/>
    </row>
    <row r="117">
      <c r="C117" s="18"/>
    </row>
    <row r="118">
      <c r="C118" s="18"/>
    </row>
    <row r="119">
      <c r="C119" s="18"/>
    </row>
    <row r="120">
      <c r="C120" s="18"/>
    </row>
    <row r="121">
      <c r="C121" s="18"/>
    </row>
    <row r="122">
      <c r="C122" s="18"/>
    </row>
    <row r="123">
      <c r="C123" s="18"/>
    </row>
    <row r="124">
      <c r="C124" s="18"/>
    </row>
    <row r="125">
      <c r="C125" s="18"/>
    </row>
    <row r="126">
      <c r="C126" s="18"/>
    </row>
    <row r="127">
      <c r="C127" s="18"/>
    </row>
    <row r="128">
      <c r="C128" s="18"/>
    </row>
    <row r="129">
      <c r="C129" s="18"/>
    </row>
    <row r="130">
      <c r="C130" s="18"/>
    </row>
    <row r="131">
      <c r="C131" s="18"/>
    </row>
    <row r="132">
      <c r="C132" s="18"/>
    </row>
    <row r="133">
      <c r="C133" s="18"/>
    </row>
    <row r="134">
      <c r="C134" s="18"/>
    </row>
    <row r="135">
      <c r="C135" s="18"/>
    </row>
    <row r="136">
      <c r="C136" s="18"/>
    </row>
    <row r="137">
      <c r="C137" s="18"/>
    </row>
    <row r="138">
      <c r="C138" s="18"/>
    </row>
    <row r="139">
      <c r="C139" s="18"/>
    </row>
    <row r="140">
      <c r="C140" s="18"/>
    </row>
    <row r="141">
      <c r="C141" s="18"/>
    </row>
    <row r="142">
      <c r="C142" s="18"/>
    </row>
    <row r="143">
      <c r="C143" s="18"/>
    </row>
    <row r="144">
      <c r="C144" s="18"/>
    </row>
    <row r="145">
      <c r="C145" s="18"/>
    </row>
    <row r="146">
      <c r="C146" s="18"/>
    </row>
    <row r="147">
      <c r="C147" s="18"/>
    </row>
    <row r="148">
      <c r="C148" s="18"/>
    </row>
    <row r="149">
      <c r="C149" s="18"/>
    </row>
    <row r="150">
      <c r="C150" s="18"/>
    </row>
    <row r="151">
      <c r="C151" s="18"/>
    </row>
    <row r="152">
      <c r="C152" s="18"/>
    </row>
    <row r="153">
      <c r="C153" s="18"/>
    </row>
    <row r="154">
      <c r="C154" s="18"/>
    </row>
    <row r="155">
      <c r="C155" s="18"/>
    </row>
    <row r="156">
      <c r="C156" s="18"/>
    </row>
    <row r="157">
      <c r="C157" s="18"/>
    </row>
    <row r="158">
      <c r="C158" s="18"/>
    </row>
    <row r="159">
      <c r="C159" s="18"/>
    </row>
    <row r="160">
      <c r="C160" s="18"/>
    </row>
    <row r="161">
      <c r="C161" s="18"/>
    </row>
    <row r="162">
      <c r="C162" s="18"/>
    </row>
    <row r="163">
      <c r="C163" s="18"/>
    </row>
    <row r="164">
      <c r="C164" s="18"/>
    </row>
    <row r="165">
      <c r="C165" s="18"/>
    </row>
    <row r="166">
      <c r="C166" s="18"/>
    </row>
    <row r="167">
      <c r="C167" s="18"/>
    </row>
    <row r="168">
      <c r="C168" s="18"/>
    </row>
    <row r="169">
      <c r="C169" s="18"/>
    </row>
    <row r="170">
      <c r="C170" s="18"/>
    </row>
    <row r="171">
      <c r="C171" s="18"/>
    </row>
    <row r="172">
      <c r="C172" s="18"/>
    </row>
    <row r="173">
      <c r="C173" s="18"/>
    </row>
    <row r="174">
      <c r="C174" s="18"/>
    </row>
    <row r="175">
      <c r="C175" s="18"/>
    </row>
    <row r="176">
      <c r="C176" s="18"/>
    </row>
    <row r="177">
      <c r="C177" s="18"/>
    </row>
    <row r="178">
      <c r="C178" s="18"/>
    </row>
    <row r="179">
      <c r="C179" s="18"/>
    </row>
    <row r="180">
      <c r="C180" s="18"/>
    </row>
    <row r="181">
      <c r="C181" s="18"/>
    </row>
    <row r="182">
      <c r="C182" s="18"/>
    </row>
    <row r="183">
      <c r="C183" s="18"/>
    </row>
    <row r="184">
      <c r="C184" s="18"/>
    </row>
    <row r="185">
      <c r="C185" s="18"/>
    </row>
    <row r="186">
      <c r="C186" s="18"/>
    </row>
    <row r="187">
      <c r="C187" s="18"/>
    </row>
    <row r="188">
      <c r="C188" s="18"/>
    </row>
    <row r="189">
      <c r="C189" s="18"/>
    </row>
    <row r="190">
      <c r="C190" s="18"/>
    </row>
    <row r="191">
      <c r="C191" s="18"/>
    </row>
    <row r="192">
      <c r="C192" s="18"/>
    </row>
    <row r="193">
      <c r="C193" s="18"/>
    </row>
    <row r="194">
      <c r="C194" s="18"/>
    </row>
    <row r="195">
      <c r="C195" s="18"/>
    </row>
    <row r="196">
      <c r="C196" s="18"/>
    </row>
    <row r="197">
      <c r="C197" s="18"/>
    </row>
    <row r="198">
      <c r="C198" s="18"/>
    </row>
    <row r="199">
      <c r="C199" s="18"/>
    </row>
    <row r="200">
      <c r="C200" s="18"/>
    </row>
    <row r="201">
      <c r="C201" s="18"/>
    </row>
    <row r="202">
      <c r="C202" s="18"/>
    </row>
    <row r="203">
      <c r="C203" s="18"/>
    </row>
    <row r="204">
      <c r="C204" s="18"/>
    </row>
    <row r="205">
      <c r="C205" s="18"/>
    </row>
    <row r="206">
      <c r="C206" s="18"/>
    </row>
    <row r="207">
      <c r="C207" s="18"/>
    </row>
    <row r="208">
      <c r="C208" s="18"/>
    </row>
    <row r="209">
      <c r="C209" s="18"/>
    </row>
    <row r="210">
      <c r="C210" s="18"/>
    </row>
    <row r="211">
      <c r="C211" s="18"/>
    </row>
    <row r="212">
      <c r="C212" s="18"/>
    </row>
    <row r="213">
      <c r="C213" s="18"/>
    </row>
    <row r="214">
      <c r="C214" s="18"/>
    </row>
    <row r="215">
      <c r="C215" s="18"/>
    </row>
    <row r="216">
      <c r="C216" s="18"/>
    </row>
    <row r="217">
      <c r="C217" s="18"/>
    </row>
    <row r="218">
      <c r="C218" s="18"/>
    </row>
    <row r="219">
      <c r="C219" s="18"/>
    </row>
    <row r="220">
      <c r="C220" s="18"/>
    </row>
    <row r="221">
      <c r="C221" s="18"/>
    </row>
    <row r="222">
      <c r="C222" s="18"/>
    </row>
    <row r="223">
      <c r="C223" s="18"/>
    </row>
    <row r="224">
      <c r="C224" s="18"/>
    </row>
    <row r="225">
      <c r="C225" s="18"/>
    </row>
    <row r="226">
      <c r="C226" s="18"/>
    </row>
    <row r="227">
      <c r="C227" s="18"/>
    </row>
    <row r="228">
      <c r="C228" s="18"/>
    </row>
    <row r="229">
      <c r="C229" s="18"/>
    </row>
    <row r="230">
      <c r="C230" s="18"/>
    </row>
    <row r="231">
      <c r="C231" s="18"/>
    </row>
    <row r="232">
      <c r="C232" s="18"/>
    </row>
    <row r="233">
      <c r="C233" s="18"/>
    </row>
    <row r="234">
      <c r="C234" s="18"/>
    </row>
    <row r="235">
      <c r="C235" s="18"/>
    </row>
    <row r="236">
      <c r="C236" s="18"/>
    </row>
    <row r="237">
      <c r="C237" s="18"/>
    </row>
    <row r="238">
      <c r="C238" s="18"/>
    </row>
    <row r="239">
      <c r="C239" s="18"/>
    </row>
    <row r="240">
      <c r="C240" s="18"/>
    </row>
    <row r="241">
      <c r="C241" s="18"/>
    </row>
    <row r="242">
      <c r="C242" s="18"/>
    </row>
    <row r="243">
      <c r="C243" s="18"/>
    </row>
    <row r="244">
      <c r="C244" s="18"/>
    </row>
    <row r="245">
      <c r="C245" s="18"/>
    </row>
    <row r="246">
      <c r="C246" s="18"/>
    </row>
    <row r="247">
      <c r="C247" s="18"/>
    </row>
    <row r="248">
      <c r="C248" s="18"/>
    </row>
    <row r="249">
      <c r="C249" s="18"/>
    </row>
    <row r="250">
      <c r="C250" s="18"/>
    </row>
    <row r="251">
      <c r="C251" s="18"/>
    </row>
    <row r="252">
      <c r="C252" s="18"/>
    </row>
    <row r="253">
      <c r="C253" s="18"/>
    </row>
    <row r="254">
      <c r="C254" s="18"/>
    </row>
    <row r="255">
      <c r="C255" s="18"/>
    </row>
    <row r="256">
      <c r="C256" s="18"/>
    </row>
    <row r="257">
      <c r="C257" s="18"/>
    </row>
    <row r="258">
      <c r="C258" s="18"/>
    </row>
    <row r="259">
      <c r="C259" s="18"/>
    </row>
    <row r="260">
      <c r="C260" s="18"/>
    </row>
    <row r="261">
      <c r="C261" s="18"/>
    </row>
    <row r="262">
      <c r="C262" s="18"/>
    </row>
    <row r="263">
      <c r="C263" s="18"/>
    </row>
    <row r="264">
      <c r="C264" s="18"/>
    </row>
    <row r="265">
      <c r="C265" s="18"/>
    </row>
    <row r="266">
      <c r="C266" s="18"/>
    </row>
    <row r="267">
      <c r="C267" s="18"/>
    </row>
    <row r="268">
      <c r="C268" s="18"/>
    </row>
    <row r="269">
      <c r="C269" s="18"/>
    </row>
    <row r="270">
      <c r="C270" s="18"/>
    </row>
    <row r="271">
      <c r="C271" s="18"/>
    </row>
    <row r="272">
      <c r="C272" s="18"/>
    </row>
    <row r="273">
      <c r="C273" s="18"/>
    </row>
    <row r="274">
      <c r="C274" s="18"/>
    </row>
    <row r="275">
      <c r="C275" s="18"/>
    </row>
    <row r="276">
      <c r="C276" s="18"/>
    </row>
    <row r="277">
      <c r="C277" s="18"/>
    </row>
    <row r="278">
      <c r="C278" s="18"/>
    </row>
    <row r="279">
      <c r="C279" s="18"/>
    </row>
    <row r="280">
      <c r="C280" s="18"/>
    </row>
    <row r="281">
      <c r="C281" s="18"/>
    </row>
    <row r="282">
      <c r="C282" s="18"/>
    </row>
    <row r="283">
      <c r="C283" s="18"/>
    </row>
    <row r="284">
      <c r="C284" s="18"/>
    </row>
    <row r="285">
      <c r="C285" s="18"/>
    </row>
    <row r="286">
      <c r="C286" s="18"/>
    </row>
    <row r="287">
      <c r="C287" s="18"/>
    </row>
    <row r="288">
      <c r="C288" s="18"/>
    </row>
    <row r="289">
      <c r="C289" s="18"/>
    </row>
    <row r="290">
      <c r="C290" s="18"/>
    </row>
    <row r="291">
      <c r="C291" s="18"/>
    </row>
    <row r="292">
      <c r="C292" s="18"/>
    </row>
    <row r="293">
      <c r="C293" s="18"/>
    </row>
    <row r="294">
      <c r="C294" s="18"/>
    </row>
    <row r="295">
      <c r="C295" s="18"/>
    </row>
    <row r="296">
      <c r="C296" s="18"/>
    </row>
    <row r="297">
      <c r="C297" s="18"/>
    </row>
    <row r="298">
      <c r="C298" s="18"/>
    </row>
    <row r="299">
      <c r="C299" s="18"/>
    </row>
    <row r="300">
      <c r="C300" s="18"/>
    </row>
    <row r="301">
      <c r="C301" s="18"/>
    </row>
    <row r="302">
      <c r="C302" s="18"/>
    </row>
    <row r="303">
      <c r="C303" s="18"/>
    </row>
    <row r="304">
      <c r="C304" s="18"/>
    </row>
    <row r="305">
      <c r="C305" s="18"/>
    </row>
    <row r="306">
      <c r="C306" s="18"/>
    </row>
    <row r="307">
      <c r="C307" s="18"/>
    </row>
    <row r="308">
      <c r="C308" s="18"/>
    </row>
    <row r="309">
      <c r="C309" s="18"/>
    </row>
    <row r="310">
      <c r="C310" s="18"/>
    </row>
    <row r="311">
      <c r="C311" s="18"/>
    </row>
    <row r="312">
      <c r="C312" s="18"/>
    </row>
    <row r="313">
      <c r="C313" s="18"/>
    </row>
    <row r="314">
      <c r="C314" s="18"/>
    </row>
    <row r="315">
      <c r="C315" s="18"/>
    </row>
    <row r="316">
      <c r="C316" s="18"/>
    </row>
    <row r="317">
      <c r="C317" s="18"/>
    </row>
    <row r="318">
      <c r="C318" s="18"/>
    </row>
    <row r="319">
      <c r="C319" s="18"/>
    </row>
    <row r="320">
      <c r="C320" s="18"/>
    </row>
    <row r="321">
      <c r="C321" s="18"/>
    </row>
    <row r="322">
      <c r="C322" s="18"/>
    </row>
    <row r="323">
      <c r="C323" s="18"/>
    </row>
    <row r="324">
      <c r="C324" s="18"/>
    </row>
    <row r="325">
      <c r="C325" s="18"/>
    </row>
    <row r="326">
      <c r="C326" s="18"/>
    </row>
    <row r="327">
      <c r="C327" s="18"/>
    </row>
    <row r="328">
      <c r="C328" s="18"/>
    </row>
    <row r="329">
      <c r="C329" s="18"/>
    </row>
    <row r="330">
      <c r="C330" s="18"/>
    </row>
    <row r="331">
      <c r="C331" s="18"/>
    </row>
    <row r="332">
      <c r="C332" s="18"/>
    </row>
    <row r="333">
      <c r="C333" s="18"/>
    </row>
    <row r="334">
      <c r="C334" s="18"/>
    </row>
    <row r="335">
      <c r="C335" s="18"/>
    </row>
    <row r="336">
      <c r="C336" s="18"/>
    </row>
    <row r="337">
      <c r="C337" s="18"/>
    </row>
    <row r="338">
      <c r="C338" s="18"/>
    </row>
    <row r="339">
      <c r="C339" s="18"/>
    </row>
    <row r="340">
      <c r="C340" s="18"/>
    </row>
    <row r="341">
      <c r="C341" s="18"/>
    </row>
    <row r="342">
      <c r="C342" s="18"/>
    </row>
    <row r="343">
      <c r="C343" s="18"/>
    </row>
    <row r="344">
      <c r="C344" s="18"/>
    </row>
    <row r="345">
      <c r="C345" s="18"/>
    </row>
    <row r="346">
      <c r="C346" s="18"/>
    </row>
    <row r="347">
      <c r="C347" s="18"/>
    </row>
    <row r="348">
      <c r="C348" s="18"/>
    </row>
    <row r="349">
      <c r="C349" s="18"/>
    </row>
    <row r="350">
      <c r="C350" s="18"/>
    </row>
    <row r="351">
      <c r="C351" s="18"/>
    </row>
    <row r="352">
      <c r="C352" s="18"/>
    </row>
    <row r="353">
      <c r="C353" s="18"/>
    </row>
    <row r="354">
      <c r="C354" s="18"/>
    </row>
    <row r="355">
      <c r="C355" s="18"/>
    </row>
    <row r="356">
      <c r="C356" s="18"/>
    </row>
    <row r="357">
      <c r="C357" s="18"/>
    </row>
    <row r="358">
      <c r="C358" s="18"/>
    </row>
    <row r="359">
      <c r="C359" s="18"/>
    </row>
    <row r="360">
      <c r="C360" s="18"/>
    </row>
    <row r="361">
      <c r="C361" s="18"/>
    </row>
    <row r="362">
      <c r="C362" s="18"/>
    </row>
    <row r="363">
      <c r="C363" s="18"/>
    </row>
    <row r="364">
      <c r="C364" s="18"/>
    </row>
    <row r="365">
      <c r="C365" s="18"/>
    </row>
    <row r="366">
      <c r="C366" s="18"/>
    </row>
    <row r="367">
      <c r="C367" s="18"/>
    </row>
    <row r="368">
      <c r="C368" s="18"/>
    </row>
    <row r="369">
      <c r="C369" s="18"/>
    </row>
    <row r="370">
      <c r="C370" s="18"/>
    </row>
    <row r="371">
      <c r="C371" s="18"/>
    </row>
    <row r="372">
      <c r="C372" s="18"/>
    </row>
    <row r="373">
      <c r="C373" s="18"/>
    </row>
    <row r="374">
      <c r="C374" s="18"/>
    </row>
    <row r="375">
      <c r="C375" s="18"/>
    </row>
    <row r="376">
      <c r="C376" s="18"/>
    </row>
    <row r="377">
      <c r="C377" s="18"/>
    </row>
    <row r="378">
      <c r="C378" s="18"/>
    </row>
    <row r="379">
      <c r="C379" s="18"/>
    </row>
    <row r="380">
      <c r="C380" s="18"/>
    </row>
    <row r="381">
      <c r="C381" s="18"/>
    </row>
    <row r="382">
      <c r="C382" s="18"/>
    </row>
    <row r="383">
      <c r="C383" s="18"/>
    </row>
    <row r="384">
      <c r="C384" s="18"/>
    </row>
    <row r="385">
      <c r="C385" s="18"/>
    </row>
    <row r="386">
      <c r="C386" s="18"/>
    </row>
    <row r="387">
      <c r="C387" s="18"/>
    </row>
    <row r="388">
      <c r="C388" s="18"/>
    </row>
    <row r="389">
      <c r="C389" s="18"/>
    </row>
    <row r="390">
      <c r="C390" s="18"/>
    </row>
    <row r="391">
      <c r="C391" s="18"/>
    </row>
    <row r="392">
      <c r="C392" s="18"/>
    </row>
    <row r="393">
      <c r="C393" s="18"/>
    </row>
    <row r="394">
      <c r="C394" s="18"/>
    </row>
    <row r="395">
      <c r="C395" s="18"/>
    </row>
    <row r="396">
      <c r="C396" s="18"/>
    </row>
    <row r="397">
      <c r="C397" s="18"/>
    </row>
    <row r="398">
      <c r="C398" s="18"/>
    </row>
    <row r="399">
      <c r="C399" s="18"/>
    </row>
    <row r="400">
      <c r="C400" s="18"/>
    </row>
    <row r="401">
      <c r="C401" s="18"/>
    </row>
    <row r="402">
      <c r="C402" s="18"/>
    </row>
    <row r="403">
      <c r="C403" s="18"/>
    </row>
    <row r="404">
      <c r="C404" s="18"/>
    </row>
    <row r="405">
      <c r="C405" s="18"/>
    </row>
    <row r="406">
      <c r="C406" s="18"/>
    </row>
    <row r="407">
      <c r="C407" s="18"/>
    </row>
    <row r="408">
      <c r="C408" s="18"/>
    </row>
    <row r="409">
      <c r="C409" s="18"/>
    </row>
    <row r="410">
      <c r="C410" s="18"/>
    </row>
    <row r="411">
      <c r="C411" s="18"/>
    </row>
    <row r="412">
      <c r="C412" s="18"/>
    </row>
    <row r="413">
      <c r="C413" s="18"/>
    </row>
    <row r="414">
      <c r="C414" s="18"/>
    </row>
    <row r="415">
      <c r="C415" s="18"/>
    </row>
    <row r="416">
      <c r="C416" s="18"/>
    </row>
    <row r="417">
      <c r="C417" s="18"/>
    </row>
    <row r="418">
      <c r="C418" s="18"/>
    </row>
    <row r="419">
      <c r="C419" s="18"/>
    </row>
    <row r="420">
      <c r="C420" s="18"/>
    </row>
    <row r="421">
      <c r="C421" s="18"/>
    </row>
    <row r="422">
      <c r="C422" s="18"/>
    </row>
    <row r="423">
      <c r="C423" s="18"/>
    </row>
    <row r="424">
      <c r="C424" s="18"/>
    </row>
    <row r="425">
      <c r="C425" s="18"/>
    </row>
    <row r="426">
      <c r="C426" s="18"/>
    </row>
    <row r="427">
      <c r="C427" s="18"/>
    </row>
    <row r="428">
      <c r="C428" s="18"/>
    </row>
    <row r="429">
      <c r="C429" s="18"/>
    </row>
    <row r="430">
      <c r="C430" s="18"/>
    </row>
    <row r="431">
      <c r="C431" s="18"/>
    </row>
    <row r="432">
      <c r="C432" s="18"/>
    </row>
    <row r="433">
      <c r="C433" s="18"/>
    </row>
    <row r="434">
      <c r="C434" s="18"/>
    </row>
    <row r="435">
      <c r="C435" s="18"/>
    </row>
    <row r="436">
      <c r="C436" s="18"/>
    </row>
    <row r="437">
      <c r="C437" s="18"/>
    </row>
    <row r="438">
      <c r="C438" s="18"/>
    </row>
    <row r="439">
      <c r="C439" s="18"/>
    </row>
    <row r="440">
      <c r="C440" s="18"/>
    </row>
    <row r="441">
      <c r="C441" s="18"/>
    </row>
    <row r="442">
      <c r="C442" s="18"/>
    </row>
    <row r="443">
      <c r="C443" s="18"/>
    </row>
    <row r="444">
      <c r="C444" s="18"/>
    </row>
    <row r="445">
      <c r="C445" s="18"/>
    </row>
    <row r="446">
      <c r="C446" s="18"/>
    </row>
    <row r="447">
      <c r="C447" s="18"/>
    </row>
    <row r="448">
      <c r="C448" s="18"/>
    </row>
    <row r="449">
      <c r="C449" s="18"/>
    </row>
    <row r="450">
      <c r="C450" s="18"/>
    </row>
    <row r="451">
      <c r="C451" s="18"/>
    </row>
    <row r="452">
      <c r="C452" s="18"/>
    </row>
    <row r="453">
      <c r="C453" s="18"/>
    </row>
    <row r="454">
      <c r="C454" s="18"/>
    </row>
    <row r="455">
      <c r="C455" s="18"/>
    </row>
    <row r="456">
      <c r="C456" s="18"/>
    </row>
    <row r="457">
      <c r="C457" s="18"/>
    </row>
    <row r="458">
      <c r="C458" s="18"/>
    </row>
    <row r="459">
      <c r="C459" s="18"/>
    </row>
    <row r="460">
      <c r="C460" s="18"/>
    </row>
    <row r="461">
      <c r="C461" s="18"/>
    </row>
    <row r="462">
      <c r="C462" s="18"/>
    </row>
    <row r="463">
      <c r="C463" s="18"/>
    </row>
    <row r="464">
      <c r="C464" s="18"/>
    </row>
    <row r="465">
      <c r="C465" s="18"/>
    </row>
    <row r="466">
      <c r="C466" s="18"/>
    </row>
    <row r="467">
      <c r="C467" s="18"/>
    </row>
    <row r="468">
      <c r="C468" s="18"/>
    </row>
    <row r="469">
      <c r="C469" s="18"/>
    </row>
    <row r="470">
      <c r="C470" s="18"/>
    </row>
    <row r="471">
      <c r="C471" s="18"/>
    </row>
    <row r="472">
      <c r="C472" s="18"/>
    </row>
    <row r="473">
      <c r="C473" s="18"/>
    </row>
    <row r="474">
      <c r="C474" s="18"/>
    </row>
    <row r="475">
      <c r="C475" s="18"/>
    </row>
    <row r="476">
      <c r="C476" s="18"/>
    </row>
    <row r="477">
      <c r="C477" s="18"/>
    </row>
    <row r="478">
      <c r="C478" s="18"/>
    </row>
    <row r="479">
      <c r="C479" s="18"/>
    </row>
    <row r="480">
      <c r="C480" s="18"/>
    </row>
    <row r="481">
      <c r="C481" s="18"/>
    </row>
    <row r="482">
      <c r="C482" s="18"/>
    </row>
    <row r="483">
      <c r="C483" s="18"/>
    </row>
    <row r="484">
      <c r="C484" s="18"/>
    </row>
    <row r="485">
      <c r="C485" s="18"/>
    </row>
    <row r="486">
      <c r="C486" s="18"/>
    </row>
    <row r="487">
      <c r="C487" s="18"/>
    </row>
    <row r="488">
      <c r="C488" s="18"/>
    </row>
    <row r="489">
      <c r="C489" s="18"/>
    </row>
    <row r="490">
      <c r="C490" s="18"/>
    </row>
    <row r="491">
      <c r="C491" s="18"/>
    </row>
    <row r="492">
      <c r="C492" s="18"/>
    </row>
    <row r="493">
      <c r="C493" s="18"/>
    </row>
    <row r="494">
      <c r="C494" s="18"/>
    </row>
    <row r="495">
      <c r="C495" s="18"/>
    </row>
    <row r="496">
      <c r="C496" s="18"/>
    </row>
    <row r="497">
      <c r="C497" s="18"/>
    </row>
    <row r="498">
      <c r="C498" s="18"/>
    </row>
    <row r="499">
      <c r="C499" s="18"/>
    </row>
    <row r="500">
      <c r="C500" s="18"/>
    </row>
    <row r="501">
      <c r="C501" s="18"/>
    </row>
    <row r="502">
      <c r="C502" s="18"/>
    </row>
    <row r="503">
      <c r="C503" s="18"/>
    </row>
    <row r="504">
      <c r="C504" s="18"/>
    </row>
    <row r="505">
      <c r="C505" s="18"/>
    </row>
    <row r="506">
      <c r="C506" s="18"/>
    </row>
    <row r="507">
      <c r="C507" s="18"/>
    </row>
    <row r="508">
      <c r="C508" s="18"/>
    </row>
    <row r="509">
      <c r="C509" s="18"/>
    </row>
    <row r="510">
      <c r="C510" s="18"/>
    </row>
    <row r="511">
      <c r="C511" s="18"/>
    </row>
    <row r="512">
      <c r="C512" s="18"/>
    </row>
    <row r="513">
      <c r="C513" s="18"/>
    </row>
    <row r="514">
      <c r="C514" s="18"/>
    </row>
    <row r="515">
      <c r="C515" s="18"/>
    </row>
    <row r="516">
      <c r="C516" s="18"/>
    </row>
    <row r="517">
      <c r="C517" s="18"/>
    </row>
    <row r="518">
      <c r="C518" s="18"/>
    </row>
    <row r="519">
      <c r="C519" s="18"/>
    </row>
    <row r="520">
      <c r="C520" s="18"/>
    </row>
    <row r="521">
      <c r="C521" s="18"/>
    </row>
    <row r="522">
      <c r="C522" s="18"/>
    </row>
    <row r="523">
      <c r="C523" s="18"/>
    </row>
    <row r="524">
      <c r="C524" s="18"/>
    </row>
    <row r="525">
      <c r="C525" s="18"/>
    </row>
    <row r="526">
      <c r="C526" s="18"/>
    </row>
    <row r="527">
      <c r="C527" s="18"/>
    </row>
    <row r="528">
      <c r="C528" s="18"/>
    </row>
    <row r="529">
      <c r="C529" s="18"/>
    </row>
    <row r="530">
      <c r="C530" s="18"/>
    </row>
    <row r="531">
      <c r="C531" s="18"/>
    </row>
    <row r="532">
      <c r="C532" s="18"/>
    </row>
    <row r="533">
      <c r="C533" s="18"/>
    </row>
    <row r="534">
      <c r="C534" s="18"/>
    </row>
    <row r="535">
      <c r="C535" s="18"/>
    </row>
    <row r="536">
      <c r="C536" s="18"/>
    </row>
    <row r="537">
      <c r="C537" s="18"/>
    </row>
    <row r="538">
      <c r="C538" s="18"/>
    </row>
    <row r="539">
      <c r="C539" s="18"/>
    </row>
    <row r="540">
      <c r="C540" s="18"/>
    </row>
    <row r="541">
      <c r="C541" s="18"/>
    </row>
    <row r="542">
      <c r="C542" s="18"/>
    </row>
    <row r="543">
      <c r="C543" s="18"/>
    </row>
    <row r="544">
      <c r="C544" s="18"/>
    </row>
    <row r="545">
      <c r="C545" s="18"/>
    </row>
    <row r="546">
      <c r="C546" s="18"/>
    </row>
    <row r="547">
      <c r="C547" s="18"/>
    </row>
    <row r="548">
      <c r="C548" s="18"/>
    </row>
    <row r="549">
      <c r="C549" s="18"/>
    </row>
    <row r="550">
      <c r="C550" s="18"/>
    </row>
    <row r="551">
      <c r="C551" s="18"/>
    </row>
    <row r="552">
      <c r="C552" s="18"/>
    </row>
    <row r="553">
      <c r="C553" s="18"/>
    </row>
    <row r="554">
      <c r="C554" s="18"/>
    </row>
    <row r="555">
      <c r="C555" s="18"/>
    </row>
    <row r="556">
      <c r="C556" s="18"/>
    </row>
    <row r="557">
      <c r="C557" s="18"/>
    </row>
    <row r="558">
      <c r="C558" s="18"/>
    </row>
    <row r="559">
      <c r="C559" s="18"/>
    </row>
    <row r="560">
      <c r="C560" s="18"/>
    </row>
    <row r="561">
      <c r="C561" s="18"/>
    </row>
    <row r="562">
      <c r="C562" s="18"/>
    </row>
    <row r="563">
      <c r="C563" s="18"/>
    </row>
    <row r="564">
      <c r="C564" s="18"/>
    </row>
    <row r="565">
      <c r="C565" s="18"/>
    </row>
    <row r="566">
      <c r="C566" s="18"/>
    </row>
    <row r="567">
      <c r="C567" s="18"/>
    </row>
    <row r="568">
      <c r="C568" s="18"/>
    </row>
    <row r="569">
      <c r="C569" s="18"/>
    </row>
    <row r="570">
      <c r="C570" s="18"/>
    </row>
    <row r="571">
      <c r="C571" s="18"/>
    </row>
    <row r="572">
      <c r="C572" s="18"/>
    </row>
    <row r="573">
      <c r="C573" s="18"/>
    </row>
    <row r="574">
      <c r="C574" s="18"/>
    </row>
    <row r="575">
      <c r="C575" s="18"/>
    </row>
    <row r="576">
      <c r="C576" s="18"/>
    </row>
    <row r="577">
      <c r="C577" s="18"/>
    </row>
    <row r="578">
      <c r="C578" s="18"/>
    </row>
    <row r="579">
      <c r="C579" s="18"/>
    </row>
    <row r="580">
      <c r="C580" s="18"/>
    </row>
    <row r="581">
      <c r="C581" s="18"/>
    </row>
    <row r="582">
      <c r="C582" s="18"/>
    </row>
    <row r="583">
      <c r="C583" s="18"/>
    </row>
    <row r="584">
      <c r="C584" s="18"/>
    </row>
    <row r="585">
      <c r="C585" s="18"/>
    </row>
    <row r="586">
      <c r="C586" s="18"/>
    </row>
    <row r="587">
      <c r="C587" s="18"/>
    </row>
    <row r="588">
      <c r="C588" s="18"/>
    </row>
    <row r="589">
      <c r="C589" s="18"/>
    </row>
    <row r="590">
      <c r="C590" s="18"/>
    </row>
    <row r="591">
      <c r="C591" s="18"/>
    </row>
    <row r="592">
      <c r="C592" s="18"/>
    </row>
    <row r="593">
      <c r="C593" s="18"/>
    </row>
    <row r="594">
      <c r="C594" s="18"/>
    </row>
    <row r="595">
      <c r="C595" s="18"/>
    </row>
    <row r="596">
      <c r="C596" s="18"/>
    </row>
    <row r="597">
      <c r="C597" s="18"/>
    </row>
    <row r="598">
      <c r="C598" s="18"/>
    </row>
    <row r="599">
      <c r="C599" s="18"/>
    </row>
    <row r="600">
      <c r="C600" s="18"/>
    </row>
    <row r="601">
      <c r="C601" s="18"/>
    </row>
    <row r="602">
      <c r="C602" s="18"/>
    </row>
    <row r="603">
      <c r="C603" s="18"/>
    </row>
    <row r="604">
      <c r="C604" s="18"/>
    </row>
    <row r="605">
      <c r="C605" s="18"/>
    </row>
    <row r="606">
      <c r="C606" s="18"/>
    </row>
    <row r="607">
      <c r="C607" s="18"/>
    </row>
    <row r="608">
      <c r="C608" s="18"/>
    </row>
    <row r="609">
      <c r="C609" s="18"/>
    </row>
    <row r="610">
      <c r="C610" s="18"/>
    </row>
    <row r="611">
      <c r="C611" s="18"/>
    </row>
    <row r="612">
      <c r="C612" s="18"/>
    </row>
    <row r="613">
      <c r="C613" s="18"/>
    </row>
    <row r="614">
      <c r="C614" s="18"/>
    </row>
    <row r="615">
      <c r="C615" s="18"/>
    </row>
    <row r="616">
      <c r="C616" s="18"/>
    </row>
    <row r="617">
      <c r="C617" s="18"/>
    </row>
    <row r="618">
      <c r="C618" s="18"/>
    </row>
    <row r="619">
      <c r="C619" s="18"/>
    </row>
    <row r="620">
      <c r="C620" s="18"/>
    </row>
    <row r="621">
      <c r="C621" s="18"/>
    </row>
    <row r="622">
      <c r="C622" s="18"/>
    </row>
    <row r="623">
      <c r="C623" s="18"/>
    </row>
    <row r="624">
      <c r="C624" s="18"/>
    </row>
    <row r="625">
      <c r="C625" s="18"/>
    </row>
    <row r="626">
      <c r="C626" s="18"/>
    </row>
    <row r="627">
      <c r="C627" s="18"/>
    </row>
    <row r="628">
      <c r="C628" s="18"/>
    </row>
    <row r="629">
      <c r="C629" s="18"/>
    </row>
    <row r="630">
      <c r="C630" s="18"/>
    </row>
    <row r="631">
      <c r="C631" s="18"/>
    </row>
    <row r="632">
      <c r="C632" s="18"/>
    </row>
    <row r="633">
      <c r="C633" s="18"/>
    </row>
    <row r="634">
      <c r="C634" s="18"/>
    </row>
    <row r="635">
      <c r="C635" s="18"/>
    </row>
    <row r="636">
      <c r="C636" s="18"/>
    </row>
    <row r="637">
      <c r="C637" s="18"/>
    </row>
    <row r="638">
      <c r="C638" s="18"/>
    </row>
    <row r="639">
      <c r="C639" s="18"/>
    </row>
    <row r="640">
      <c r="C640" s="18"/>
    </row>
    <row r="641">
      <c r="C641" s="18"/>
    </row>
    <row r="642">
      <c r="C642" s="18"/>
    </row>
    <row r="643">
      <c r="C643" s="18"/>
    </row>
    <row r="644">
      <c r="C644" s="18"/>
    </row>
    <row r="645">
      <c r="C645" s="18"/>
    </row>
    <row r="646">
      <c r="C646" s="18"/>
    </row>
    <row r="647">
      <c r="C647" s="18"/>
    </row>
    <row r="648">
      <c r="C648" s="18"/>
    </row>
    <row r="649">
      <c r="C649" s="18"/>
    </row>
    <row r="650">
      <c r="C650" s="18"/>
    </row>
    <row r="651">
      <c r="C651" s="18"/>
    </row>
    <row r="652">
      <c r="C652" s="18"/>
    </row>
    <row r="653">
      <c r="C653" s="18"/>
    </row>
    <row r="654">
      <c r="C654" s="18"/>
    </row>
    <row r="655">
      <c r="C655" s="18"/>
    </row>
    <row r="656">
      <c r="C656" s="18"/>
    </row>
    <row r="657">
      <c r="C657" s="18"/>
    </row>
    <row r="658">
      <c r="C658" s="18"/>
    </row>
    <row r="659">
      <c r="C659" s="18"/>
    </row>
    <row r="660">
      <c r="C660" s="18"/>
    </row>
    <row r="661">
      <c r="C661" s="18"/>
    </row>
    <row r="662">
      <c r="C662" s="18"/>
    </row>
    <row r="663">
      <c r="C663" s="18"/>
    </row>
    <row r="664">
      <c r="C664" s="18"/>
    </row>
    <row r="665">
      <c r="C665" s="18"/>
    </row>
    <row r="666">
      <c r="C666" s="18"/>
    </row>
    <row r="667">
      <c r="C667" s="18"/>
    </row>
    <row r="668">
      <c r="C668" s="18"/>
    </row>
    <row r="669">
      <c r="C669" s="18"/>
    </row>
    <row r="670">
      <c r="C670" s="18"/>
    </row>
    <row r="671">
      <c r="C671" s="18"/>
    </row>
    <row r="672">
      <c r="C672" s="18"/>
    </row>
    <row r="673">
      <c r="C673" s="18"/>
    </row>
    <row r="674">
      <c r="C674" s="18"/>
    </row>
    <row r="675">
      <c r="C675" s="18"/>
    </row>
    <row r="676">
      <c r="C676" s="18"/>
    </row>
    <row r="677">
      <c r="C677" s="18"/>
    </row>
    <row r="678">
      <c r="C678" s="18"/>
    </row>
    <row r="679">
      <c r="C679" s="18"/>
    </row>
    <row r="680">
      <c r="C680" s="18"/>
    </row>
    <row r="681">
      <c r="C681" s="18"/>
    </row>
    <row r="682">
      <c r="C682" s="18"/>
    </row>
    <row r="683">
      <c r="C683" s="18"/>
    </row>
    <row r="684">
      <c r="C684" s="18"/>
    </row>
    <row r="685">
      <c r="C685" s="18"/>
    </row>
    <row r="686">
      <c r="C686" s="18"/>
    </row>
    <row r="687">
      <c r="C687" s="18"/>
    </row>
    <row r="688">
      <c r="C688" s="18"/>
    </row>
    <row r="689">
      <c r="C689" s="18"/>
    </row>
    <row r="690">
      <c r="C690" s="18"/>
    </row>
    <row r="691">
      <c r="C691" s="18"/>
    </row>
    <row r="692">
      <c r="C692" s="18"/>
    </row>
    <row r="693">
      <c r="C693" s="18"/>
    </row>
    <row r="694">
      <c r="C694" s="18"/>
    </row>
    <row r="695">
      <c r="C695" s="18"/>
    </row>
    <row r="696">
      <c r="C696" s="18"/>
    </row>
    <row r="697">
      <c r="C697" s="18"/>
    </row>
    <row r="698">
      <c r="C698" s="18"/>
    </row>
    <row r="699">
      <c r="C699" s="18"/>
    </row>
    <row r="700">
      <c r="C700" s="18"/>
    </row>
    <row r="701">
      <c r="C701" s="18"/>
    </row>
    <row r="702">
      <c r="C702" s="18"/>
    </row>
    <row r="703">
      <c r="C703" s="18"/>
    </row>
    <row r="704">
      <c r="C704" s="18"/>
    </row>
    <row r="705">
      <c r="C705" s="18"/>
    </row>
    <row r="706">
      <c r="C706" s="18"/>
    </row>
    <row r="707">
      <c r="C707" s="18"/>
    </row>
    <row r="708">
      <c r="C708" s="18"/>
    </row>
    <row r="709">
      <c r="C709" s="18"/>
    </row>
    <row r="710">
      <c r="C710" s="18"/>
    </row>
    <row r="711">
      <c r="C711" s="18"/>
    </row>
    <row r="712">
      <c r="C712" s="18"/>
    </row>
    <row r="713">
      <c r="C713" s="18"/>
    </row>
    <row r="714">
      <c r="C714" s="18"/>
    </row>
    <row r="715">
      <c r="C715" s="18"/>
    </row>
    <row r="716">
      <c r="C716" s="18"/>
    </row>
    <row r="717">
      <c r="C717" s="18"/>
    </row>
    <row r="718">
      <c r="C718" s="18"/>
    </row>
    <row r="719">
      <c r="C719" s="18"/>
    </row>
    <row r="720">
      <c r="C720" s="18"/>
    </row>
    <row r="721">
      <c r="C721" s="18"/>
    </row>
    <row r="722">
      <c r="C722" s="18"/>
    </row>
    <row r="723">
      <c r="C723" s="18"/>
    </row>
    <row r="724">
      <c r="C724" s="18"/>
    </row>
    <row r="725">
      <c r="C725" s="18"/>
    </row>
    <row r="726">
      <c r="C726" s="18"/>
    </row>
    <row r="727">
      <c r="C727" s="18"/>
    </row>
    <row r="728">
      <c r="C728" s="18"/>
    </row>
    <row r="729">
      <c r="C729" s="18"/>
    </row>
    <row r="730">
      <c r="C730" s="18"/>
    </row>
    <row r="731">
      <c r="C731" s="18"/>
    </row>
    <row r="732">
      <c r="C732" s="18"/>
    </row>
    <row r="733">
      <c r="C733" s="18"/>
    </row>
    <row r="734">
      <c r="C734" s="18"/>
    </row>
    <row r="735">
      <c r="C735" s="18"/>
    </row>
    <row r="736">
      <c r="C736" s="18"/>
    </row>
    <row r="737">
      <c r="C737" s="18"/>
    </row>
    <row r="738">
      <c r="C738" s="18"/>
    </row>
    <row r="739">
      <c r="C739" s="18"/>
    </row>
    <row r="740">
      <c r="C740" s="18"/>
    </row>
    <row r="741">
      <c r="C741" s="18"/>
    </row>
    <row r="742">
      <c r="C742" s="18"/>
    </row>
    <row r="743">
      <c r="C743" s="18"/>
    </row>
    <row r="744">
      <c r="C744" s="18"/>
    </row>
    <row r="745">
      <c r="C745" s="18"/>
    </row>
    <row r="746">
      <c r="C746" s="18"/>
    </row>
    <row r="747">
      <c r="C747" s="18"/>
    </row>
    <row r="748">
      <c r="C748" s="18"/>
    </row>
    <row r="749">
      <c r="C749" s="18"/>
    </row>
    <row r="750">
      <c r="C750" s="18"/>
    </row>
    <row r="751">
      <c r="C751" s="18"/>
    </row>
    <row r="752">
      <c r="C752" s="18"/>
    </row>
    <row r="753">
      <c r="C753" s="18"/>
    </row>
    <row r="754">
      <c r="C754" s="18"/>
    </row>
    <row r="755">
      <c r="C755" s="18"/>
    </row>
    <row r="756">
      <c r="C756" s="18"/>
    </row>
    <row r="757">
      <c r="C757" s="18"/>
    </row>
    <row r="758">
      <c r="C758" s="18"/>
    </row>
    <row r="759">
      <c r="C759" s="18"/>
    </row>
    <row r="760">
      <c r="C760" s="18"/>
    </row>
    <row r="761">
      <c r="C761" s="18"/>
    </row>
    <row r="762">
      <c r="C762" s="18"/>
    </row>
    <row r="763">
      <c r="C763" s="18"/>
    </row>
    <row r="764">
      <c r="C764" s="18"/>
    </row>
    <row r="765">
      <c r="C765" s="18"/>
    </row>
    <row r="766">
      <c r="C766" s="18"/>
    </row>
    <row r="767">
      <c r="C767" s="18"/>
    </row>
    <row r="768">
      <c r="C768" s="18"/>
    </row>
    <row r="769">
      <c r="C769" s="18"/>
    </row>
    <row r="770">
      <c r="C770" s="18"/>
    </row>
    <row r="771">
      <c r="C771" s="18"/>
    </row>
    <row r="772">
      <c r="C772" s="18"/>
    </row>
    <row r="773">
      <c r="C773" s="18"/>
    </row>
    <row r="774">
      <c r="C774" s="18"/>
    </row>
    <row r="775">
      <c r="C775" s="18"/>
    </row>
    <row r="776">
      <c r="C776" s="18"/>
    </row>
    <row r="777">
      <c r="C777" s="18"/>
    </row>
    <row r="778">
      <c r="C778" s="18"/>
    </row>
    <row r="779">
      <c r="C779" s="18"/>
    </row>
    <row r="780">
      <c r="C780" s="18"/>
    </row>
    <row r="781">
      <c r="C781" s="18"/>
    </row>
    <row r="782">
      <c r="C782" s="18"/>
    </row>
    <row r="783">
      <c r="C783" s="18"/>
    </row>
    <row r="784">
      <c r="C784" s="18"/>
    </row>
    <row r="785">
      <c r="C785" s="18"/>
    </row>
    <row r="786">
      <c r="C786" s="18"/>
    </row>
    <row r="787">
      <c r="C787" s="18"/>
    </row>
    <row r="788">
      <c r="C788" s="18"/>
    </row>
    <row r="789">
      <c r="C789" s="18"/>
    </row>
    <row r="790">
      <c r="C790" s="18"/>
    </row>
    <row r="791">
      <c r="C791" s="18"/>
    </row>
    <row r="792">
      <c r="C792" s="18"/>
    </row>
    <row r="793">
      <c r="C793" s="18"/>
    </row>
    <row r="794">
      <c r="C794" s="18"/>
    </row>
    <row r="795">
      <c r="C795" s="18"/>
    </row>
    <row r="796">
      <c r="C796" s="18"/>
    </row>
    <row r="797">
      <c r="C797" s="18"/>
    </row>
    <row r="798">
      <c r="C798" s="18"/>
    </row>
    <row r="799">
      <c r="C799" s="18"/>
    </row>
    <row r="800">
      <c r="C800" s="18"/>
    </row>
    <row r="801">
      <c r="C801" s="18"/>
    </row>
    <row r="802">
      <c r="C802" s="18"/>
    </row>
    <row r="803">
      <c r="C803" s="18"/>
    </row>
    <row r="804">
      <c r="C804" s="18"/>
    </row>
    <row r="805">
      <c r="C805" s="18"/>
    </row>
    <row r="806">
      <c r="C806" s="18"/>
    </row>
    <row r="807">
      <c r="C807" s="18"/>
    </row>
    <row r="808">
      <c r="C808" s="18"/>
    </row>
    <row r="809">
      <c r="C809" s="18"/>
    </row>
    <row r="810">
      <c r="C810" s="18"/>
    </row>
    <row r="811">
      <c r="C811" s="18"/>
    </row>
    <row r="812">
      <c r="C812" s="18"/>
    </row>
    <row r="813">
      <c r="C813" s="18"/>
    </row>
    <row r="814">
      <c r="C814" s="18"/>
    </row>
    <row r="815">
      <c r="C815" s="18"/>
    </row>
    <row r="816">
      <c r="C816" s="18"/>
    </row>
    <row r="817">
      <c r="C817" s="18"/>
    </row>
    <row r="818">
      <c r="C818" s="18"/>
    </row>
    <row r="819">
      <c r="C819" s="18"/>
    </row>
    <row r="820">
      <c r="C820" s="18"/>
    </row>
    <row r="821">
      <c r="C821" s="18"/>
    </row>
    <row r="822">
      <c r="C822" s="18"/>
    </row>
    <row r="823">
      <c r="C823" s="18"/>
    </row>
    <row r="824">
      <c r="C824" s="18"/>
    </row>
    <row r="825">
      <c r="C825" s="18"/>
    </row>
    <row r="826">
      <c r="C826" s="18"/>
    </row>
    <row r="827">
      <c r="C827" s="18"/>
    </row>
    <row r="828">
      <c r="C828" s="18"/>
    </row>
    <row r="829">
      <c r="C829" s="18"/>
    </row>
    <row r="830">
      <c r="C830" s="18"/>
    </row>
    <row r="831">
      <c r="C831" s="18"/>
    </row>
    <row r="832">
      <c r="C832" s="18"/>
    </row>
    <row r="833">
      <c r="C833" s="18"/>
    </row>
    <row r="834">
      <c r="C834" s="18"/>
    </row>
    <row r="835">
      <c r="C835" s="18"/>
    </row>
    <row r="836">
      <c r="C836" s="18"/>
    </row>
    <row r="837">
      <c r="C837" s="18"/>
    </row>
    <row r="838">
      <c r="C838" s="18"/>
    </row>
    <row r="839">
      <c r="C839" s="18"/>
    </row>
    <row r="840">
      <c r="C840" s="18"/>
    </row>
    <row r="841">
      <c r="C841" s="18"/>
    </row>
    <row r="842">
      <c r="C842" s="18"/>
    </row>
    <row r="843">
      <c r="C843" s="18"/>
    </row>
    <row r="844">
      <c r="C844" s="18"/>
    </row>
    <row r="845">
      <c r="C845" s="18"/>
    </row>
    <row r="846">
      <c r="C846" s="18"/>
    </row>
    <row r="847">
      <c r="C847" s="18"/>
    </row>
    <row r="848">
      <c r="C848" s="18"/>
    </row>
    <row r="849">
      <c r="C849" s="18"/>
    </row>
    <row r="850">
      <c r="C850" s="18"/>
    </row>
    <row r="851">
      <c r="C851" s="18"/>
    </row>
    <row r="852">
      <c r="C852" s="18"/>
    </row>
    <row r="853">
      <c r="C853" s="18"/>
    </row>
    <row r="854">
      <c r="C854" s="18"/>
    </row>
    <row r="855">
      <c r="C855" s="18"/>
    </row>
    <row r="856">
      <c r="C856" s="18"/>
    </row>
    <row r="857">
      <c r="C857" s="18"/>
    </row>
    <row r="858">
      <c r="C858" s="18"/>
    </row>
    <row r="859">
      <c r="C859" s="18"/>
    </row>
    <row r="860">
      <c r="C860" s="18"/>
    </row>
    <row r="861">
      <c r="C861" s="18"/>
    </row>
    <row r="862">
      <c r="C862" s="18"/>
    </row>
    <row r="863">
      <c r="C863" s="18"/>
    </row>
    <row r="864">
      <c r="C864" s="18"/>
    </row>
    <row r="865">
      <c r="C865" s="18"/>
    </row>
    <row r="866">
      <c r="C866" s="18"/>
    </row>
    <row r="867">
      <c r="C867" s="18"/>
    </row>
    <row r="868">
      <c r="C868" s="18"/>
    </row>
    <row r="869">
      <c r="C869" s="18"/>
    </row>
    <row r="870">
      <c r="C870" s="18"/>
    </row>
    <row r="871">
      <c r="C871" s="18"/>
    </row>
    <row r="872">
      <c r="C872" s="18"/>
    </row>
    <row r="873">
      <c r="C873" s="18"/>
    </row>
    <row r="874">
      <c r="C874" s="18"/>
    </row>
    <row r="875">
      <c r="C875" s="18"/>
    </row>
    <row r="876">
      <c r="C876" s="18"/>
    </row>
    <row r="877">
      <c r="C877" s="18"/>
    </row>
    <row r="878">
      <c r="C878" s="18"/>
    </row>
    <row r="879">
      <c r="C879" s="18"/>
    </row>
    <row r="880">
      <c r="C880" s="18"/>
    </row>
    <row r="881">
      <c r="C881" s="18"/>
    </row>
    <row r="882">
      <c r="C882" s="18"/>
    </row>
    <row r="883">
      <c r="C883" s="18"/>
    </row>
    <row r="884">
      <c r="C884" s="18"/>
    </row>
    <row r="885">
      <c r="C885" s="18"/>
    </row>
    <row r="886">
      <c r="C886" s="18"/>
    </row>
    <row r="887">
      <c r="C887" s="18"/>
    </row>
    <row r="888">
      <c r="C888" s="18"/>
    </row>
    <row r="889">
      <c r="C889" s="18"/>
    </row>
    <row r="890">
      <c r="C890" s="18"/>
    </row>
    <row r="891">
      <c r="C891" s="18"/>
    </row>
    <row r="892">
      <c r="C892" s="18"/>
    </row>
    <row r="893">
      <c r="C893" s="18"/>
    </row>
    <row r="894">
      <c r="C894" s="18"/>
    </row>
    <row r="895">
      <c r="C895" s="18"/>
    </row>
    <row r="896">
      <c r="C896" s="18"/>
    </row>
    <row r="897">
      <c r="C897" s="18"/>
    </row>
    <row r="898">
      <c r="C898" s="18"/>
    </row>
    <row r="899">
      <c r="C899" s="18"/>
    </row>
    <row r="900">
      <c r="C900" s="18"/>
    </row>
    <row r="901">
      <c r="C901" s="18"/>
    </row>
    <row r="902">
      <c r="C902" s="18"/>
    </row>
    <row r="903">
      <c r="C903" s="18"/>
    </row>
    <row r="904">
      <c r="C904" s="18"/>
    </row>
    <row r="905">
      <c r="C905" s="18"/>
    </row>
    <row r="906">
      <c r="C906" s="18"/>
    </row>
    <row r="907">
      <c r="C907" s="18"/>
    </row>
    <row r="908">
      <c r="C908" s="18"/>
    </row>
    <row r="909">
      <c r="C909" s="18"/>
    </row>
    <row r="910">
      <c r="C910" s="18"/>
    </row>
    <row r="911">
      <c r="C911" s="18"/>
    </row>
    <row r="912">
      <c r="C912" s="18"/>
    </row>
    <row r="913">
      <c r="C913" s="18"/>
    </row>
    <row r="914">
      <c r="C914" s="18"/>
    </row>
    <row r="915">
      <c r="C915" s="18"/>
    </row>
    <row r="916">
      <c r="C916" s="18"/>
    </row>
    <row r="917">
      <c r="C917" s="18"/>
    </row>
    <row r="918">
      <c r="C918" s="18"/>
    </row>
    <row r="919">
      <c r="C919" s="18"/>
    </row>
    <row r="920">
      <c r="C920" s="18"/>
    </row>
    <row r="921">
      <c r="C921" s="18"/>
    </row>
    <row r="922">
      <c r="C922" s="18"/>
    </row>
    <row r="923">
      <c r="C923" s="18"/>
    </row>
    <row r="924">
      <c r="C924" s="18"/>
    </row>
    <row r="925">
      <c r="C925" s="18"/>
    </row>
    <row r="926">
      <c r="C926" s="18"/>
    </row>
    <row r="927">
      <c r="C927" s="18"/>
    </row>
    <row r="928">
      <c r="C928" s="18"/>
    </row>
    <row r="929">
      <c r="C929" s="18"/>
    </row>
    <row r="930">
      <c r="C930" s="18"/>
    </row>
    <row r="931">
      <c r="C931" s="18"/>
    </row>
    <row r="932">
      <c r="C932" s="18"/>
    </row>
    <row r="933">
      <c r="C933" s="18"/>
    </row>
    <row r="934">
      <c r="C934" s="18"/>
    </row>
    <row r="935">
      <c r="C935" s="18"/>
    </row>
    <row r="936">
      <c r="C936" s="18"/>
    </row>
    <row r="937">
      <c r="C937" s="18"/>
    </row>
    <row r="938">
      <c r="C938" s="18"/>
    </row>
    <row r="939">
      <c r="C939" s="18"/>
    </row>
    <row r="940">
      <c r="C940" s="18"/>
    </row>
    <row r="941">
      <c r="C941" s="18"/>
    </row>
    <row r="942">
      <c r="C942" s="18"/>
    </row>
    <row r="943">
      <c r="C943" s="18"/>
    </row>
    <row r="944">
      <c r="C944" s="18"/>
    </row>
    <row r="945">
      <c r="C945" s="18"/>
    </row>
    <row r="946">
      <c r="C946" s="18"/>
    </row>
    <row r="947">
      <c r="C947" s="18"/>
    </row>
    <row r="948">
      <c r="C948" s="18"/>
    </row>
    <row r="949">
      <c r="C949" s="18"/>
    </row>
    <row r="950">
      <c r="C950" s="18"/>
    </row>
    <row r="951">
      <c r="C951" s="18"/>
    </row>
    <row r="952">
      <c r="C952" s="18"/>
    </row>
    <row r="953">
      <c r="C953" s="18"/>
    </row>
    <row r="954">
      <c r="C954" s="18"/>
    </row>
    <row r="955">
      <c r="C955" s="18"/>
    </row>
    <row r="956">
      <c r="C956" s="18"/>
    </row>
    <row r="957">
      <c r="C957" s="18"/>
    </row>
    <row r="958">
      <c r="C958" s="18"/>
    </row>
    <row r="959">
      <c r="C959" s="18"/>
    </row>
    <row r="960">
      <c r="C960" s="18"/>
    </row>
    <row r="961">
      <c r="C961" s="18"/>
    </row>
    <row r="962">
      <c r="C962" s="18"/>
    </row>
    <row r="963">
      <c r="C963" s="18"/>
    </row>
    <row r="964">
      <c r="C964" s="18"/>
    </row>
    <row r="965">
      <c r="C965" s="18"/>
    </row>
    <row r="966">
      <c r="C966" s="18"/>
    </row>
    <row r="967">
      <c r="C967" s="18"/>
    </row>
    <row r="968">
      <c r="C968" s="18"/>
    </row>
    <row r="969">
      <c r="C969" s="18"/>
    </row>
    <row r="970">
      <c r="C970" s="18"/>
    </row>
    <row r="971">
      <c r="C971" s="18"/>
    </row>
    <row r="972">
      <c r="C972" s="18"/>
    </row>
    <row r="973">
      <c r="C973" s="18"/>
    </row>
    <row r="974">
      <c r="C974" s="18"/>
    </row>
    <row r="975">
      <c r="C975" s="18"/>
    </row>
    <row r="976">
      <c r="C976" s="18"/>
    </row>
    <row r="977">
      <c r="C977" s="18"/>
    </row>
    <row r="978">
      <c r="C978" s="18"/>
    </row>
    <row r="979">
      <c r="C979" s="18"/>
    </row>
    <row r="980">
      <c r="C980" s="18"/>
    </row>
    <row r="981">
      <c r="C981" s="18"/>
    </row>
    <row r="982">
      <c r="C982" s="18"/>
    </row>
    <row r="983">
      <c r="C983" s="18"/>
    </row>
    <row r="984">
      <c r="C984" s="18"/>
    </row>
    <row r="985">
      <c r="C985" s="18"/>
    </row>
    <row r="986">
      <c r="C986" s="18"/>
    </row>
    <row r="987">
      <c r="C987" s="18"/>
    </row>
    <row r="988">
      <c r="C988" s="18"/>
    </row>
    <row r="989">
      <c r="C989" s="18"/>
    </row>
    <row r="990">
      <c r="C990" s="18"/>
    </row>
    <row r="991">
      <c r="C991" s="18"/>
    </row>
    <row r="992">
      <c r="C992" s="18"/>
    </row>
    <row r="993">
      <c r="C993" s="18"/>
    </row>
    <row r="994">
      <c r="C994" s="18"/>
    </row>
    <row r="995">
      <c r="C995" s="18"/>
    </row>
    <row r="996">
      <c r="C996" s="18"/>
    </row>
    <row r="997">
      <c r="C997" s="18"/>
    </row>
    <row r="998">
      <c r="C998" s="18"/>
    </row>
  </sheetData>
  <dataValidations>
    <dataValidation type="list" allowBlank="1" sqref="B2:B61">
      <formula1>Lookups!$A$1:$A$6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14.75"/>
    <col customWidth="1" min="3" max="3" width="35.75"/>
    <col customWidth="1" min="4" max="4" width="8.63"/>
    <col customWidth="1" min="5" max="5" width="8.5"/>
    <col customWidth="1" min="6" max="6" width="31.75"/>
    <col customWidth="1" min="7" max="7" width="8.25"/>
  </cols>
  <sheetData>
    <row r="1">
      <c r="A1" s="1" t="s">
        <v>0</v>
      </c>
      <c r="B1" s="2" t="s">
        <v>1</v>
      </c>
      <c r="C1" s="68" t="s">
        <v>2</v>
      </c>
      <c r="D1" s="69" t="s">
        <v>3</v>
      </c>
      <c r="E1" s="70" t="s">
        <v>4</v>
      </c>
      <c r="F1" s="2" t="s">
        <v>5</v>
      </c>
      <c r="G1" s="6" t="s">
        <v>6</v>
      </c>
      <c r="H1" s="7" t="s">
        <v>7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9.5" customHeight="1">
      <c r="A2" s="7" t="s">
        <v>1078</v>
      </c>
      <c r="B2" s="7" t="s">
        <v>9</v>
      </c>
      <c r="C2" s="71" t="s">
        <v>1079</v>
      </c>
      <c r="D2" s="72">
        <f>IFERROR(__xludf.DUMMYFUNCTION("SPLIT(C2,"","")"),56.1569652)</f>
        <v>56.1569652</v>
      </c>
      <c r="E2" s="73">
        <f>IFERROR(__xludf.DUMMYFUNCTION("""COMPUTED_VALUE"""),9.9446105)</f>
        <v>9.9446105</v>
      </c>
      <c r="F2" s="12" t="s">
        <v>790</v>
      </c>
      <c r="G2" s="7"/>
    </row>
    <row r="3">
      <c r="A3" s="13" t="s">
        <v>1080</v>
      </c>
      <c r="B3" s="13" t="s">
        <v>51</v>
      </c>
      <c r="C3" s="13" t="s">
        <v>1081</v>
      </c>
      <c r="D3" s="72">
        <f>IFERROR(__xludf.DUMMYFUNCTION("SPLIT(C3,"","")"),56.155259)</f>
        <v>56.155259</v>
      </c>
      <c r="E3" s="73">
        <f>IFERROR(__xludf.DUMMYFUNCTION("""COMPUTED_VALUE"""),9.9391803)</f>
        <v>9.9391803</v>
      </c>
      <c r="F3" s="13" t="s">
        <v>1080</v>
      </c>
    </row>
    <row r="4">
      <c r="A4" s="13" t="s">
        <v>1082</v>
      </c>
      <c r="B4" s="13" t="s">
        <v>17</v>
      </c>
      <c r="C4" s="13" t="s">
        <v>1083</v>
      </c>
      <c r="D4" s="72">
        <f>IFERROR(__xludf.DUMMYFUNCTION("SPLIT(C4,"","")"),56.149862)</f>
        <v>56.149862</v>
      </c>
      <c r="E4" s="73">
        <f>IFERROR(__xludf.DUMMYFUNCTION("""COMPUTED_VALUE"""),9.9575603)</f>
        <v>9.9575603</v>
      </c>
      <c r="F4" s="13" t="s">
        <v>1084</v>
      </c>
    </row>
    <row r="5">
      <c r="A5" s="13" t="s">
        <v>1085</v>
      </c>
      <c r="B5" s="13" t="s">
        <v>17</v>
      </c>
      <c r="C5" s="13" t="s">
        <v>1086</v>
      </c>
      <c r="D5" s="72">
        <f>IFERROR(__xludf.DUMMYFUNCTION("SPLIT(C5,"","")"),56.1333663)</f>
        <v>56.1333663</v>
      </c>
      <c r="E5" s="73">
        <f>IFERROR(__xludf.DUMMYFUNCTION("""COMPUTED_VALUE"""),9.8915517)</f>
        <v>9.8915517</v>
      </c>
      <c r="F5" s="13" t="s">
        <v>1084</v>
      </c>
    </row>
    <row r="6">
      <c r="A6" s="13" t="s">
        <v>1087</v>
      </c>
      <c r="B6" s="13" t="s">
        <v>17</v>
      </c>
      <c r="C6" s="13" t="s">
        <v>1088</v>
      </c>
      <c r="D6" s="72">
        <f>IFERROR(__xludf.DUMMYFUNCTION("SPLIT(C6,"","")"),56.1500468)</f>
        <v>56.1500468</v>
      </c>
      <c r="E6" s="73">
        <f>IFERROR(__xludf.DUMMYFUNCTION("""COMPUTED_VALUE"""),9.9581676)</f>
        <v>9.9581676</v>
      </c>
      <c r="F6" s="13" t="s">
        <v>1084</v>
      </c>
    </row>
    <row r="7">
      <c r="B7" s="15"/>
      <c r="D7" s="72" t="str">
        <f>IFERROR(__xludf.DUMMYFUNCTION("SPLIT(C7,"","")"),"#VALUE!")</f>
        <v>#VALUE!</v>
      </c>
      <c r="E7" s="73"/>
    </row>
    <row r="8">
      <c r="B8" s="15"/>
      <c r="D8" s="74">
        <v>55.9382936</v>
      </c>
      <c r="E8" s="75">
        <v>8.7300804</v>
      </c>
    </row>
    <row r="9">
      <c r="B9" s="15"/>
      <c r="D9" s="76"/>
      <c r="E9" s="73"/>
    </row>
    <row r="10">
      <c r="B10" s="15"/>
      <c r="D10" s="76"/>
      <c r="E10" s="73"/>
    </row>
    <row r="11">
      <c r="B11" s="15"/>
      <c r="D11" s="76"/>
      <c r="E11" s="73"/>
    </row>
    <row r="12">
      <c r="B12" s="15"/>
      <c r="D12" s="76"/>
      <c r="E12" s="73"/>
    </row>
    <row r="13">
      <c r="B13" s="15"/>
      <c r="D13" s="76"/>
      <c r="E13" s="73"/>
    </row>
    <row r="14">
      <c r="B14" s="15"/>
      <c r="D14" s="76"/>
      <c r="E14" s="73"/>
    </row>
    <row r="15">
      <c r="B15" s="15"/>
      <c r="D15" s="76"/>
      <c r="E15" s="73"/>
    </row>
    <row r="16">
      <c r="B16" s="15"/>
      <c r="D16" s="76"/>
      <c r="E16" s="73"/>
    </row>
    <row r="17">
      <c r="B17" s="15"/>
      <c r="D17" s="76"/>
      <c r="E17" s="73"/>
    </row>
    <row r="18">
      <c r="B18" s="15"/>
      <c r="D18" s="76"/>
      <c r="E18" s="73"/>
    </row>
    <row r="19">
      <c r="B19" s="15"/>
      <c r="D19" s="76"/>
      <c r="E19" s="73"/>
    </row>
    <row r="20">
      <c r="B20" s="15"/>
      <c r="D20" s="76"/>
      <c r="E20" s="73"/>
    </row>
    <row r="21">
      <c r="B21" s="15"/>
      <c r="D21" s="76"/>
      <c r="E21" s="73"/>
    </row>
    <row r="22">
      <c r="B22" s="15"/>
      <c r="D22" s="76"/>
      <c r="E22" s="73"/>
    </row>
    <row r="23">
      <c r="B23" s="15"/>
      <c r="D23" s="76"/>
      <c r="E23" s="73"/>
    </row>
    <row r="24">
      <c r="B24" s="15"/>
      <c r="D24" s="76"/>
      <c r="E24" s="73"/>
    </row>
    <row r="25">
      <c r="B25" s="15"/>
      <c r="D25" s="76"/>
      <c r="E25" s="73"/>
    </row>
    <row r="26">
      <c r="B26" s="15"/>
      <c r="D26" s="76"/>
      <c r="E26" s="73"/>
    </row>
    <row r="27">
      <c r="B27" s="15"/>
      <c r="D27" s="76"/>
      <c r="E27" s="73"/>
    </row>
    <row r="28">
      <c r="B28" s="15"/>
      <c r="D28" s="76"/>
      <c r="E28" s="73"/>
    </row>
    <row r="29">
      <c r="B29" s="15"/>
      <c r="D29" s="76"/>
      <c r="E29" s="73"/>
    </row>
    <row r="30">
      <c r="B30" s="15"/>
      <c r="D30" s="76"/>
      <c r="E30" s="73"/>
    </row>
    <row r="31">
      <c r="B31" s="15"/>
      <c r="D31" s="76"/>
      <c r="E31" s="73"/>
    </row>
    <row r="32">
      <c r="B32" s="15"/>
      <c r="D32" s="76"/>
      <c r="E32" s="73"/>
    </row>
    <row r="33">
      <c r="B33" s="15"/>
      <c r="D33" s="76"/>
      <c r="E33" s="73"/>
    </row>
    <row r="34">
      <c r="B34" s="15"/>
      <c r="D34" s="76"/>
      <c r="E34" s="73"/>
    </row>
    <row r="35">
      <c r="B35" s="15"/>
      <c r="D35" s="76"/>
      <c r="E35" s="73"/>
    </row>
    <row r="36">
      <c r="B36" s="15"/>
      <c r="D36" s="76" t="str">
        <f>IFERROR(__xludf.DUMMYFUNCTION("SPLIT(C36,"","")"),"#VALUE!")</f>
        <v>#VALUE!</v>
      </c>
      <c r="E36" s="73"/>
    </row>
    <row r="37">
      <c r="B37" s="15"/>
      <c r="D37" s="76" t="str">
        <f>IFERROR(__xludf.DUMMYFUNCTION("SPLIT(C37,"","")"),"#VALUE!")</f>
        <v>#VALUE!</v>
      </c>
      <c r="E37" s="73"/>
    </row>
    <row r="38">
      <c r="B38" s="15"/>
      <c r="D38" s="76" t="str">
        <f>IFERROR(__xludf.DUMMYFUNCTION("SPLIT(C38,"","")"),"#VALUE!")</f>
        <v>#VALUE!</v>
      </c>
      <c r="E38" s="73"/>
    </row>
    <row r="39">
      <c r="B39" s="15"/>
      <c r="D39" s="76" t="str">
        <f>IFERROR(__xludf.DUMMYFUNCTION("SPLIT(C39,"","")"),"#VALUE!")</f>
        <v>#VALUE!</v>
      </c>
      <c r="E39" s="73"/>
    </row>
    <row r="40">
      <c r="B40" s="15"/>
      <c r="D40" s="76" t="str">
        <f>IFERROR(__xludf.DUMMYFUNCTION("SPLIT(C40,"","")"),"#VALUE!")</f>
        <v>#VALUE!</v>
      </c>
      <c r="E40" s="73"/>
    </row>
    <row r="41">
      <c r="B41" s="15"/>
      <c r="D41" s="76" t="str">
        <f>IFERROR(__xludf.DUMMYFUNCTION("SPLIT(C41,"","")"),"#VALUE!")</f>
        <v>#VALUE!</v>
      </c>
      <c r="E41" s="73"/>
    </row>
    <row r="42">
      <c r="B42" s="15"/>
      <c r="D42" s="76" t="str">
        <f>IFERROR(__xludf.DUMMYFUNCTION("SPLIT(C42,"","")"),"#VALUE!")</f>
        <v>#VALUE!</v>
      </c>
      <c r="E42" s="73"/>
    </row>
    <row r="43">
      <c r="B43" s="15"/>
      <c r="D43" s="76" t="str">
        <f>IFERROR(__xludf.DUMMYFUNCTION("SPLIT(C43,"","")"),"#VALUE!")</f>
        <v>#VALUE!</v>
      </c>
      <c r="E43" s="73"/>
    </row>
    <row r="44">
      <c r="B44" s="15"/>
      <c r="D44" s="76" t="str">
        <f>IFERROR(__xludf.DUMMYFUNCTION("SPLIT(C44,"","")"),"#VALUE!")</f>
        <v>#VALUE!</v>
      </c>
      <c r="E44" s="73"/>
    </row>
    <row r="45">
      <c r="B45" s="15"/>
      <c r="D45" s="76" t="str">
        <f>IFERROR(__xludf.DUMMYFUNCTION("SPLIT(C45,"","")"),"#VALUE!")</f>
        <v>#VALUE!</v>
      </c>
      <c r="E45" s="73"/>
    </row>
    <row r="46">
      <c r="B46" s="15"/>
      <c r="D46" s="76" t="str">
        <f>IFERROR(__xludf.DUMMYFUNCTION("SPLIT(C46,"","")"),"#VALUE!")</f>
        <v>#VALUE!</v>
      </c>
      <c r="E46" s="73"/>
    </row>
    <row r="47">
      <c r="B47" s="15"/>
      <c r="D47" s="76" t="str">
        <f>IFERROR(__xludf.DUMMYFUNCTION("SPLIT(C47,"","")"),"#VALUE!")</f>
        <v>#VALUE!</v>
      </c>
      <c r="E47" s="73"/>
    </row>
    <row r="48">
      <c r="B48" s="15"/>
      <c r="D48" s="76" t="str">
        <f>IFERROR(__xludf.DUMMYFUNCTION("SPLIT(C48,"","")"),"#VALUE!")</f>
        <v>#VALUE!</v>
      </c>
      <c r="E48" s="73"/>
    </row>
    <row r="49">
      <c r="B49" s="15"/>
      <c r="D49" s="76" t="str">
        <f>IFERROR(__xludf.DUMMYFUNCTION("SPLIT(C49,"","")"),"#VALUE!")</f>
        <v>#VALUE!</v>
      </c>
      <c r="E49" s="73"/>
    </row>
    <row r="50">
      <c r="B50" s="15"/>
      <c r="D50" s="76" t="str">
        <f>IFERROR(__xludf.DUMMYFUNCTION("SPLIT(C50,"","")"),"#VALUE!")</f>
        <v>#VALUE!</v>
      </c>
      <c r="E50" s="73"/>
    </row>
    <row r="51">
      <c r="B51" s="15"/>
      <c r="D51" s="76" t="str">
        <f>IFERROR(__xludf.DUMMYFUNCTION("SPLIT(C51,"","")"),"#VALUE!")</f>
        <v>#VALUE!</v>
      </c>
      <c r="E51" s="73"/>
    </row>
    <row r="52">
      <c r="B52" s="15"/>
      <c r="D52" s="76" t="str">
        <f>IFERROR(__xludf.DUMMYFUNCTION("SPLIT(C52,"","")"),"#VALUE!")</f>
        <v>#VALUE!</v>
      </c>
      <c r="E52" s="73"/>
    </row>
    <row r="53">
      <c r="B53" s="15"/>
      <c r="D53" s="76" t="str">
        <f>IFERROR(__xludf.DUMMYFUNCTION("SPLIT(C53,"","")"),"#VALUE!")</f>
        <v>#VALUE!</v>
      </c>
      <c r="E53" s="73"/>
    </row>
    <row r="54">
      <c r="B54" s="15"/>
      <c r="D54" s="76" t="str">
        <f>IFERROR(__xludf.DUMMYFUNCTION("SPLIT(C54,"","")"),"#VALUE!")</f>
        <v>#VALUE!</v>
      </c>
      <c r="E54" s="73"/>
    </row>
    <row r="55">
      <c r="B55" s="15"/>
      <c r="D55" s="76" t="str">
        <f>IFERROR(__xludf.DUMMYFUNCTION("SPLIT(C55,"","")"),"#VALUE!")</f>
        <v>#VALUE!</v>
      </c>
      <c r="E55" s="73"/>
    </row>
    <row r="56">
      <c r="B56" s="15"/>
      <c r="D56" s="76" t="str">
        <f>IFERROR(__xludf.DUMMYFUNCTION("SPLIT(C56,"","")"),"#VALUE!")</f>
        <v>#VALUE!</v>
      </c>
      <c r="E56" s="73"/>
    </row>
    <row r="57">
      <c r="B57" s="15"/>
      <c r="D57" s="76" t="str">
        <f>IFERROR(__xludf.DUMMYFUNCTION("SPLIT(C57,"","")"),"#VALUE!")</f>
        <v>#VALUE!</v>
      </c>
      <c r="E57" s="73"/>
    </row>
    <row r="58">
      <c r="B58" s="15"/>
      <c r="D58" s="76" t="str">
        <f>IFERROR(__xludf.DUMMYFUNCTION("SPLIT(C58,"","")"),"#VALUE!")</f>
        <v>#VALUE!</v>
      </c>
      <c r="E58" s="73"/>
    </row>
    <row r="59">
      <c r="B59" s="15"/>
      <c r="D59" s="76" t="str">
        <f>IFERROR(__xludf.DUMMYFUNCTION("SPLIT(C59,"","")"),"#VALUE!")</f>
        <v>#VALUE!</v>
      </c>
      <c r="E59" s="73"/>
    </row>
    <row r="60">
      <c r="B60" s="15"/>
      <c r="D60" s="76" t="str">
        <f>IFERROR(__xludf.DUMMYFUNCTION("SPLIT(C60,"","")"),"#VALUE!")</f>
        <v>#VALUE!</v>
      </c>
      <c r="E60" s="73"/>
    </row>
    <row r="61">
      <c r="B61" s="15"/>
      <c r="D61" s="76" t="str">
        <f>IFERROR(__xludf.DUMMYFUNCTION("SPLIT(C61,"","")"),"#VALUE!")</f>
        <v>#VALUE!</v>
      </c>
      <c r="E61" s="73"/>
    </row>
    <row r="62">
      <c r="B62" s="15"/>
      <c r="D62" s="76" t="str">
        <f>IFERROR(__xludf.DUMMYFUNCTION("SPLIT(C62,"","")"),"#VALUE!")</f>
        <v>#VALUE!</v>
      </c>
      <c r="E62" s="73"/>
    </row>
    <row r="63">
      <c r="B63" s="15"/>
      <c r="D63" s="76" t="str">
        <f>IFERROR(__xludf.DUMMYFUNCTION("SPLIT(C63,"","")"),"#VALUE!")</f>
        <v>#VALUE!</v>
      </c>
      <c r="E63" s="73"/>
    </row>
    <row r="64">
      <c r="B64" s="15"/>
      <c r="D64" s="76" t="str">
        <f>IFERROR(__xludf.DUMMYFUNCTION("SPLIT(C64,"","")"),"#VALUE!")</f>
        <v>#VALUE!</v>
      </c>
      <c r="E64" s="73"/>
    </row>
    <row r="65">
      <c r="B65" s="15"/>
      <c r="D65" s="73"/>
      <c r="E65" s="73"/>
    </row>
    <row r="66">
      <c r="B66" s="15"/>
      <c r="D66" s="73"/>
      <c r="E66" s="73"/>
    </row>
    <row r="67">
      <c r="B67" s="15"/>
      <c r="D67" s="73"/>
      <c r="E67" s="73"/>
    </row>
    <row r="68">
      <c r="B68" s="15"/>
      <c r="D68" s="73"/>
      <c r="E68" s="73"/>
    </row>
    <row r="69">
      <c r="B69" s="15"/>
      <c r="D69" s="73"/>
      <c r="E69" s="73"/>
    </row>
    <row r="70">
      <c r="B70" s="15"/>
      <c r="D70" s="73"/>
      <c r="E70" s="73"/>
    </row>
    <row r="71">
      <c r="B71" s="15"/>
      <c r="D71" s="73"/>
      <c r="E71" s="73"/>
    </row>
    <row r="72">
      <c r="B72" s="15"/>
      <c r="D72" s="73"/>
      <c r="E72" s="73"/>
    </row>
    <row r="73">
      <c r="B73" s="15"/>
      <c r="D73" s="73"/>
      <c r="E73" s="73"/>
    </row>
    <row r="74">
      <c r="B74" s="15"/>
      <c r="D74" s="73"/>
      <c r="E74" s="73"/>
    </row>
    <row r="75">
      <c r="B75" s="15"/>
      <c r="D75" s="73"/>
      <c r="E75" s="73"/>
    </row>
    <row r="76">
      <c r="B76" s="15"/>
      <c r="D76" s="73"/>
      <c r="E76" s="73"/>
    </row>
    <row r="77">
      <c r="B77" s="15"/>
      <c r="D77" s="73"/>
      <c r="E77" s="73"/>
    </row>
    <row r="78">
      <c r="B78" s="15"/>
      <c r="D78" s="73"/>
      <c r="E78" s="73"/>
    </row>
    <row r="79">
      <c r="B79" s="15"/>
      <c r="D79" s="73"/>
      <c r="E79" s="73"/>
    </row>
    <row r="80">
      <c r="B80" s="15"/>
      <c r="D80" s="73"/>
      <c r="E80" s="73"/>
    </row>
    <row r="81">
      <c r="B81" s="15"/>
      <c r="D81" s="73"/>
      <c r="E81" s="73"/>
    </row>
    <row r="82">
      <c r="B82" s="15"/>
      <c r="D82" s="73"/>
      <c r="E82" s="73"/>
    </row>
    <row r="83">
      <c r="B83" s="15"/>
      <c r="D83" s="73"/>
      <c r="E83" s="73"/>
    </row>
    <row r="84">
      <c r="B84" s="15"/>
      <c r="D84" s="73"/>
      <c r="E84" s="73"/>
    </row>
    <row r="85">
      <c r="B85" s="15"/>
      <c r="D85" s="73"/>
      <c r="E85" s="73"/>
    </row>
    <row r="86">
      <c r="B86" s="15"/>
      <c r="D86" s="73"/>
      <c r="E86" s="73"/>
    </row>
    <row r="87">
      <c r="B87" s="15"/>
      <c r="D87" s="73"/>
      <c r="E87" s="73"/>
    </row>
    <row r="88">
      <c r="B88" s="15"/>
      <c r="D88" s="73"/>
      <c r="E88" s="73"/>
    </row>
    <row r="89">
      <c r="B89" s="15"/>
      <c r="D89" s="73"/>
      <c r="E89" s="73"/>
    </row>
    <row r="90">
      <c r="B90" s="15"/>
      <c r="D90" s="73"/>
      <c r="E90" s="73"/>
    </row>
    <row r="91">
      <c r="B91" s="15"/>
      <c r="D91" s="73"/>
      <c r="E91" s="73"/>
    </row>
    <row r="92">
      <c r="B92" s="15"/>
      <c r="D92" s="73"/>
      <c r="E92" s="73"/>
    </row>
    <row r="93">
      <c r="B93" s="15"/>
      <c r="D93" s="73"/>
      <c r="E93" s="73"/>
    </row>
    <row r="94">
      <c r="B94" s="15"/>
      <c r="D94" s="73"/>
      <c r="E94" s="73"/>
    </row>
    <row r="95">
      <c r="B95" s="15"/>
      <c r="D95" s="73"/>
      <c r="E95" s="73"/>
    </row>
    <row r="96">
      <c r="B96" s="15"/>
      <c r="D96" s="73"/>
      <c r="E96" s="73"/>
    </row>
    <row r="97">
      <c r="B97" s="15"/>
      <c r="D97" s="73"/>
      <c r="E97" s="73"/>
    </row>
    <row r="98">
      <c r="B98" s="15"/>
      <c r="D98" s="73"/>
      <c r="E98" s="73"/>
    </row>
    <row r="99">
      <c r="B99" s="15"/>
      <c r="D99" s="73"/>
      <c r="E99" s="73"/>
    </row>
    <row r="100">
      <c r="B100" s="15"/>
      <c r="D100" s="73"/>
      <c r="E100" s="73"/>
    </row>
    <row r="101">
      <c r="B101" s="15"/>
      <c r="D101" s="73"/>
      <c r="E101" s="73"/>
    </row>
    <row r="102">
      <c r="B102" s="15"/>
      <c r="D102" s="73"/>
      <c r="E102" s="73"/>
    </row>
    <row r="103">
      <c r="B103" s="15"/>
      <c r="D103" s="73"/>
      <c r="E103" s="73"/>
    </row>
    <row r="104">
      <c r="B104" s="15"/>
      <c r="D104" s="73"/>
      <c r="E104" s="73"/>
    </row>
    <row r="105">
      <c r="B105" s="15"/>
      <c r="D105" s="73"/>
      <c r="E105" s="73"/>
    </row>
    <row r="106">
      <c r="B106" s="15"/>
      <c r="D106" s="73"/>
      <c r="E106" s="73"/>
    </row>
    <row r="107">
      <c r="B107" s="15"/>
      <c r="D107" s="73"/>
      <c r="E107" s="73"/>
    </row>
    <row r="108">
      <c r="B108" s="15"/>
      <c r="D108" s="73"/>
      <c r="E108" s="73"/>
    </row>
    <row r="109">
      <c r="B109" s="15"/>
      <c r="D109" s="73"/>
      <c r="E109" s="73"/>
    </row>
    <row r="110">
      <c r="B110" s="15"/>
      <c r="D110" s="73"/>
      <c r="E110" s="73"/>
    </row>
    <row r="111">
      <c r="B111" s="15"/>
      <c r="D111" s="73"/>
      <c r="E111" s="73"/>
    </row>
    <row r="112">
      <c r="B112" s="15"/>
      <c r="D112" s="73"/>
      <c r="E112" s="73"/>
    </row>
    <row r="113">
      <c r="B113" s="15"/>
      <c r="D113" s="73"/>
      <c r="E113" s="73"/>
    </row>
    <row r="114">
      <c r="B114" s="15"/>
      <c r="D114" s="73"/>
      <c r="E114" s="73"/>
    </row>
    <row r="115">
      <c r="B115" s="15"/>
      <c r="D115" s="73"/>
      <c r="E115" s="73"/>
    </row>
    <row r="116">
      <c r="B116" s="15"/>
      <c r="D116" s="73"/>
      <c r="E116" s="73"/>
    </row>
    <row r="117">
      <c r="B117" s="15"/>
      <c r="D117" s="73"/>
      <c r="E117" s="73"/>
    </row>
    <row r="118">
      <c r="B118" s="15"/>
      <c r="D118" s="73"/>
      <c r="E118" s="73"/>
    </row>
    <row r="119">
      <c r="B119" s="15"/>
      <c r="D119" s="73"/>
      <c r="E119" s="73"/>
    </row>
    <row r="120">
      <c r="B120" s="15"/>
      <c r="D120" s="73"/>
      <c r="E120" s="73"/>
    </row>
    <row r="121">
      <c r="B121" s="15"/>
      <c r="D121" s="73"/>
      <c r="E121" s="73"/>
    </row>
    <row r="122">
      <c r="B122" s="15"/>
      <c r="D122" s="73"/>
      <c r="E122" s="73"/>
    </row>
    <row r="123">
      <c r="B123" s="15"/>
      <c r="D123" s="73"/>
      <c r="E123" s="73"/>
    </row>
    <row r="124">
      <c r="B124" s="15"/>
      <c r="D124" s="73"/>
      <c r="E124" s="73"/>
    </row>
    <row r="125">
      <c r="B125" s="15"/>
      <c r="D125" s="73"/>
      <c r="E125" s="73"/>
    </row>
    <row r="126">
      <c r="B126" s="15"/>
      <c r="D126" s="73"/>
      <c r="E126" s="73"/>
    </row>
    <row r="127">
      <c r="B127" s="15"/>
      <c r="D127" s="73"/>
      <c r="E127" s="73"/>
    </row>
    <row r="128">
      <c r="B128" s="15"/>
      <c r="D128" s="73"/>
      <c r="E128" s="73"/>
    </row>
    <row r="129">
      <c r="B129" s="15"/>
      <c r="D129" s="73"/>
      <c r="E129" s="73"/>
    </row>
    <row r="130">
      <c r="B130" s="15"/>
      <c r="D130" s="73"/>
      <c r="E130" s="73"/>
    </row>
    <row r="131">
      <c r="B131" s="15"/>
      <c r="D131" s="73"/>
      <c r="E131" s="73"/>
    </row>
    <row r="132">
      <c r="B132" s="15"/>
      <c r="D132" s="73"/>
      <c r="E132" s="73"/>
    </row>
    <row r="133">
      <c r="B133" s="15"/>
      <c r="D133" s="73"/>
      <c r="E133" s="73"/>
    </row>
    <row r="134">
      <c r="B134" s="15"/>
      <c r="D134" s="73"/>
      <c r="E134" s="73"/>
    </row>
    <row r="135">
      <c r="B135" s="15"/>
      <c r="D135" s="73"/>
      <c r="E135" s="73"/>
    </row>
    <row r="136">
      <c r="B136" s="15"/>
      <c r="D136" s="73"/>
      <c r="E136" s="73"/>
    </row>
    <row r="137">
      <c r="B137" s="15"/>
      <c r="D137" s="73"/>
      <c r="E137" s="73"/>
    </row>
    <row r="138">
      <c r="B138" s="15"/>
      <c r="D138" s="73"/>
      <c r="E138" s="73"/>
    </row>
    <row r="139">
      <c r="B139" s="15"/>
      <c r="D139" s="73"/>
      <c r="E139" s="73"/>
    </row>
    <row r="140">
      <c r="B140" s="15"/>
      <c r="D140" s="73"/>
      <c r="E140" s="73"/>
    </row>
    <row r="141">
      <c r="B141" s="15"/>
      <c r="D141" s="73"/>
      <c r="E141" s="73"/>
    </row>
    <row r="142">
      <c r="B142" s="15"/>
      <c r="D142" s="73"/>
      <c r="E142" s="73"/>
    </row>
    <row r="143">
      <c r="B143" s="15"/>
      <c r="D143" s="73"/>
      <c r="E143" s="73"/>
    </row>
    <row r="144">
      <c r="B144" s="15"/>
      <c r="D144" s="73"/>
      <c r="E144" s="73"/>
    </row>
    <row r="145">
      <c r="B145" s="15"/>
      <c r="D145" s="73"/>
      <c r="E145" s="73"/>
    </row>
    <row r="146">
      <c r="B146" s="15"/>
      <c r="D146" s="73"/>
      <c r="E146" s="73"/>
    </row>
    <row r="147">
      <c r="B147" s="15"/>
      <c r="D147" s="73"/>
      <c r="E147" s="73"/>
    </row>
    <row r="148">
      <c r="B148" s="15"/>
      <c r="D148" s="73"/>
      <c r="E148" s="73"/>
    </row>
    <row r="149">
      <c r="B149" s="15"/>
      <c r="D149" s="73"/>
      <c r="E149" s="73"/>
    </row>
    <row r="150">
      <c r="B150" s="15"/>
      <c r="D150" s="73"/>
      <c r="E150" s="73"/>
    </row>
    <row r="151">
      <c r="B151" s="15"/>
      <c r="D151" s="73"/>
      <c r="E151" s="73"/>
    </row>
    <row r="152">
      <c r="B152" s="15"/>
      <c r="D152" s="73"/>
      <c r="E152" s="73"/>
    </row>
    <row r="153">
      <c r="B153" s="15"/>
      <c r="D153" s="73"/>
      <c r="E153" s="73"/>
    </row>
    <row r="154">
      <c r="B154" s="15"/>
      <c r="D154" s="73"/>
      <c r="E154" s="73"/>
    </row>
    <row r="155">
      <c r="B155" s="15"/>
      <c r="D155" s="73"/>
      <c r="E155" s="73"/>
    </row>
    <row r="156">
      <c r="B156" s="15"/>
      <c r="D156" s="73"/>
      <c r="E156" s="73"/>
    </row>
    <row r="157">
      <c r="B157" s="15"/>
      <c r="D157" s="73"/>
      <c r="E157" s="73"/>
    </row>
    <row r="158">
      <c r="B158" s="15"/>
      <c r="D158" s="73"/>
      <c r="E158" s="73"/>
    </row>
    <row r="159">
      <c r="B159" s="15"/>
      <c r="D159" s="73"/>
      <c r="E159" s="73"/>
    </row>
    <row r="160">
      <c r="B160" s="15"/>
      <c r="D160" s="73"/>
      <c r="E160" s="73"/>
    </row>
    <row r="161">
      <c r="B161" s="15"/>
      <c r="D161" s="73"/>
      <c r="E161" s="73"/>
    </row>
    <row r="162">
      <c r="B162" s="15"/>
      <c r="D162" s="73"/>
      <c r="E162" s="73"/>
    </row>
    <row r="163">
      <c r="B163" s="15"/>
      <c r="D163" s="73"/>
      <c r="E163" s="73"/>
    </row>
    <row r="164">
      <c r="B164" s="15"/>
      <c r="D164" s="73"/>
      <c r="E164" s="73"/>
    </row>
    <row r="165">
      <c r="B165" s="15"/>
      <c r="D165" s="73"/>
      <c r="E165" s="73"/>
    </row>
    <row r="166">
      <c r="B166" s="15"/>
      <c r="D166" s="73"/>
      <c r="E166" s="73"/>
    </row>
    <row r="167">
      <c r="B167" s="15"/>
      <c r="D167" s="73"/>
      <c r="E167" s="73"/>
    </row>
    <row r="168">
      <c r="B168" s="15"/>
      <c r="D168" s="73"/>
      <c r="E168" s="73"/>
    </row>
    <row r="169">
      <c r="B169" s="15"/>
      <c r="D169" s="73"/>
      <c r="E169" s="73"/>
    </row>
    <row r="170">
      <c r="B170" s="15"/>
      <c r="D170" s="73"/>
      <c r="E170" s="73"/>
    </row>
    <row r="171">
      <c r="B171" s="15"/>
      <c r="D171" s="73"/>
      <c r="E171" s="73"/>
    </row>
    <row r="172">
      <c r="B172" s="15"/>
      <c r="D172" s="73"/>
      <c r="E172" s="73"/>
    </row>
    <row r="173">
      <c r="B173" s="15"/>
      <c r="D173" s="73"/>
      <c r="E173" s="73"/>
    </row>
    <row r="174">
      <c r="B174" s="15"/>
      <c r="D174" s="73"/>
      <c r="E174" s="73"/>
    </row>
    <row r="175">
      <c r="B175" s="15"/>
      <c r="D175" s="73"/>
      <c r="E175" s="73"/>
    </row>
    <row r="176">
      <c r="B176" s="15"/>
      <c r="D176" s="73"/>
      <c r="E176" s="73"/>
    </row>
    <row r="177">
      <c r="B177" s="15"/>
      <c r="D177" s="73"/>
      <c r="E177" s="73"/>
    </row>
    <row r="178">
      <c r="B178" s="15"/>
      <c r="D178" s="73"/>
      <c r="E178" s="73"/>
    </row>
    <row r="179">
      <c r="B179" s="15"/>
      <c r="D179" s="73"/>
      <c r="E179" s="73"/>
    </row>
    <row r="180">
      <c r="B180" s="15"/>
      <c r="D180" s="73"/>
      <c r="E180" s="73"/>
    </row>
    <row r="181">
      <c r="B181" s="15"/>
      <c r="D181" s="73"/>
      <c r="E181" s="73"/>
    </row>
    <row r="182">
      <c r="B182" s="15"/>
      <c r="D182" s="73"/>
      <c r="E182" s="73"/>
    </row>
    <row r="183">
      <c r="B183" s="15"/>
      <c r="D183" s="73"/>
      <c r="E183" s="73"/>
    </row>
    <row r="184">
      <c r="B184" s="15"/>
      <c r="D184" s="73"/>
      <c r="E184" s="73"/>
    </row>
    <row r="185">
      <c r="B185" s="15"/>
      <c r="D185" s="73"/>
      <c r="E185" s="73"/>
    </row>
    <row r="186">
      <c r="B186" s="15"/>
      <c r="D186" s="73"/>
      <c r="E186" s="73"/>
    </row>
    <row r="187">
      <c r="B187" s="15"/>
      <c r="D187" s="73"/>
      <c r="E187" s="73"/>
    </row>
    <row r="188">
      <c r="B188" s="15"/>
      <c r="D188" s="73"/>
      <c r="E188" s="73"/>
    </row>
    <row r="189">
      <c r="B189" s="15"/>
      <c r="D189" s="73"/>
      <c r="E189" s="73"/>
    </row>
    <row r="190">
      <c r="B190" s="15"/>
      <c r="D190" s="73"/>
      <c r="E190" s="73"/>
    </row>
    <row r="191">
      <c r="B191" s="15"/>
      <c r="D191" s="73"/>
      <c r="E191" s="73"/>
    </row>
    <row r="192">
      <c r="B192" s="15"/>
      <c r="D192" s="73"/>
      <c r="E192" s="73"/>
    </row>
    <row r="193">
      <c r="B193" s="15"/>
      <c r="D193" s="73"/>
      <c r="E193" s="73"/>
    </row>
    <row r="194">
      <c r="B194" s="15"/>
      <c r="D194" s="73"/>
      <c r="E194" s="73"/>
    </row>
    <row r="195">
      <c r="B195" s="15"/>
      <c r="D195" s="73"/>
      <c r="E195" s="73"/>
    </row>
    <row r="196">
      <c r="B196" s="15"/>
      <c r="D196" s="73"/>
      <c r="E196" s="73"/>
    </row>
    <row r="197">
      <c r="B197" s="15"/>
      <c r="D197" s="73"/>
      <c r="E197" s="73"/>
    </row>
    <row r="198">
      <c r="B198" s="15"/>
      <c r="D198" s="73"/>
      <c r="E198" s="73"/>
    </row>
    <row r="199">
      <c r="D199" s="73"/>
      <c r="E199" s="73"/>
    </row>
    <row r="200">
      <c r="D200" s="73"/>
      <c r="E200" s="73"/>
    </row>
    <row r="201">
      <c r="D201" s="73"/>
      <c r="E201" s="73"/>
    </row>
    <row r="202">
      <c r="D202" s="73"/>
      <c r="E202" s="73"/>
    </row>
    <row r="203">
      <c r="D203" s="73"/>
      <c r="E203" s="73"/>
    </row>
    <row r="204">
      <c r="D204" s="73"/>
      <c r="E204" s="73"/>
    </row>
    <row r="205">
      <c r="D205" s="73"/>
      <c r="E205" s="73"/>
    </row>
    <row r="206">
      <c r="D206" s="73"/>
      <c r="E206" s="73"/>
    </row>
    <row r="207">
      <c r="D207" s="73"/>
      <c r="E207" s="73"/>
    </row>
    <row r="208">
      <c r="D208" s="73"/>
      <c r="E208" s="73"/>
    </row>
    <row r="209">
      <c r="D209" s="73"/>
      <c r="E209" s="73"/>
    </row>
    <row r="210">
      <c r="D210" s="73"/>
      <c r="E210" s="73"/>
    </row>
    <row r="211">
      <c r="D211" s="73"/>
      <c r="E211" s="73"/>
    </row>
    <row r="212">
      <c r="D212" s="73"/>
      <c r="E212" s="73"/>
    </row>
    <row r="213">
      <c r="D213" s="73"/>
      <c r="E213" s="73"/>
    </row>
    <row r="214">
      <c r="D214" s="73"/>
      <c r="E214" s="73"/>
    </row>
    <row r="215">
      <c r="D215" s="73"/>
      <c r="E215" s="73"/>
    </row>
    <row r="216">
      <c r="D216" s="73"/>
      <c r="E216" s="73"/>
    </row>
    <row r="217">
      <c r="D217" s="73"/>
      <c r="E217" s="73"/>
    </row>
    <row r="218">
      <c r="D218" s="73"/>
      <c r="E218" s="73"/>
    </row>
    <row r="219">
      <c r="D219" s="73"/>
      <c r="E219" s="73"/>
    </row>
    <row r="220">
      <c r="D220" s="73"/>
      <c r="E220" s="73"/>
    </row>
    <row r="221">
      <c r="D221" s="73"/>
      <c r="E221" s="73"/>
    </row>
    <row r="222">
      <c r="D222" s="73"/>
      <c r="E222" s="73"/>
    </row>
    <row r="223">
      <c r="D223" s="73"/>
      <c r="E223" s="73"/>
    </row>
    <row r="224">
      <c r="D224" s="73"/>
      <c r="E224" s="73"/>
    </row>
    <row r="225">
      <c r="D225" s="73"/>
      <c r="E225" s="73"/>
    </row>
    <row r="226">
      <c r="D226" s="73"/>
      <c r="E226" s="73"/>
    </row>
    <row r="227">
      <c r="D227" s="73"/>
      <c r="E227" s="73"/>
    </row>
    <row r="228">
      <c r="D228" s="73"/>
      <c r="E228" s="73"/>
    </row>
    <row r="229">
      <c r="D229" s="73"/>
      <c r="E229" s="73"/>
    </row>
    <row r="230">
      <c r="D230" s="73"/>
      <c r="E230" s="73"/>
    </row>
    <row r="231">
      <c r="D231" s="73"/>
      <c r="E231" s="73"/>
    </row>
    <row r="232">
      <c r="D232" s="73"/>
      <c r="E232" s="73"/>
    </row>
    <row r="233">
      <c r="D233" s="73"/>
      <c r="E233" s="73"/>
    </row>
    <row r="234">
      <c r="D234" s="73"/>
      <c r="E234" s="73"/>
    </row>
    <row r="235">
      <c r="D235" s="73"/>
      <c r="E235" s="73"/>
    </row>
    <row r="236">
      <c r="D236" s="73"/>
      <c r="E236" s="73"/>
    </row>
    <row r="237">
      <c r="D237" s="73"/>
      <c r="E237" s="73"/>
    </row>
    <row r="238">
      <c r="D238" s="73"/>
      <c r="E238" s="73"/>
    </row>
    <row r="239">
      <c r="D239" s="73"/>
      <c r="E239" s="73"/>
    </row>
    <row r="240">
      <c r="D240" s="73"/>
      <c r="E240" s="73"/>
    </row>
    <row r="241">
      <c r="D241" s="73"/>
      <c r="E241" s="73"/>
    </row>
    <row r="242">
      <c r="D242" s="73"/>
      <c r="E242" s="73"/>
    </row>
    <row r="243">
      <c r="D243" s="73"/>
      <c r="E243" s="73"/>
    </row>
    <row r="244">
      <c r="D244" s="73"/>
      <c r="E244" s="73"/>
    </row>
    <row r="245">
      <c r="D245" s="73"/>
      <c r="E245" s="73"/>
    </row>
    <row r="246">
      <c r="D246" s="73"/>
      <c r="E246" s="73"/>
    </row>
    <row r="247">
      <c r="D247" s="73"/>
      <c r="E247" s="73"/>
    </row>
    <row r="248">
      <c r="D248" s="73"/>
      <c r="E248" s="73"/>
    </row>
    <row r="249">
      <c r="D249" s="73"/>
      <c r="E249" s="73"/>
    </row>
    <row r="250">
      <c r="D250" s="73"/>
      <c r="E250" s="73"/>
    </row>
    <row r="251">
      <c r="D251" s="73"/>
      <c r="E251" s="73"/>
    </row>
    <row r="252">
      <c r="D252" s="73"/>
      <c r="E252" s="73"/>
    </row>
    <row r="253">
      <c r="D253" s="73"/>
      <c r="E253" s="73"/>
    </row>
    <row r="254">
      <c r="D254" s="73"/>
      <c r="E254" s="73"/>
    </row>
    <row r="255">
      <c r="D255" s="73"/>
      <c r="E255" s="73"/>
    </row>
    <row r="256">
      <c r="D256" s="73"/>
      <c r="E256" s="73"/>
    </row>
    <row r="257">
      <c r="D257" s="73"/>
      <c r="E257" s="73"/>
    </row>
    <row r="258">
      <c r="D258" s="73"/>
      <c r="E258" s="73"/>
    </row>
    <row r="259">
      <c r="D259" s="73"/>
      <c r="E259" s="73"/>
    </row>
    <row r="260">
      <c r="D260" s="73"/>
      <c r="E260" s="73"/>
    </row>
    <row r="261">
      <c r="D261" s="73"/>
      <c r="E261" s="73"/>
    </row>
    <row r="262">
      <c r="D262" s="73"/>
      <c r="E262" s="73"/>
    </row>
    <row r="263">
      <c r="D263" s="73"/>
      <c r="E263" s="73"/>
    </row>
    <row r="264">
      <c r="D264" s="73"/>
      <c r="E264" s="73"/>
    </row>
    <row r="265">
      <c r="D265" s="73"/>
      <c r="E265" s="73"/>
    </row>
    <row r="266">
      <c r="D266" s="73"/>
      <c r="E266" s="73"/>
    </row>
    <row r="267">
      <c r="D267" s="73"/>
      <c r="E267" s="73"/>
    </row>
    <row r="268">
      <c r="D268" s="73"/>
      <c r="E268" s="73"/>
    </row>
    <row r="269">
      <c r="D269" s="73"/>
      <c r="E269" s="73"/>
    </row>
    <row r="270">
      <c r="D270" s="73"/>
      <c r="E270" s="73"/>
    </row>
    <row r="271">
      <c r="D271" s="73"/>
      <c r="E271" s="73"/>
    </row>
    <row r="272">
      <c r="D272" s="73"/>
      <c r="E272" s="73"/>
    </row>
    <row r="273">
      <c r="D273" s="73"/>
      <c r="E273" s="73"/>
    </row>
    <row r="274">
      <c r="D274" s="73"/>
      <c r="E274" s="73"/>
    </row>
    <row r="275">
      <c r="D275" s="73"/>
      <c r="E275" s="73"/>
    </row>
    <row r="276">
      <c r="D276" s="73"/>
      <c r="E276" s="73"/>
    </row>
    <row r="277">
      <c r="D277" s="73"/>
      <c r="E277" s="73"/>
    </row>
    <row r="278">
      <c r="D278" s="73"/>
      <c r="E278" s="73"/>
    </row>
    <row r="279">
      <c r="D279" s="73"/>
      <c r="E279" s="73"/>
    </row>
    <row r="280">
      <c r="D280" s="73"/>
      <c r="E280" s="73"/>
    </row>
    <row r="281">
      <c r="D281" s="73"/>
      <c r="E281" s="73"/>
    </row>
    <row r="282">
      <c r="D282" s="73"/>
      <c r="E282" s="73"/>
    </row>
    <row r="283">
      <c r="D283" s="73"/>
      <c r="E283" s="73"/>
    </row>
    <row r="284">
      <c r="D284" s="73"/>
      <c r="E284" s="73"/>
    </row>
    <row r="285">
      <c r="D285" s="73"/>
      <c r="E285" s="73"/>
    </row>
    <row r="286">
      <c r="D286" s="73"/>
      <c r="E286" s="73"/>
    </row>
    <row r="287">
      <c r="D287" s="73"/>
      <c r="E287" s="73"/>
    </row>
    <row r="288">
      <c r="D288" s="73"/>
      <c r="E288" s="73"/>
    </row>
    <row r="289">
      <c r="D289" s="73"/>
      <c r="E289" s="73"/>
    </row>
    <row r="290">
      <c r="D290" s="73"/>
      <c r="E290" s="73"/>
    </row>
    <row r="291">
      <c r="D291" s="73"/>
      <c r="E291" s="73"/>
    </row>
    <row r="292">
      <c r="D292" s="73"/>
      <c r="E292" s="73"/>
    </row>
    <row r="293">
      <c r="D293" s="73"/>
      <c r="E293" s="73"/>
    </row>
    <row r="294">
      <c r="D294" s="73"/>
      <c r="E294" s="73"/>
    </row>
    <row r="295">
      <c r="D295" s="73"/>
      <c r="E295" s="73"/>
    </row>
    <row r="296">
      <c r="D296" s="73"/>
      <c r="E296" s="73"/>
    </row>
    <row r="297">
      <c r="D297" s="73"/>
      <c r="E297" s="73"/>
    </row>
    <row r="298">
      <c r="D298" s="73"/>
      <c r="E298" s="73"/>
    </row>
    <row r="299">
      <c r="D299" s="73"/>
      <c r="E299" s="73"/>
    </row>
    <row r="300">
      <c r="D300" s="73"/>
      <c r="E300" s="73"/>
    </row>
    <row r="301">
      <c r="D301" s="73"/>
      <c r="E301" s="73"/>
    </row>
    <row r="302">
      <c r="D302" s="73"/>
      <c r="E302" s="73"/>
    </row>
    <row r="303">
      <c r="D303" s="73"/>
      <c r="E303" s="73"/>
    </row>
    <row r="304">
      <c r="D304" s="73"/>
      <c r="E304" s="73"/>
    </row>
    <row r="305">
      <c r="D305" s="73"/>
      <c r="E305" s="73"/>
    </row>
    <row r="306">
      <c r="D306" s="73"/>
      <c r="E306" s="73"/>
    </row>
    <row r="307">
      <c r="D307" s="73"/>
      <c r="E307" s="73"/>
    </row>
    <row r="308">
      <c r="D308" s="73"/>
      <c r="E308" s="73"/>
    </row>
    <row r="309">
      <c r="D309" s="73"/>
      <c r="E309" s="73"/>
    </row>
    <row r="310">
      <c r="D310" s="73"/>
      <c r="E310" s="73"/>
    </row>
    <row r="311">
      <c r="D311" s="73"/>
      <c r="E311" s="73"/>
    </row>
    <row r="312">
      <c r="D312" s="73"/>
      <c r="E312" s="73"/>
    </row>
    <row r="313">
      <c r="D313" s="73"/>
      <c r="E313" s="73"/>
    </row>
    <row r="314">
      <c r="D314" s="73"/>
      <c r="E314" s="73"/>
    </row>
    <row r="315">
      <c r="D315" s="73"/>
      <c r="E315" s="73"/>
    </row>
    <row r="316">
      <c r="D316" s="73"/>
      <c r="E316" s="73"/>
    </row>
    <row r="317">
      <c r="D317" s="73"/>
      <c r="E317" s="73"/>
    </row>
    <row r="318">
      <c r="D318" s="73"/>
      <c r="E318" s="73"/>
    </row>
    <row r="319">
      <c r="D319" s="73"/>
      <c r="E319" s="73"/>
    </row>
    <row r="320">
      <c r="D320" s="73"/>
      <c r="E320" s="73"/>
    </row>
    <row r="321">
      <c r="D321" s="73"/>
      <c r="E321" s="73"/>
    </row>
    <row r="322">
      <c r="D322" s="73"/>
      <c r="E322" s="73"/>
    </row>
    <row r="323">
      <c r="D323" s="73"/>
      <c r="E323" s="73"/>
    </row>
    <row r="324">
      <c r="D324" s="73"/>
      <c r="E324" s="73"/>
    </row>
    <row r="325">
      <c r="D325" s="73"/>
      <c r="E325" s="73"/>
    </row>
    <row r="326">
      <c r="D326" s="73"/>
      <c r="E326" s="73"/>
    </row>
    <row r="327">
      <c r="D327" s="73"/>
      <c r="E327" s="73"/>
    </row>
    <row r="328">
      <c r="D328" s="73"/>
      <c r="E328" s="73"/>
    </row>
    <row r="329">
      <c r="D329" s="73"/>
      <c r="E329" s="73"/>
    </row>
    <row r="330">
      <c r="D330" s="73"/>
      <c r="E330" s="73"/>
    </row>
    <row r="331">
      <c r="D331" s="73"/>
      <c r="E331" s="73"/>
    </row>
    <row r="332">
      <c r="D332" s="73"/>
      <c r="E332" s="73"/>
    </row>
    <row r="333">
      <c r="D333" s="73"/>
      <c r="E333" s="73"/>
    </row>
    <row r="334">
      <c r="D334" s="73"/>
      <c r="E334" s="73"/>
    </row>
    <row r="335">
      <c r="D335" s="73"/>
      <c r="E335" s="73"/>
    </row>
    <row r="336">
      <c r="D336" s="73"/>
      <c r="E336" s="73"/>
    </row>
    <row r="337">
      <c r="D337" s="73"/>
      <c r="E337" s="73"/>
    </row>
    <row r="338">
      <c r="D338" s="73"/>
      <c r="E338" s="73"/>
    </row>
    <row r="339">
      <c r="D339" s="73"/>
      <c r="E339" s="73"/>
    </row>
    <row r="340">
      <c r="D340" s="73"/>
      <c r="E340" s="73"/>
    </row>
    <row r="341">
      <c r="D341" s="73"/>
      <c r="E341" s="73"/>
    </row>
    <row r="342">
      <c r="D342" s="73"/>
      <c r="E342" s="73"/>
    </row>
    <row r="343">
      <c r="D343" s="73"/>
      <c r="E343" s="73"/>
    </row>
    <row r="344">
      <c r="D344" s="73"/>
      <c r="E344" s="73"/>
    </row>
    <row r="345">
      <c r="D345" s="73"/>
      <c r="E345" s="73"/>
    </row>
    <row r="346">
      <c r="D346" s="73"/>
      <c r="E346" s="73"/>
    </row>
    <row r="347">
      <c r="D347" s="73"/>
      <c r="E347" s="73"/>
    </row>
    <row r="348">
      <c r="D348" s="73"/>
      <c r="E348" s="73"/>
    </row>
    <row r="349">
      <c r="D349" s="73"/>
      <c r="E349" s="73"/>
    </row>
    <row r="350">
      <c r="D350" s="73"/>
      <c r="E350" s="73"/>
    </row>
    <row r="351">
      <c r="D351" s="73"/>
      <c r="E351" s="73"/>
    </row>
    <row r="352">
      <c r="D352" s="73"/>
      <c r="E352" s="73"/>
    </row>
    <row r="353">
      <c r="D353" s="73"/>
      <c r="E353" s="73"/>
    </row>
    <row r="354">
      <c r="D354" s="73"/>
      <c r="E354" s="73"/>
    </row>
    <row r="355">
      <c r="D355" s="73"/>
      <c r="E355" s="73"/>
    </row>
    <row r="356">
      <c r="D356" s="73"/>
      <c r="E356" s="73"/>
    </row>
    <row r="357">
      <c r="D357" s="73"/>
      <c r="E357" s="73"/>
    </row>
    <row r="358">
      <c r="D358" s="73"/>
      <c r="E358" s="73"/>
    </row>
    <row r="359">
      <c r="D359" s="73"/>
      <c r="E359" s="73"/>
    </row>
    <row r="360">
      <c r="D360" s="73"/>
      <c r="E360" s="73"/>
    </row>
    <row r="361">
      <c r="D361" s="73"/>
      <c r="E361" s="73"/>
    </row>
    <row r="362">
      <c r="D362" s="73"/>
      <c r="E362" s="73"/>
    </row>
    <row r="363">
      <c r="D363" s="73"/>
      <c r="E363" s="73"/>
    </row>
    <row r="364">
      <c r="D364" s="73"/>
      <c r="E364" s="73"/>
    </row>
    <row r="365">
      <c r="D365" s="73"/>
      <c r="E365" s="73"/>
    </row>
    <row r="366">
      <c r="D366" s="73"/>
      <c r="E366" s="73"/>
    </row>
    <row r="367">
      <c r="D367" s="73"/>
      <c r="E367" s="73"/>
    </row>
    <row r="368">
      <c r="D368" s="73"/>
      <c r="E368" s="73"/>
    </row>
    <row r="369">
      <c r="D369" s="73"/>
      <c r="E369" s="73"/>
    </row>
    <row r="370">
      <c r="D370" s="73"/>
      <c r="E370" s="73"/>
    </row>
    <row r="371">
      <c r="D371" s="73"/>
      <c r="E371" s="73"/>
    </row>
    <row r="372">
      <c r="D372" s="73"/>
      <c r="E372" s="73"/>
    </row>
    <row r="373">
      <c r="D373" s="73"/>
      <c r="E373" s="73"/>
    </row>
    <row r="374">
      <c r="D374" s="73"/>
      <c r="E374" s="73"/>
    </row>
    <row r="375">
      <c r="D375" s="73"/>
      <c r="E375" s="73"/>
    </row>
    <row r="376">
      <c r="D376" s="73"/>
      <c r="E376" s="73"/>
    </row>
    <row r="377">
      <c r="D377" s="73"/>
      <c r="E377" s="73"/>
    </row>
    <row r="378">
      <c r="D378" s="73"/>
      <c r="E378" s="73"/>
    </row>
    <row r="379">
      <c r="D379" s="73"/>
      <c r="E379" s="73"/>
    </row>
    <row r="380">
      <c r="D380" s="73"/>
      <c r="E380" s="73"/>
    </row>
    <row r="381">
      <c r="D381" s="73"/>
      <c r="E381" s="73"/>
    </row>
    <row r="382">
      <c r="D382" s="73"/>
      <c r="E382" s="73"/>
    </row>
    <row r="383">
      <c r="D383" s="73"/>
      <c r="E383" s="73"/>
    </row>
    <row r="384">
      <c r="D384" s="73"/>
      <c r="E384" s="73"/>
    </row>
    <row r="385">
      <c r="D385" s="73"/>
      <c r="E385" s="73"/>
    </row>
    <row r="386">
      <c r="D386" s="73"/>
      <c r="E386" s="73"/>
    </row>
    <row r="387">
      <c r="D387" s="73"/>
      <c r="E387" s="73"/>
    </row>
    <row r="388">
      <c r="D388" s="73"/>
      <c r="E388" s="73"/>
    </row>
    <row r="389">
      <c r="D389" s="73"/>
      <c r="E389" s="73"/>
    </row>
    <row r="390">
      <c r="D390" s="73"/>
      <c r="E390" s="73"/>
    </row>
    <row r="391">
      <c r="D391" s="73"/>
      <c r="E391" s="73"/>
    </row>
    <row r="392">
      <c r="D392" s="73"/>
      <c r="E392" s="73"/>
    </row>
    <row r="393">
      <c r="D393" s="73"/>
      <c r="E393" s="73"/>
    </row>
    <row r="394">
      <c r="D394" s="73"/>
      <c r="E394" s="73"/>
    </row>
    <row r="395">
      <c r="D395" s="73"/>
      <c r="E395" s="73"/>
    </row>
    <row r="396">
      <c r="D396" s="73"/>
      <c r="E396" s="73"/>
    </row>
    <row r="397">
      <c r="D397" s="73"/>
      <c r="E397" s="73"/>
    </row>
    <row r="398">
      <c r="D398" s="73"/>
      <c r="E398" s="73"/>
    </row>
    <row r="399">
      <c r="D399" s="73"/>
      <c r="E399" s="73"/>
    </row>
    <row r="400">
      <c r="D400" s="73"/>
      <c r="E400" s="73"/>
    </row>
    <row r="401">
      <c r="D401" s="73"/>
      <c r="E401" s="73"/>
    </row>
    <row r="402">
      <c r="D402" s="73"/>
      <c r="E402" s="73"/>
    </row>
    <row r="403">
      <c r="D403" s="73"/>
      <c r="E403" s="73"/>
    </row>
    <row r="404">
      <c r="D404" s="73"/>
      <c r="E404" s="73"/>
    </row>
    <row r="405">
      <c r="D405" s="73"/>
      <c r="E405" s="73"/>
    </row>
    <row r="406">
      <c r="D406" s="73"/>
      <c r="E406" s="73"/>
    </row>
    <row r="407">
      <c r="D407" s="73"/>
      <c r="E407" s="73"/>
    </row>
    <row r="408">
      <c r="D408" s="73"/>
      <c r="E408" s="73"/>
    </row>
    <row r="409">
      <c r="D409" s="73"/>
      <c r="E409" s="73"/>
    </row>
    <row r="410">
      <c r="D410" s="73"/>
      <c r="E410" s="73"/>
    </row>
    <row r="411">
      <c r="D411" s="73"/>
      <c r="E411" s="73"/>
    </row>
    <row r="412">
      <c r="D412" s="73"/>
      <c r="E412" s="73"/>
    </row>
    <row r="413">
      <c r="D413" s="73"/>
      <c r="E413" s="73"/>
    </row>
    <row r="414">
      <c r="D414" s="73"/>
      <c r="E414" s="73"/>
    </row>
    <row r="415">
      <c r="D415" s="73"/>
      <c r="E415" s="73"/>
    </row>
    <row r="416">
      <c r="D416" s="73"/>
      <c r="E416" s="73"/>
    </row>
    <row r="417">
      <c r="D417" s="73"/>
      <c r="E417" s="73"/>
    </row>
    <row r="418">
      <c r="D418" s="73"/>
      <c r="E418" s="73"/>
    </row>
    <row r="419">
      <c r="D419" s="73"/>
      <c r="E419" s="73"/>
    </row>
    <row r="420">
      <c r="D420" s="73"/>
      <c r="E420" s="73"/>
    </row>
    <row r="421">
      <c r="D421" s="73"/>
      <c r="E421" s="73"/>
    </row>
    <row r="422">
      <c r="D422" s="73"/>
      <c r="E422" s="73"/>
    </row>
    <row r="423">
      <c r="D423" s="73"/>
      <c r="E423" s="73"/>
    </row>
    <row r="424">
      <c r="D424" s="73"/>
      <c r="E424" s="73"/>
    </row>
    <row r="425">
      <c r="D425" s="73"/>
      <c r="E425" s="73"/>
    </row>
    <row r="426">
      <c r="D426" s="73"/>
      <c r="E426" s="73"/>
    </row>
    <row r="427">
      <c r="D427" s="73"/>
      <c r="E427" s="73"/>
    </row>
    <row r="428">
      <c r="D428" s="73"/>
      <c r="E428" s="73"/>
    </row>
    <row r="429">
      <c r="D429" s="73"/>
      <c r="E429" s="73"/>
    </row>
    <row r="430">
      <c r="D430" s="73"/>
      <c r="E430" s="73"/>
    </row>
    <row r="431">
      <c r="D431" s="73"/>
      <c r="E431" s="73"/>
    </row>
    <row r="432">
      <c r="D432" s="73"/>
      <c r="E432" s="73"/>
    </row>
    <row r="433">
      <c r="D433" s="73"/>
      <c r="E433" s="73"/>
    </row>
    <row r="434">
      <c r="D434" s="73"/>
      <c r="E434" s="73"/>
    </row>
    <row r="435">
      <c r="D435" s="73"/>
      <c r="E435" s="73"/>
    </row>
    <row r="436">
      <c r="D436" s="73"/>
      <c r="E436" s="73"/>
    </row>
    <row r="437">
      <c r="D437" s="73"/>
      <c r="E437" s="73"/>
    </row>
    <row r="438">
      <c r="D438" s="73"/>
      <c r="E438" s="73"/>
    </row>
    <row r="439">
      <c r="D439" s="73"/>
      <c r="E439" s="73"/>
    </row>
    <row r="440">
      <c r="D440" s="73"/>
      <c r="E440" s="73"/>
    </row>
    <row r="441">
      <c r="D441" s="73"/>
      <c r="E441" s="73"/>
    </row>
    <row r="442">
      <c r="D442" s="73"/>
      <c r="E442" s="73"/>
    </row>
    <row r="443">
      <c r="D443" s="73"/>
      <c r="E443" s="73"/>
    </row>
    <row r="444">
      <c r="D444" s="73"/>
      <c r="E444" s="73"/>
    </row>
    <row r="445">
      <c r="D445" s="73"/>
      <c r="E445" s="73"/>
    </row>
    <row r="446">
      <c r="D446" s="73"/>
      <c r="E446" s="73"/>
    </row>
    <row r="447">
      <c r="D447" s="73"/>
      <c r="E447" s="73"/>
    </row>
    <row r="448">
      <c r="D448" s="73"/>
      <c r="E448" s="73"/>
    </row>
    <row r="449">
      <c r="D449" s="73"/>
      <c r="E449" s="73"/>
    </row>
    <row r="450">
      <c r="D450" s="73"/>
      <c r="E450" s="73"/>
    </row>
    <row r="451">
      <c r="D451" s="73"/>
      <c r="E451" s="73"/>
    </row>
    <row r="452">
      <c r="D452" s="73"/>
      <c r="E452" s="73"/>
    </row>
    <row r="453">
      <c r="D453" s="73"/>
      <c r="E453" s="73"/>
    </row>
    <row r="454">
      <c r="D454" s="73"/>
      <c r="E454" s="73"/>
    </row>
    <row r="455">
      <c r="D455" s="73"/>
      <c r="E455" s="73"/>
    </row>
    <row r="456">
      <c r="D456" s="73"/>
      <c r="E456" s="73"/>
    </row>
    <row r="457">
      <c r="D457" s="73"/>
      <c r="E457" s="73"/>
    </row>
    <row r="458">
      <c r="D458" s="73"/>
      <c r="E458" s="73"/>
    </row>
    <row r="459">
      <c r="D459" s="73"/>
      <c r="E459" s="73"/>
    </row>
    <row r="460">
      <c r="D460" s="73"/>
      <c r="E460" s="73"/>
    </row>
    <row r="461">
      <c r="D461" s="73"/>
      <c r="E461" s="73"/>
    </row>
    <row r="462">
      <c r="D462" s="73"/>
      <c r="E462" s="73"/>
    </row>
    <row r="463">
      <c r="D463" s="73"/>
      <c r="E463" s="73"/>
    </row>
    <row r="464">
      <c r="D464" s="73"/>
      <c r="E464" s="73"/>
    </row>
    <row r="465">
      <c r="D465" s="73"/>
      <c r="E465" s="73"/>
    </row>
    <row r="466">
      <c r="D466" s="73"/>
      <c r="E466" s="73"/>
    </row>
    <row r="467">
      <c r="D467" s="73"/>
      <c r="E467" s="73"/>
    </row>
    <row r="468">
      <c r="D468" s="73"/>
      <c r="E468" s="73"/>
    </row>
    <row r="469">
      <c r="D469" s="73"/>
      <c r="E469" s="73"/>
    </row>
    <row r="470">
      <c r="D470" s="73"/>
      <c r="E470" s="73"/>
    </row>
    <row r="471">
      <c r="D471" s="73"/>
      <c r="E471" s="73"/>
    </row>
    <row r="472">
      <c r="D472" s="73"/>
      <c r="E472" s="73"/>
    </row>
    <row r="473">
      <c r="D473" s="73"/>
      <c r="E473" s="73"/>
    </row>
    <row r="474">
      <c r="D474" s="73"/>
      <c r="E474" s="73"/>
    </row>
    <row r="475">
      <c r="D475" s="73"/>
      <c r="E475" s="73"/>
    </row>
    <row r="476">
      <c r="D476" s="73"/>
      <c r="E476" s="73"/>
    </row>
    <row r="477">
      <c r="D477" s="73"/>
      <c r="E477" s="73"/>
    </row>
    <row r="478">
      <c r="D478" s="73"/>
      <c r="E478" s="73"/>
    </row>
    <row r="479">
      <c r="D479" s="73"/>
      <c r="E479" s="73"/>
    </row>
    <row r="480">
      <c r="D480" s="73"/>
      <c r="E480" s="73"/>
    </row>
    <row r="481">
      <c r="D481" s="73"/>
      <c r="E481" s="73"/>
    </row>
    <row r="482">
      <c r="D482" s="73"/>
      <c r="E482" s="73"/>
    </row>
    <row r="483">
      <c r="D483" s="73"/>
      <c r="E483" s="73"/>
    </row>
    <row r="484">
      <c r="D484" s="73"/>
      <c r="E484" s="73"/>
    </row>
    <row r="485">
      <c r="D485" s="73"/>
      <c r="E485" s="73"/>
    </row>
    <row r="486">
      <c r="D486" s="73"/>
      <c r="E486" s="73"/>
    </row>
    <row r="487">
      <c r="D487" s="73"/>
      <c r="E487" s="73"/>
    </row>
    <row r="488">
      <c r="D488" s="73"/>
      <c r="E488" s="73"/>
    </row>
    <row r="489">
      <c r="D489" s="73"/>
      <c r="E489" s="73"/>
    </row>
    <row r="490">
      <c r="D490" s="73"/>
      <c r="E490" s="73"/>
    </row>
    <row r="491">
      <c r="D491" s="73"/>
      <c r="E491" s="73"/>
    </row>
    <row r="492">
      <c r="D492" s="73"/>
      <c r="E492" s="73"/>
    </row>
    <row r="493">
      <c r="D493" s="73"/>
      <c r="E493" s="73"/>
    </row>
    <row r="494">
      <c r="D494" s="73"/>
      <c r="E494" s="73"/>
    </row>
    <row r="495">
      <c r="D495" s="73"/>
      <c r="E495" s="73"/>
    </row>
    <row r="496">
      <c r="D496" s="73"/>
      <c r="E496" s="73"/>
    </row>
    <row r="497">
      <c r="D497" s="73"/>
      <c r="E497" s="73"/>
    </row>
    <row r="498">
      <c r="D498" s="73"/>
      <c r="E498" s="73"/>
    </row>
    <row r="499">
      <c r="D499" s="73"/>
      <c r="E499" s="73"/>
    </row>
    <row r="500">
      <c r="D500" s="73"/>
      <c r="E500" s="73"/>
    </row>
    <row r="501">
      <c r="D501" s="73"/>
      <c r="E501" s="73"/>
    </row>
    <row r="502">
      <c r="D502" s="73"/>
      <c r="E502" s="73"/>
    </row>
    <row r="503">
      <c r="D503" s="73"/>
      <c r="E503" s="73"/>
    </row>
    <row r="504">
      <c r="D504" s="73"/>
      <c r="E504" s="73"/>
    </row>
    <row r="505">
      <c r="D505" s="73"/>
      <c r="E505" s="73"/>
    </row>
    <row r="506">
      <c r="D506" s="73"/>
      <c r="E506" s="73"/>
    </row>
    <row r="507">
      <c r="D507" s="73"/>
      <c r="E507" s="73"/>
    </row>
    <row r="508">
      <c r="D508" s="73"/>
      <c r="E508" s="73"/>
    </row>
    <row r="509">
      <c r="D509" s="73"/>
      <c r="E509" s="73"/>
    </row>
    <row r="510">
      <c r="D510" s="73"/>
      <c r="E510" s="73"/>
    </row>
    <row r="511">
      <c r="D511" s="73"/>
      <c r="E511" s="73"/>
    </row>
    <row r="512">
      <c r="D512" s="73"/>
      <c r="E512" s="73"/>
    </row>
    <row r="513">
      <c r="D513" s="73"/>
      <c r="E513" s="73"/>
    </row>
    <row r="514">
      <c r="D514" s="73"/>
      <c r="E514" s="73"/>
    </row>
    <row r="515">
      <c r="D515" s="73"/>
      <c r="E515" s="73"/>
    </row>
    <row r="516">
      <c r="D516" s="73"/>
      <c r="E516" s="73"/>
    </row>
    <row r="517">
      <c r="D517" s="73"/>
      <c r="E517" s="73"/>
    </row>
    <row r="518">
      <c r="D518" s="73"/>
      <c r="E518" s="73"/>
    </row>
    <row r="519">
      <c r="D519" s="73"/>
      <c r="E519" s="73"/>
    </row>
    <row r="520">
      <c r="D520" s="73"/>
      <c r="E520" s="73"/>
    </row>
    <row r="521">
      <c r="D521" s="73"/>
      <c r="E521" s="73"/>
    </row>
    <row r="522">
      <c r="D522" s="73"/>
      <c r="E522" s="73"/>
    </row>
    <row r="523">
      <c r="D523" s="73"/>
      <c r="E523" s="73"/>
    </row>
    <row r="524">
      <c r="D524" s="73"/>
      <c r="E524" s="73"/>
    </row>
    <row r="525">
      <c r="D525" s="73"/>
      <c r="E525" s="73"/>
    </row>
    <row r="526">
      <c r="D526" s="73"/>
      <c r="E526" s="73"/>
    </row>
    <row r="527">
      <c r="D527" s="73"/>
      <c r="E527" s="73"/>
    </row>
    <row r="528">
      <c r="D528" s="73"/>
      <c r="E528" s="73"/>
    </row>
    <row r="529">
      <c r="D529" s="73"/>
      <c r="E529" s="73"/>
    </row>
    <row r="530">
      <c r="D530" s="73"/>
      <c r="E530" s="73"/>
    </row>
    <row r="531">
      <c r="D531" s="73"/>
      <c r="E531" s="73"/>
    </row>
    <row r="532">
      <c r="D532" s="73"/>
      <c r="E532" s="73"/>
    </row>
    <row r="533">
      <c r="D533" s="73"/>
      <c r="E533" s="73"/>
    </row>
    <row r="534">
      <c r="D534" s="73"/>
      <c r="E534" s="73"/>
    </row>
    <row r="535">
      <c r="D535" s="73"/>
      <c r="E535" s="73"/>
    </row>
    <row r="536">
      <c r="D536" s="73"/>
      <c r="E536" s="73"/>
    </row>
    <row r="537">
      <c r="D537" s="73"/>
      <c r="E537" s="73"/>
    </row>
    <row r="538">
      <c r="D538" s="73"/>
      <c r="E538" s="73"/>
    </row>
    <row r="539">
      <c r="D539" s="73"/>
      <c r="E539" s="73"/>
    </row>
    <row r="540">
      <c r="D540" s="73"/>
      <c r="E540" s="73"/>
    </row>
    <row r="541">
      <c r="D541" s="73"/>
      <c r="E541" s="73"/>
    </row>
    <row r="542">
      <c r="D542" s="73"/>
      <c r="E542" s="73"/>
    </row>
    <row r="543">
      <c r="D543" s="73"/>
      <c r="E543" s="73"/>
    </row>
    <row r="544">
      <c r="D544" s="73"/>
      <c r="E544" s="73"/>
    </row>
    <row r="545">
      <c r="D545" s="73"/>
      <c r="E545" s="73"/>
    </row>
    <row r="546">
      <c r="D546" s="73"/>
      <c r="E546" s="73"/>
    </row>
    <row r="547">
      <c r="D547" s="73"/>
      <c r="E547" s="73"/>
    </row>
    <row r="548">
      <c r="D548" s="73"/>
      <c r="E548" s="73"/>
    </row>
    <row r="549">
      <c r="D549" s="73"/>
      <c r="E549" s="73"/>
    </row>
    <row r="550">
      <c r="D550" s="73"/>
      <c r="E550" s="73"/>
    </row>
    <row r="551">
      <c r="D551" s="73"/>
      <c r="E551" s="73"/>
    </row>
    <row r="552">
      <c r="D552" s="73"/>
      <c r="E552" s="73"/>
    </row>
    <row r="553">
      <c r="D553" s="73"/>
      <c r="E553" s="73"/>
    </row>
    <row r="554">
      <c r="D554" s="73"/>
      <c r="E554" s="73"/>
    </row>
    <row r="555">
      <c r="D555" s="73"/>
      <c r="E555" s="73"/>
    </row>
    <row r="556">
      <c r="D556" s="73"/>
      <c r="E556" s="73"/>
    </row>
    <row r="557">
      <c r="D557" s="73"/>
      <c r="E557" s="73"/>
    </row>
    <row r="558">
      <c r="D558" s="73"/>
      <c r="E558" s="73"/>
    </row>
    <row r="559">
      <c r="D559" s="73"/>
      <c r="E559" s="73"/>
    </row>
    <row r="560">
      <c r="D560" s="73"/>
      <c r="E560" s="73"/>
    </row>
    <row r="561">
      <c r="D561" s="73"/>
      <c r="E561" s="73"/>
    </row>
    <row r="562">
      <c r="D562" s="73"/>
      <c r="E562" s="73"/>
    </row>
    <row r="563">
      <c r="D563" s="73"/>
      <c r="E563" s="73"/>
    </row>
    <row r="564">
      <c r="D564" s="73"/>
      <c r="E564" s="73"/>
    </row>
    <row r="565">
      <c r="D565" s="73"/>
      <c r="E565" s="73"/>
    </row>
    <row r="566">
      <c r="D566" s="73"/>
      <c r="E566" s="73"/>
    </row>
    <row r="567">
      <c r="D567" s="73"/>
      <c r="E567" s="73"/>
    </row>
    <row r="568">
      <c r="D568" s="73"/>
      <c r="E568" s="73"/>
    </row>
    <row r="569">
      <c r="D569" s="73"/>
      <c r="E569" s="73"/>
    </row>
    <row r="570">
      <c r="D570" s="73"/>
      <c r="E570" s="73"/>
    </row>
    <row r="571">
      <c r="D571" s="73"/>
      <c r="E571" s="73"/>
    </row>
    <row r="572">
      <c r="D572" s="73"/>
      <c r="E572" s="73"/>
    </row>
    <row r="573">
      <c r="D573" s="73"/>
      <c r="E573" s="73"/>
    </row>
    <row r="574">
      <c r="D574" s="73"/>
      <c r="E574" s="73"/>
    </row>
    <row r="575">
      <c r="D575" s="73"/>
      <c r="E575" s="73"/>
    </row>
    <row r="576">
      <c r="D576" s="73"/>
      <c r="E576" s="73"/>
    </row>
    <row r="577">
      <c r="D577" s="73"/>
      <c r="E577" s="73"/>
    </row>
    <row r="578">
      <c r="D578" s="73"/>
      <c r="E578" s="73"/>
    </row>
    <row r="579">
      <c r="D579" s="73"/>
      <c r="E579" s="73"/>
    </row>
    <row r="580">
      <c r="D580" s="73"/>
      <c r="E580" s="73"/>
    </row>
    <row r="581">
      <c r="D581" s="73"/>
      <c r="E581" s="73"/>
    </row>
    <row r="582">
      <c r="D582" s="73"/>
      <c r="E582" s="73"/>
    </row>
    <row r="583">
      <c r="D583" s="73"/>
      <c r="E583" s="73"/>
    </row>
    <row r="584">
      <c r="D584" s="73"/>
      <c r="E584" s="73"/>
    </row>
    <row r="585">
      <c r="D585" s="73"/>
      <c r="E585" s="73"/>
    </row>
    <row r="586">
      <c r="D586" s="73"/>
      <c r="E586" s="73"/>
    </row>
    <row r="587">
      <c r="D587" s="73"/>
      <c r="E587" s="73"/>
    </row>
    <row r="588">
      <c r="D588" s="73"/>
      <c r="E588" s="73"/>
    </row>
    <row r="589">
      <c r="D589" s="73"/>
      <c r="E589" s="73"/>
    </row>
    <row r="590">
      <c r="D590" s="73"/>
      <c r="E590" s="73"/>
    </row>
    <row r="591">
      <c r="D591" s="73"/>
      <c r="E591" s="73"/>
    </row>
    <row r="592">
      <c r="D592" s="73"/>
      <c r="E592" s="73"/>
    </row>
    <row r="593">
      <c r="D593" s="73"/>
      <c r="E593" s="73"/>
    </row>
    <row r="594">
      <c r="D594" s="73"/>
      <c r="E594" s="73"/>
    </row>
    <row r="595">
      <c r="D595" s="73"/>
      <c r="E595" s="73"/>
    </row>
    <row r="596">
      <c r="D596" s="73"/>
      <c r="E596" s="73"/>
    </row>
    <row r="597">
      <c r="D597" s="73"/>
      <c r="E597" s="73"/>
    </row>
    <row r="598">
      <c r="D598" s="73"/>
      <c r="E598" s="73"/>
    </row>
    <row r="599">
      <c r="D599" s="73"/>
      <c r="E599" s="73"/>
    </row>
    <row r="600">
      <c r="D600" s="73"/>
      <c r="E600" s="73"/>
    </row>
    <row r="601">
      <c r="D601" s="73"/>
      <c r="E601" s="73"/>
    </row>
    <row r="602">
      <c r="D602" s="73"/>
      <c r="E602" s="73"/>
    </row>
    <row r="603">
      <c r="D603" s="73"/>
      <c r="E603" s="73"/>
    </row>
    <row r="604">
      <c r="D604" s="73"/>
      <c r="E604" s="73"/>
    </row>
    <row r="605">
      <c r="D605" s="73"/>
      <c r="E605" s="73"/>
    </row>
    <row r="606">
      <c r="D606" s="73"/>
      <c r="E606" s="73"/>
    </row>
    <row r="607">
      <c r="D607" s="73"/>
      <c r="E607" s="73"/>
    </row>
    <row r="608">
      <c r="D608" s="73"/>
      <c r="E608" s="73"/>
    </row>
    <row r="609">
      <c r="D609" s="73"/>
      <c r="E609" s="73"/>
    </row>
    <row r="610">
      <c r="D610" s="73"/>
      <c r="E610" s="73"/>
    </row>
    <row r="611">
      <c r="D611" s="73"/>
      <c r="E611" s="73"/>
    </row>
    <row r="612">
      <c r="D612" s="73"/>
      <c r="E612" s="73"/>
    </row>
    <row r="613">
      <c r="D613" s="73"/>
      <c r="E613" s="73"/>
    </row>
    <row r="614">
      <c r="D614" s="73"/>
      <c r="E614" s="73"/>
    </row>
    <row r="615">
      <c r="D615" s="73"/>
      <c r="E615" s="73"/>
    </row>
    <row r="616">
      <c r="D616" s="73"/>
      <c r="E616" s="73"/>
    </row>
    <row r="617">
      <c r="D617" s="73"/>
      <c r="E617" s="73"/>
    </row>
    <row r="618">
      <c r="D618" s="73"/>
      <c r="E618" s="73"/>
    </row>
    <row r="619">
      <c r="D619" s="73"/>
      <c r="E619" s="73"/>
    </row>
    <row r="620">
      <c r="D620" s="73"/>
      <c r="E620" s="73"/>
    </row>
    <row r="621">
      <c r="D621" s="73"/>
      <c r="E621" s="73"/>
    </row>
    <row r="622">
      <c r="D622" s="73"/>
      <c r="E622" s="73"/>
    </row>
    <row r="623">
      <c r="D623" s="73"/>
      <c r="E623" s="73"/>
    </row>
    <row r="624">
      <c r="D624" s="73"/>
      <c r="E624" s="73"/>
    </row>
    <row r="625">
      <c r="D625" s="73"/>
      <c r="E625" s="73"/>
    </row>
    <row r="626">
      <c r="D626" s="73"/>
      <c r="E626" s="73"/>
    </row>
    <row r="627">
      <c r="D627" s="73"/>
      <c r="E627" s="73"/>
    </row>
    <row r="628">
      <c r="D628" s="73"/>
      <c r="E628" s="73"/>
    </row>
    <row r="629">
      <c r="D629" s="73"/>
      <c r="E629" s="73"/>
    </row>
    <row r="630">
      <c r="D630" s="73"/>
      <c r="E630" s="73"/>
    </row>
    <row r="631">
      <c r="D631" s="73"/>
      <c r="E631" s="73"/>
    </row>
    <row r="632">
      <c r="D632" s="73"/>
      <c r="E632" s="73"/>
    </row>
    <row r="633">
      <c r="D633" s="73"/>
      <c r="E633" s="73"/>
    </row>
    <row r="634">
      <c r="D634" s="73"/>
      <c r="E634" s="73"/>
    </row>
    <row r="635">
      <c r="D635" s="73"/>
      <c r="E635" s="73"/>
    </row>
    <row r="636">
      <c r="D636" s="73"/>
      <c r="E636" s="73"/>
    </row>
    <row r="637">
      <c r="D637" s="73"/>
      <c r="E637" s="73"/>
    </row>
    <row r="638">
      <c r="D638" s="73"/>
      <c r="E638" s="73"/>
    </row>
    <row r="639">
      <c r="D639" s="73"/>
      <c r="E639" s="73"/>
    </row>
    <row r="640">
      <c r="D640" s="73"/>
      <c r="E640" s="73"/>
    </row>
    <row r="641">
      <c r="D641" s="73"/>
      <c r="E641" s="73"/>
    </row>
    <row r="642">
      <c r="D642" s="73"/>
      <c r="E642" s="73"/>
    </row>
    <row r="643">
      <c r="D643" s="73"/>
      <c r="E643" s="73"/>
    </row>
    <row r="644">
      <c r="D644" s="73"/>
      <c r="E644" s="73"/>
    </row>
    <row r="645">
      <c r="D645" s="73"/>
      <c r="E645" s="73"/>
    </row>
    <row r="646">
      <c r="D646" s="73"/>
      <c r="E646" s="73"/>
    </row>
    <row r="647">
      <c r="D647" s="73"/>
      <c r="E647" s="73"/>
    </row>
    <row r="648">
      <c r="D648" s="73"/>
      <c r="E648" s="73"/>
    </row>
    <row r="649">
      <c r="D649" s="73"/>
      <c r="E649" s="73"/>
    </row>
    <row r="650">
      <c r="D650" s="73"/>
      <c r="E650" s="73"/>
    </row>
    <row r="651">
      <c r="D651" s="73"/>
      <c r="E651" s="73"/>
    </row>
    <row r="652">
      <c r="D652" s="73"/>
      <c r="E652" s="73"/>
    </row>
    <row r="653">
      <c r="D653" s="73"/>
      <c r="E653" s="73"/>
    </row>
    <row r="654">
      <c r="D654" s="73"/>
      <c r="E654" s="73"/>
    </row>
    <row r="655">
      <c r="D655" s="73"/>
      <c r="E655" s="73"/>
    </row>
    <row r="656">
      <c r="D656" s="73"/>
      <c r="E656" s="73"/>
    </row>
    <row r="657">
      <c r="D657" s="73"/>
      <c r="E657" s="73"/>
    </row>
    <row r="658">
      <c r="D658" s="73"/>
      <c r="E658" s="73"/>
    </row>
    <row r="659">
      <c r="D659" s="73"/>
      <c r="E659" s="73"/>
    </row>
    <row r="660">
      <c r="D660" s="73"/>
      <c r="E660" s="73"/>
    </row>
    <row r="661">
      <c r="D661" s="73"/>
      <c r="E661" s="73"/>
    </row>
    <row r="662">
      <c r="D662" s="73"/>
      <c r="E662" s="73"/>
    </row>
    <row r="663">
      <c r="D663" s="73"/>
      <c r="E663" s="73"/>
    </row>
    <row r="664">
      <c r="D664" s="73"/>
      <c r="E664" s="73"/>
    </row>
    <row r="665">
      <c r="D665" s="73"/>
      <c r="E665" s="73"/>
    </row>
    <row r="666">
      <c r="D666" s="73"/>
      <c r="E666" s="73"/>
    </row>
    <row r="667">
      <c r="D667" s="73"/>
      <c r="E667" s="73"/>
    </row>
    <row r="668">
      <c r="D668" s="73"/>
      <c r="E668" s="73"/>
    </row>
    <row r="669">
      <c r="D669" s="73"/>
      <c r="E669" s="73"/>
    </row>
    <row r="670">
      <c r="D670" s="73"/>
      <c r="E670" s="73"/>
    </row>
    <row r="671">
      <c r="D671" s="73"/>
      <c r="E671" s="73"/>
    </row>
    <row r="672">
      <c r="D672" s="73"/>
      <c r="E672" s="73"/>
    </row>
    <row r="673">
      <c r="D673" s="73"/>
      <c r="E673" s="73"/>
    </row>
    <row r="674">
      <c r="D674" s="73"/>
      <c r="E674" s="73"/>
    </row>
    <row r="675">
      <c r="D675" s="73"/>
      <c r="E675" s="73"/>
    </row>
    <row r="676">
      <c r="D676" s="73"/>
      <c r="E676" s="73"/>
    </row>
    <row r="677">
      <c r="D677" s="73"/>
      <c r="E677" s="73"/>
    </row>
    <row r="678">
      <c r="D678" s="73"/>
      <c r="E678" s="73"/>
    </row>
    <row r="679">
      <c r="D679" s="73"/>
      <c r="E679" s="73"/>
    </row>
    <row r="680">
      <c r="D680" s="73"/>
      <c r="E680" s="73"/>
    </row>
    <row r="681">
      <c r="D681" s="73"/>
      <c r="E681" s="73"/>
    </row>
    <row r="682">
      <c r="D682" s="73"/>
      <c r="E682" s="73"/>
    </row>
    <row r="683">
      <c r="D683" s="73"/>
      <c r="E683" s="73"/>
    </row>
    <row r="684">
      <c r="D684" s="73"/>
      <c r="E684" s="73"/>
    </row>
    <row r="685">
      <c r="D685" s="73"/>
      <c r="E685" s="73"/>
    </row>
    <row r="686">
      <c r="D686" s="73"/>
      <c r="E686" s="73"/>
    </row>
    <row r="687">
      <c r="D687" s="73"/>
      <c r="E687" s="73"/>
    </row>
    <row r="688">
      <c r="D688" s="73"/>
      <c r="E688" s="73"/>
    </row>
    <row r="689">
      <c r="D689" s="73"/>
      <c r="E689" s="73"/>
    </row>
    <row r="690">
      <c r="D690" s="73"/>
      <c r="E690" s="73"/>
    </row>
    <row r="691">
      <c r="D691" s="73"/>
      <c r="E691" s="73"/>
    </row>
    <row r="692">
      <c r="D692" s="73"/>
      <c r="E692" s="73"/>
    </row>
    <row r="693">
      <c r="D693" s="73"/>
      <c r="E693" s="73"/>
    </row>
    <row r="694">
      <c r="D694" s="73"/>
      <c r="E694" s="73"/>
    </row>
    <row r="695">
      <c r="D695" s="73"/>
      <c r="E695" s="73"/>
    </row>
    <row r="696">
      <c r="D696" s="73"/>
      <c r="E696" s="73"/>
    </row>
    <row r="697">
      <c r="D697" s="73"/>
      <c r="E697" s="73"/>
    </row>
    <row r="698">
      <c r="D698" s="73"/>
      <c r="E698" s="73"/>
    </row>
    <row r="699">
      <c r="D699" s="73"/>
      <c r="E699" s="73"/>
    </row>
    <row r="700">
      <c r="D700" s="73"/>
      <c r="E700" s="73"/>
    </row>
    <row r="701">
      <c r="D701" s="73"/>
      <c r="E701" s="73"/>
    </row>
    <row r="702">
      <c r="D702" s="73"/>
      <c r="E702" s="73"/>
    </row>
    <row r="703">
      <c r="D703" s="73"/>
      <c r="E703" s="73"/>
    </row>
    <row r="704">
      <c r="D704" s="73"/>
      <c r="E704" s="73"/>
    </row>
    <row r="705">
      <c r="D705" s="73"/>
      <c r="E705" s="73"/>
    </row>
    <row r="706">
      <c r="D706" s="73"/>
      <c r="E706" s="73"/>
    </row>
    <row r="707">
      <c r="D707" s="73"/>
      <c r="E707" s="73"/>
    </row>
    <row r="708">
      <c r="D708" s="73"/>
      <c r="E708" s="73"/>
    </row>
    <row r="709">
      <c r="D709" s="73"/>
      <c r="E709" s="73"/>
    </row>
    <row r="710">
      <c r="D710" s="73"/>
      <c r="E710" s="73"/>
    </row>
    <row r="711">
      <c r="D711" s="73"/>
      <c r="E711" s="73"/>
    </row>
    <row r="712">
      <c r="D712" s="73"/>
      <c r="E712" s="73"/>
    </row>
    <row r="713">
      <c r="D713" s="73"/>
      <c r="E713" s="73"/>
    </row>
    <row r="714">
      <c r="D714" s="73"/>
      <c r="E714" s="73"/>
    </row>
    <row r="715">
      <c r="D715" s="73"/>
      <c r="E715" s="73"/>
    </row>
    <row r="716">
      <c r="D716" s="73"/>
      <c r="E716" s="73"/>
    </row>
    <row r="717">
      <c r="D717" s="73"/>
      <c r="E717" s="73"/>
    </row>
    <row r="718">
      <c r="D718" s="73"/>
      <c r="E718" s="73"/>
    </row>
    <row r="719">
      <c r="D719" s="73"/>
      <c r="E719" s="73"/>
    </row>
    <row r="720">
      <c r="D720" s="73"/>
      <c r="E720" s="73"/>
    </row>
    <row r="721">
      <c r="D721" s="73"/>
      <c r="E721" s="73"/>
    </row>
    <row r="722">
      <c r="D722" s="73"/>
      <c r="E722" s="73"/>
    </row>
    <row r="723">
      <c r="D723" s="73"/>
      <c r="E723" s="73"/>
    </row>
    <row r="724">
      <c r="D724" s="73"/>
      <c r="E724" s="73"/>
    </row>
    <row r="725">
      <c r="D725" s="73"/>
      <c r="E725" s="73"/>
    </row>
    <row r="726">
      <c r="D726" s="73"/>
      <c r="E726" s="73"/>
    </row>
    <row r="727">
      <c r="D727" s="73"/>
      <c r="E727" s="73"/>
    </row>
    <row r="728">
      <c r="D728" s="73"/>
      <c r="E728" s="73"/>
    </row>
    <row r="729">
      <c r="D729" s="73"/>
      <c r="E729" s="73"/>
    </row>
    <row r="730">
      <c r="D730" s="73"/>
      <c r="E730" s="73"/>
    </row>
    <row r="731">
      <c r="D731" s="73"/>
      <c r="E731" s="73"/>
    </row>
    <row r="732">
      <c r="D732" s="73"/>
      <c r="E732" s="73"/>
    </row>
    <row r="733">
      <c r="D733" s="73"/>
      <c r="E733" s="73"/>
    </row>
    <row r="734">
      <c r="D734" s="73"/>
      <c r="E734" s="73"/>
    </row>
    <row r="735">
      <c r="D735" s="73"/>
      <c r="E735" s="73"/>
    </row>
    <row r="736">
      <c r="D736" s="73"/>
      <c r="E736" s="73"/>
    </row>
    <row r="737">
      <c r="D737" s="73"/>
      <c r="E737" s="73"/>
    </row>
    <row r="738">
      <c r="D738" s="73"/>
      <c r="E738" s="73"/>
    </row>
    <row r="739">
      <c r="D739" s="73"/>
      <c r="E739" s="73"/>
    </row>
    <row r="740">
      <c r="D740" s="73"/>
      <c r="E740" s="73"/>
    </row>
    <row r="741">
      <c r="D741" s="73"/>
      <c r="E741" s="73"/>
    </row>
    <row r="742">
      <c r="D742" s="73"/>
      <c r="E742" s="73"/>
    </row>
    <row r="743">
      <c r="D743" s="73"/>
      <c r="E743" s="73"/>
    </row>
    <row r="744">
      <c r="D744" s="73"/>
      <c r="E744" s="73"/>
    </row>
    <row r="745">
      <c r="D745" s="73"/>
      <c r="E745" s="73"/>
    </row>
    <row r="746">
      <c r="D746" s="73"/>
      <c r="E746" s="73"/>
    </row>
    <row r="747">
      <c r="D747" s="73"/>
      <c r="E747" s="73"/>
    </row>
    <row r="748">
      <c r="D748" s="73"/>
      <c r="E748" s="73"/>
    </row>
    <row r="749">
      <c r="D749" s="73"/>
      <c r="E749" s="73"/>
    </row>
    <row r="750">
      <c r="D750" s="73"/>
      <c r="E750" s="73"/>
    </row>
    <row r="751">
      <c r="D751" s="73"/>
      <c r="E751" s="73"/>
    </row>
    <row r="752">
      <c r="D752" s="73"/>
      <c r="E752" s="73"/>
    </row>
    <row r="753">
      <c r="D753" s="73"/>
      <c r="E753" s="73"/>
    </row>
    <row r="754">
      <c r="D754" s="73"/>
      <c r="E754" s="73"/>
    </row>
    <row r="755">
      <c r="D755" s="73"/>
      <c r="E755" s="73"/>
    </row>
    <row r="756">
      <c r="D756" s="73"/>
      <c r="E756" s="73"/>
    </row>
    <row r="757">
      <c r="D757" s="73"/>
      <c r="E757" s="73"/>
    </row>
    <row r="758">
      <c r="D758" s="73"/>
      <c r="E758" s="73"/>
    </row>
    <row r="759">
      <c r="D759" s="73"/>
      <c r="E759" s="73"/>
    </row>
    <row r="760">
      <c r="D760" s="73"/>
      <c r="E760" s="73"/>
    </row>
    <row r="761">
      <c r="D761" s="73"/>
      <c r="E761" s="73"/>
    </row>
    <row r="762">
      <c r="D762" s="73"/>
      <c r="E762" s="73"/>
    </row>
    <row r="763">
      <c r="D763" s="73"/>
      <c r="E763" s="73"/>
    </row>
    <row r="764">
      <c r="D764" s="73"/>
      <c r="E764" s="73"/>
    </row>
    <row r="765">
      <c r="D765" s="73"/>
      <c r="E765" s="73"/>
    </row>
    <row r="766">
      <c r="D766" s="73"/>
      <c r="E766" s="73"/>
    </row>
    <row r="767">
      <c r="D767" s="73"/>
      <c r="E767" s="73"/>
    </row>
    <row r="768">
      <c r="D768" s="73"/>
      <c r="E768" s="73"/>
    </row>
    <row r="769">
      <c r="D769" s="73"/>
      <c r="E769" s="73"/>
    </row>
    <row r="770">
      <c r="D770" s="73"/>
      <c r="E770" s="73"/>
    </row>
    <row r="771">
      <c r="D771" s="73"/>
      <c r="E771" s="73"/>
    </row>
    <row r="772">
      <c r="D772" s="73"/>
      <c r="E772" s="73"/>
    </row>
    <row r="773">
      <c r="D773" s="73"/>
      <c r="E773" s="73"/>
    </row>
    <row r="774">
      <c r="D774" s="73"/>
      <c r="E774" s="73"/>
    </row>
    <row r="775">
      <c r="D775" s="73"/>
      <c r="E775" s="73"/>
    </row>
    <row r="776">
      <c r="D776" s="73"/>
      <c r="E776" s="73"/>
    </row>
    <row r="777">
      <c r="D777" s="73"/>
      <c r="E777" s="73"/>
    </row>
    <row r="778">
      <c r="D778" s="73"/>
      <c r="E778" s="73"/>
    </row>
    <row r="779">
      <c r="D779" s="73"/>
      <c r="E779" s="73"/>
    </row>
    <row r="780">
      <c r="D780" s="73"/>
      <c r="E780" s="73"/>
    </row>
    <row r="781">
      <c r="D781" s="73"/>
      <c r="E781" s="73"/>
    </row>
    <row r="782">
      <c r="D782" s="73"/>
      <c r="E782" s="73"/>
    </row>
    <row r="783">
      <c r="D783" s="73"/>
      <c r="E783" s="73"/>
    </row>
    <row r="784">
      <c r="D784" s="73"/>
      <c r="E784" s="73"/>
    </row>
    <row r="785">
      <c r="D785" s="73"/>
      <c r="E785" s="73"/>
    </row>
    <row r="786">
      <c r="D786" s="73"/>
      <c r="E786" s="73"/>
    </row>
    <row r="787">
      <c r="D787" s="73"/>
      <c r="E787" s="73"/>
    </row>
    <row r="788">
      <c r="D788" s="73"/>
      <c r="E788" s="73"/>
    </row>
    <row r="789">
      <c r="D789" s="73"/>
      <c r="E789" s="73"/>
    </row>
    <row r="790">
      <c r="D790" s="73"/>
      <c r="E790" s="73"/>
    </row>
    <row r="791">
      <c r="D791" s="73"/>
      <c r="E791" s="73"/>
    </row>
    <row r="792">
      <c r="D792" s="73"/>
      <c r="E792" s="73"/>
    </row>
    <row r="793">
      <c r="D793" s="73"/>
      <c r="E793" s="73"/>
    </row>
    <row r="794">
      <c r="D794" s="73"/>
      <c r="E794" s="73"/>
    </row>
    <row r="795">
      <c r="D795" s="73"/>
      <c r="E795" s="73"/>
    </row>
    <row r="796">
      <c r="D796" s="73"/>
      <c r="E796" s="73"/>
    </row>
    <row r="797">
      <c r="D797" s="73"/>
      <c r="E797" s="73"/>
    </row>
    <row r="798">
      <c r="D798" s="73"/>
      <c r="E798" s="73"/>
    </row>
    <row r="799">
      <c r="D799" s="73"/>
      <c r="E799" s="73"/>
    </row>
    <row r="800">
      <c r="D800" s="73"/>
      <c r="E800" s="73"/>
    </row>
    <row r="801">
      <c r="D801" s="73"/>
      <c r="E801" s="73"/>
    </row>
    <row r="802">
      <c r="D802" s="73"/>
      <c r="E802" s="73"/>
    </row>
    <row r="803">
      <c r="D803" s="73"/>
      <c r="E803" s="73"/>
    </row>
    <row r="804">
      <c r="D804" s="73"/>
      <c r="E804" s="73"/>
    </row>
    <row r="805">
      <c r="D805" s="73"/>
      <c r="E805" s="73"/>
    </row>
    <row r="806">
      <c r="D806" s="73"/>
      <c r="E806" s="73"/>
    </row>
    <row r="807">
      <c r="D807" s="73"/>
      <c r="E807" s="73"/>
    </row>
    <row r="808">
      <c r="D808" s="73"/>
      <c r="E808" s="73"/>
    </row>
    <row r="809">
      <c r="D809" s="73"/>
      <c r="E809" s="73"/>
    </row>
    <row r="810">
      <c r="D810" s="73"/>
      <c r="E810" s="73"/>
    </row>
    <row r="811">
      <c r="D811" s="73"/>
      <c r="E811" s="73"/>
    </row>
    <row r="812">
      <c r="D812" s="73"/>
      <c r="E812" s="73"/>
    </row>
    <row r="813">
      <c r="D813" s="73"/>
      <c r="E813" s="73"/>
    </row>
    <row r="814">
      <c r="D814" s="73"/>
      <c r="E814" s="73"/>
    </row>
    <row r="815">
      <c r="D815" s="73"/>
      <c r="E815" s="73"/>
    </row>
    <row r="816">
      <c r="D816" s="73"/>
      <c r="E816" s="73"/>
    </row>
    <row r="817">
      <c r="D817" s="73"/>
      <c r="E817" s="73"/>
    </row>
    <row r="818">
      <c r="D818" s="73"/>
      <c r="E818" s="73"/>
    </row>
    <row r="819">
      <c r="D819" s="73"/>
      <c r="E819" s="73"/>
    </row>
    <row r="820">
      <c r="D820" s="73"/>
      <c r="E820" s="73"/>
    </row>
    <row r="821">
      <c r="D821" s="73"/>
      <c r="E821" s="73"/>
    </row>
    <row r="822">
      <c r="D822" s="73"/>
      <c r="E822" s="73"/>
    </row>
    <row r="823">
      <c r="D823" s="73"/>
      <c r="E823" s="73"/>
    </row>
    <row r="824">
      <c r="D824" s="73"/>
      <c r="E824" s="73"/>
    </row>
    <row r="825">
      <c r="D825" s="73"/>
      <c r="E825" s="73"/>
    </row>
    <row r="826">
      <c r="D826" s="73"/>
      <c r="E826" s="73"/>
    </row>
    <row r="827">
      <c r="D827" s="73"/>
      <c r="E827" s="73"/>
    </row>
    <row r="828">
      <c r="D828" s="73"/>
      <c r="E828" s="73"/>
    </row>
    <row r="829">
      <c r="D829" s="73"/>
      <c r="E829" s="73"/>
    </row>
    <row r="830">
      <c r="D830" s="73"/>
      <c r="E830" s="73"/>
    </row>
    <row r="831">
      <c r="D831" s="73"/>
      <c r="E831" s="73"/>
    </row>
    <row r="832">
      <c r="D832" s="73"/>
      <c r="E832" s="73"/>
    </row>
    <row r="833">
      <c r="D833" s="73"/>
      <c r="E833" s="73"/>
    </row>
    <row r="834">
      <c r="D834" s="73"/>
      <c r="E834" s="73"/>
    </row>
    <row r="835">
      <c r="D835" s="73"/>
      <c r="E835" s="73"/>
    </row>
    <row r="836">
      <c r="D836" s="73"/>
      <c r="E836" s="73"/>
    </row>
    <row r="837">
      <c r="D837" s="73"/>
      <c r="E837" s="73"/>
    </row>
    <row r="838">
      <c r="D838" s="73"/>
      <c r="E838" s="73"/>
    </row>
    <row r="839">
      <c r="D839" s="73"/>
      <c r="E839" s="73"/>
    </row>
    <row r="840">
      <c r="D840" s="73"/>
      <c r="E840" s="73"/>
    </row>
    <row r="841">
      <c r="D841" s="73"/>
      <c r="E841" s="73"/>
    </row>
    <row r="842">
      <c r="D842" s="73"/>
      <c r="E842" s="73"/>
    </row>
    <row r="843">
      <c r="D843" s="73"/>
      <c r="E843" s="73"/>
    </row>
    <row r="844">
      <c r="D844" s="73"/>
      <c r="E844" s="73"/>
    </row>
    <row r="845">
      <c r="D845" s="73"/>
      <c r="E845" s="73"/>
    </row>
    <row r="846">
      <c r="D846" s="73"/>
      <c r="E846" s="73"/>
    </row>
    <row r="847">
      <c r="D847" s="73"/>
      <c r="E847" s="73"/>
    </row>
    <row r="848">
      <c r="D848" s="73"/>
      <c r="E848" s="73"/>
    </row>
    <row r="849">
      <c r="D849" s="73"/>
      <c r="E849" s="73"/>
    </row>
    <row r="850">
      <c r="D850" s="73"/>
      <c r="E850" s="73"/>
    </row>
    <row r="851">
      <c r="D851" s="73"/>
      <c r="E851" s="73"/>
    </row>
    <row r="852">
      <c r="D852" s="73"/>
      <c r="E852" s="73"/>
    </row>
    <row r="853">
      <c r="D853" s="73"/>
      <c r="E853" s="73"/>
    </row>
    <row r="854">
      <c r="D854" s="73"/>
      <c r="E854" s="73"/>
    </row>
    <row r="855">
      <c r="D855" s="73"/>
      <c r="E855" s="73"/>
    </row>
    <row r="856">
      <c r="D856" s="73"/>
      <c r="E856" s="73"/>
    </row>
    <row r="857">
      <c r="D857" s="73"/>
      <c r="E857" s="73"/>
    </row>
    <row r="858">
      <c r="D858" s="73"/>
      <c r="E858" s="73"/>
    </row>
    <row r="859">
      <c r="D859" s="73"/>
      <c r="E859" s="73"/>
    </row>
    <row r="860">
      <c r="D860" s="73"/>
      <c r="E860" s="73"/>
    </row>
    <row r="861">
      <c r="D861" s="73"/>
      <c r="E861" s="73"/>
    </row>
    <row r="862">
      <c r="D862" s="73"/>
      <c r="E862" s="73"/>
    </row>
    <row r="863">
      <c r="D863" s="73"/>
      <c r="E863" s="73"/>
    </row>
    <row r="864">
      <c r="D864" s="73"/>
      <c r="E864" s="73"/>
    </row>
    <row r="865">
      <c r="D865" s="73"/>
      <c r="E865" s="73"/>
    </row>
    <row r="866">
      <c r="D866" s="73"/>
      <c r="E866" s="73"/>
    </row>
    <row r="867">
      <c r="D867" s="73"/>
      <c r="E867" s="73"/>
    </row>
    <row r="868">
      <c r="D868" s="73"/>
      <c r="E868" s="73"/>
    </row>
    <row r="869">
      <c r="D869" s="73"/>
      <c r="E869" s="73"/>
    </row>
    <row r="870">
      <c r="D870" s="73"/>
      <c r="E870" s="73"/>
    </row>
    <row r="871">
      <c r="D871" s="73"/>
      <c r="E871" s="73"/>
    </row>
    <row r="872">
      <c r="D872" s="73"/>
      <c r="E872" s="73"/>
    </row>
    <row r="873">
      <c r="D873" s="73"/>
      <c r="E873" s="73"/>
    </row>
    <row r="874">
      <c r="D874" s="73"/>
      <c r="E874" s="73"/>
    </row>
    <row r="875">
      <c r="D875" s="73"/>
      <c r="E875" s="73"/>
    </row>
    <row r="876">
      <c r="D876" s="73"/>
      <c r="E876" s="73"/>
    </row>
    <row r="877">
      <c r="D877" s="73"/>
      <c r="E877" s="73"/>
    </row>
    <row r="878">
      <c r="D878" s="73"/>
      <c r="E878" s="73"/>
    </row>
    <row r="879">
      <c r="D879" s="73"/>
      <c r="E879" s="73"/>
    </row>
    <row r="880">
      <c r="D880" s="73"/>
      <c r="E880" s="73"/>
    </row>
    <row r="881">
      <c r="D881" s="73"/>
      <c r="E881" s="73"/>
    </row>
    <row r="882">
      <c r="D882" s="73"/>
      <c r="E882" s="73"/>
    </row>
    <row r="883">
      <c r="D883" s="73"/>
      <c r="E883" s="73"/>
    </row>
    <row r="884">
      <c r="D884" s="73"/>
      <c r="E884" s="73"/>
    </row>
    <row r="885">
      <c r="D885" s="73"/>
      <c r="E885" s="73"/>
    </row>
    <row r="886">
      <c r="D886" s="73"/>
      <c r="E886" s="73"/>
    </row>
    <row r="887">
      <c r="D887" s="73"/>
      <c r="E887" s="73"/>
    </row>
    <row r="888">
      <c r="D888" s="73"/>
      <c r="E888" s="73"/>
    </row>
    <row r="889">
      <c r="D889" s="73"/>
      <c r="E889" s="73"/>
    </row>
    <row r="890">
      <c r="D890" s="73"/>
      <c r="E890" s="73"/>
    </row>
    <row r="891">
      <c r="D891" s="73"/>
      <c r="E891" s="73"/>
    </row>
    <row r="892">
      <c r="D892" s="73"/>
      <c r="E892" s="73"/>
    </row>
    <row r="893">
      <c r="D893" s="73"/>
      <c r="E893" s="73"/>
    </row>
    <row r="894">
      <c r="D894" s="73"/>
      <c r="E894" s="73"/>
    </row>
    <row r="895">
      <c r="D895" s="73"/>
      <c r="E895" s="73"/>
    </row>
    <row r="896">
      <c r="D896" s="73"/>
      <c r="E896" s="73"/>
    </row>
    <row r="897">
      <c r="D897" s="73"/>
      <c r="E897" s="73"/>
    </row>
    <row r="898">
      <c r="D898" s="73"/>
      <c r="E898" s="73"/>
    </row>
    <row r="899">
      <c r="D899" s="73"/>
      <c r="E899" s="73"/>
    </row>
    <row r="900">
      <c r="D900" s="73"/>
      <c r="E900" s="73"/>
    </row>
    <row r="901">
      <c r="D901" s="73"/>
      <c r="E901" s="73"/>
    </row>
    <row r="902">
      <c r="D902" s="73"/>
      <c r="E902" s="73"/>
    </row>
    <row r="903">
      <c r="D903" s="73"/>
      <c r="E903" s="73"/>
    </row>
    <row r="904">
      <c r="D904" s="73"/>
      <c r="E904" s="73"/>
    </row>
    <row r="905">
      <c r="D905" s="73"/>
      <c r="E905" s="73"/>
    </row>
    <row r="906">
      <c r="D906" s="73"/>
      <c r="E906" s="73"/>
    </row>
    <row r="907">
      <c r="D907" s="73"/>
      <c r="E907" s="73"/>
    </row>
    <row r="908">
      <c r="D908" s="73"/>
      <c r="E908" s="73"/>
    </row>
    <row r="909">
      <c r="D909" s="73"/>
      <c r="E909" s="73"/>
    </row>
    <row r="910">
      <c r="D910" s="73"/>
      <c r="E910" s="73"/>
    </row>
    <row r="911">
      <c r="D911" s="73"/>
      <c r="E911" s="73"/>
    </row>
    <row r="912">
      <c r="D912" s="73"/>
      <c r="E912" s="73"/>
    </row>
    <row r="913">
      <c r="D913" s="73"/>
      <c r="E913" s="73"/>
    </row>
    <row r="914">
      <c r="D914" s="73"/>
      <c r="E914" s="73"/>
    </row>
    <row r="915">
      <c r="D915" s="73"/>
      <c r="E915" s="73"/>
    </row>
    <row r="916">
      <c r="D916" s="73"/>
      <c r="E916" s="73"/>
    </row>
    <row r="917">
      <c r="D917" s="73"/>
      <c r="E917" s="73"/>
    </row>
    <row r="918">
      <c r="D918" s="73"/>
      <c r="E918" s="73"/>
    </row>
    <row r="919">
      <c r="D919" s="73"/>
      <c r="E919" s="73"/>
    </row>
    <row r="920">
      <c r="D920" s="73"/>
      <c r="E920" s="73"/>
    </row>
    <row r="921">
      <c r="D921" s="73"/>
      <c r="E921" s="73"/>
    </row>
    <row r="922">
      <c r="D922" s="73"/>
      <c r="E922" s="73"/>
    </row>
    <row r="923">
      <c r="D923" s="73"/>
      <c r="E923" s="73"/>
    </row>
    <row r="924">
      <c r="D924" s="73"/>
      <c r="E924" s="73"/>
    </row>
    <row r="925">
      <c r="D925" s="73"/>
      <c r="E925" s="73"/>
    </row>
    <row r="926">
      <c r="D926" s="73"/>
      <c r="E926" s="73"/>
    </row>
    <row r="927">
      <c r="D927" s="73"/>
      <c r="E927" s="73"/>
    </row>
    <row r="928">
      <c r="D928" s="73"/>
      <c r="E928" s="73"/>
    </row>
    <row r="929">
      <c r="D929" s="73"/>
      <c r="E929" s="73"/>
    </row>
    <row r="930">
      <c r="D930" s="73"/>
      <c r="E930" s="73"/>
    </row>
    <row r="931">
      <c r="D931" s="73"/>
      <c r="E931" s="73"/>
    </row>
    <row r="932">
      <c r="D932" s="73"/>
      <c r="E932" s="73"/>
    </row>
    <row r="933">
      <c r="D933" s="73"/>
      <c r="E933" s="73"/>
    </row>
    <row r="934">
      <c r="D934" s="73"/>
      <c r="E934" s="73"/>
    </row>
    <row r="935">
      <c r="D935" s="73"/>
      <c r="E935" s="73"/>
    </row>
    <row r="936">
      <c r="D936" s="73"/>
      <c r="E936" s="73"/>
    </row>
    <row r="937">
      <c r="D937" s="73"/>
      <c r="E937" s="73"/>
    </row>
    <row r="938">
      <c r="D938" s="73"/>
      <c r="E938" s="73"/>
    </row>
    <row r="939">
      <c r="D939" s="73"/>
      <c r="E939" s="73"/>
    </row>
    <row r="940">
      <c r="D940" s="73"/>
      <c r="E940" s="73"/>
    </row>
    <row r="941">
      <c r="D941" s="73"/>
      <c r="E941" s="73"/>
    </row>
    <row r="942">
      <c r="D942" s="73"/>
      <c r="E942" s="73"/>
    </row>
    <row r="943">
      <c r="D943" s="73"/>
      <c r="E943" s="73"/>
    </row>
    <row r="944">
      <c r="D944" s="73"/>
      <c r="E944" s="73"/>
    </row>
    <row r="945">
      <c r="D945" s="73"/>
      <c r="E945" s="73"/>
    </row>
    <row r="946">
      <c r="D946" s="73"/>
      <c r="E946" s="73"/>
    </row>
    <row r="947">
      <c r="D947" s="73"/>
      <c r="E947" s="73"/>
    </row>
    <row r="948">
      <c r="D948" s="73"/>
      <c r="E948" s="73"/>
    </row>
    <row r="949">
      <c r="D949" s="73"/>
      <c r="E949" s="73"/>
    </row>
    <row r="950">
      <c r="D950" s="73"/>
      <c r="E950" s="73"/>
    </row>
    <row r="951">
      <c r="D951" s="73"/>
      <c r="E951" s="73"/>
    </row>
    <row r="952">
      <c r="D952" s="73"/>
      <c r="E952" s="73"/>
    </row>
    <row r="953">
      <c r="D953" s="73"/>
      <c r="E953" s="73"/>
    </row>
    <row r="954">
      <c r="D954" s="73"/>
      <c r="E954" s="73"/>
    </row>
    <row r="955">
      <c r="D955" s="73"/>
      <c r="E955" s="73"/>
    </row>
    <row r="956">
      <c r="D956" s="73"/>
      <c r="E956" s="73"/>
    </row>
    <row r="957">
      <c r="D957" s="73"/>
      <c r="E957" s="73"/>
    </row>
    <row r="958">
      <c r="D958" s="73"/>
      <c r="E958" s="73"/>
    </row>
    <row r="959">
      <c r="D959" s="73"/>
      <c r="E959" s="73"/>
    </row>
    <row r="960">
      <c r="D960" s="73"/>
      <c r="E960" s="73"/>
    </row>
    <row r="961">
      <c r="D961" s="73"/>
      <c r="E961" s="73"/>
    </row>
    <row r="962">
      <c r="D962" s="73"/>
      <c r="E962" s="73"/>
    </row>
    <row r="963">
      <c r="D963" s="73"/>
      <c r="E963" s="73"/>
    </row>
    <row r="964">
      <c r="D964" s="73"/>
      <c r="E964" s="73"/>
    </row>
    <row r="965">
      <c r="D965" s="73"/>
      <c r="E965" s="73"/>
    </row>
    <row r="966">
      <c r="D966" s="73"/>
      <c r="E966" s="73"/>
    </row>
    <row r="967">
      <c r="D967" s="73"/>
      <c r="E967" s="73"/>
    </row>
    <row r="968">
      <c r="D968" s="73"/>
      <c r="E968" s="73"/>
    </row>
    <row r="969">
      <c r="D969" s="73"/>
      <c r="E969" s="73"/>
    </row>
    <row r="970">
      <c r="D970" s="73"/>
      <c r="E970" s="73"/>
    </row>
    <row r="971">
      <c r="D971" s="73"/>
      <c r="E971" s="73"/>
    </row>
    <row r="972">
      <c r="D972" s="73"/>
      <c r="E972" s="73"/>
    </row>
    <row r="973">
      <c r="D973" s="73"/>
      <c r="E973" s="73"/>
    </row>
    <row r="974">
      <c r="D974" s="73"/>
      <c r="E974" s="73"/>
    </row>
    <row r="975">
      <c r="D975" s="73"/>
      <c r="E975" s="73"/>
    </row>
    <row r="976">
      <c r="D976" s="73"/>
      <c r="E976" s="73"/>
    </row>
    <row r="977">
      <c r="D977" s="73"/>
      <c r="E977" s="73"/>
    </row>
    <row r="978">
      <c r="D978" s="73"/>
      <c r="E978" s="73"/>
    </row>
    <row r="979">
      <c r="D979" s="73"/>
      <c r="E979" s="73"/>
    </row>
    <row r="980">
      <c r="D980" s="73"/>
      <c r="E980" s="73"/>
    </row>
    <row r="981">
      <c r="D981" s="73"/>
      <c r="E981" s="73"/>
    </row>
    <row r="982">
      <c r="D982" s="73"/>
      <c r="E982" s="73"/>
    </row>
    <row r="983">
      <c r="D983" s="73"/>
      <c r="E983" s="73"/>
    </row>
    <row r="984">
      <c r="D984" s="73"/>
      <c r="E984" s="73"/>
    </row>
    <row r="985">
      <c r="D985" s="73"/>
      <c r="E985" s="73"/>
    </row>
    <row r="986">
      <c r="D986" s="73"/>
      <c r="E986" s="73"/>
    </row>
    <row r="987">
      <c r="D987" s="73"/>
      <c r="E987" s="73"/>
    </row>
    <row r="988">
      <c r="D988" s="73"/>
      <c r="E988" s="73"/>
    </row>
    <row r="989">
      <c r="D989" s="73"/>
      <c r="E989" s="73"/>
    </row>
    <row r="990">
      <c r="D990" s="73"/>
      <c r="E990" s="73"/>
    </row>
    <row r="991">
      <c r="D991" s="73"/>
      <c r="E991" s="73"/>
    </row>
    <row r="992">
      <c r="D992" s="73"/>
      <c r="E992" s="73"/>
    </row>
    <row r="993">
      <c r="D993" s="73"/>
      <c r="E993" s="73"/>
    </row>
    <row r="994">
      <c r="D994" s="73"/>
      <c r="E994" s="73"/>
    </row>
    <row r="995">
      <c r="D995" s="73"/>
      <c r="E995" s="73"/>
    </row>
    <row r="996">
      <c r="D996" s="73"/>
      <c r="E996" s="73"/>
    </row>
    <row r="997">
      <c r="D997" s="73"/>
      <c r="E997" s="73"/>
    </row>
    <row r="998">
      <c r="D998" s="73"/>
      <c r="E998" s="73"/>
    </row>
  </sheetData>
  <dataValidations>
    <dataValidation type="list" allowBlank="1" sqref="B2:B198">
      <formula1>Lookups!$A$1:$A$6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14.75"/>
    <col customWidth="1" min="3" max="3" width="21.5"/>
    <col customWidth="1" min="4" max="4" width="11.63"/>
    <col customWidth="1" min="5" max="5" width="12.88"/>
    <col customWidth="1" min="6" max="6" width="31.75"/>
    <col customWidth="1" min="7" max="7" width="8.25"/>
  </cols>
  <sheetData>
    <row r="1">
      <c r="A1" s="1" t="s">
        <v>0</v>
      </c>
      <c r="B1" s="2" t="s">
        <v>1</v>
      </c>
      <c r="C1" s="68" t="s">
        <v>2</v>
      </c>
      <c r="D1" s="69" t="s">
        <v>3</v>
      </c>
      <c r="E1" s="70" t="s">
        <v>4</v>
      </c>
      <c r="F1" s="2" t="s">
        <v>5</v>
      </c>
      <c r="G1" s="6" t="s">
        <v>6</v>
      </c>
      <c r="H1" s="7" t="s">
        <v>7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9.5" customHeight="1">
      <c r="A2" s="7" t="s">
        <v>1089</v>
      </c>
      <c r="B2" s="7" t="s">
        <v>9</v>
      </c>
      <c r="C2" s="71" t="s">
        <v>1090</v>
      </c>
      <c r="D2" s="76">
        <f>IFERROR(__xludf.DUMMYFUNCTION("SPLIT(C2,"","")"),56.4457328)</f>
        <v>56.4457328</v>
      </c>
      <c r="E2" s="73">
        <f>IFERROR(__xludf.DUMMYFUNCTION("""COMPUTED_VALUE"""),9.4040269)</f>
        <v>9.4040269</v>
      </c>
      <c r="F2" s="12" t="s">
        <v>1091</v>
      </c>
      <c r="G2" s="7">
        <v>5.0</v>
      </c>
    </row>
    <row r="3">
      <c r="A3" s="13" t="s">
        <v>1092</v>
      </c>
      <c r="B3" s="7" t="s">
        <v>23</v>
      </c>
      <c r="C3" s="13" t="s">
        <v>1093</v>
      </c>
      <c r="D3" s="76">
        <f>IFERROR(__xludf.DUMMYFUNCTION("SPLIT(C3,"","")"),56.4448791)</f>
        <v>56.4448791</v>
      </c>
      <c r="E3" s="73">
        <f>IFERROR(__xludf.DUMMYFUNCTION("""COMPUTED_VALUE"""),9.3985731)</f>
        <v>9.3985731</v>
      </c>
      <c r="F3" s="13" t="s">
        <v>1094</v>
      </c>
      <c r="G3" s="13">
        <v>5.0</v>
      </c>
    </row>
    <row r="4">
      <c r="A4" s="13" t="s">
        <v>1095</v>
      </c>
      <c r="B4" s="13" t="s">
        <v>9</v>
      </c>
      <c r="C4" s="13" t="s">
        <v>1096</v>
      </c>
      <c r="D4" s="76">
        <f>IFERROR(__xludf.DUMMYFUNCTION("SPLIT(C4,"","")"),56.4482137)</f>
        <v>56.4482137</v>
      </c>
      <c r="E4" s="73">
        <f>IFERROR(__xludf.DUMMYFUNCTION("""COMPUTED_VALUE"""),9.4318566)</f>
        <v>9.4318566</v>
      </c>
      <c r="F4" s="13" t="s">
        <v>1095</v>
      </c>
      <c r="G4" s="13">
        <v>5.0</v>
      </c>
    </row>
    <row r="5">
      <c r="A5" s="13" t="s">
        <v>1097</v>
      </c>
      <c r="B5" s="7" t="s">
        <v>51</v>
      </c>
      <c r="C5" s="13" t="s">
        <v>1098</v>
      </c>
      <c r="D5" s="76">
        <f>IFERROR(__xludf.DUMMYFUNCTION("SPLIT(C5,"","")"),56.4409738)</f>
        <v>56.4409738</v>
      </c>
      <c r="E5" s="73">
        <f>IFERROR(__xludf.DUMMYFUNCTION("""COMPUTED_VALUE"""),9.3905319)</f>
        <v>9.3905319</v>
      </c>
      <c r="F5" s="13" t="s">
        <v>1097</v>
      </c>
      <c r="G5" s="13">
        <v>5.0</v>
      </c>
    </row>
    <row r="6">
      <c r="A6" s="13" t="s">
        <v>1099</v>
      </c>
      <c r="B6" s="7" t="s">
        <v>51</v>
      </c>
      <c r="C6" s="13" t="s">
        <v>1100</v>
      </c>
      <c r="D6" s="76">
        <f>IFERROR(__xludf.DUMMYFUNCTION("SPLIT(C6,"","")"),56.4438353)</f>
        <v>56.4438353</v>
      </c>
      <c r="E6" s="73">
        <f>IFERROR(__xludf.DUMMYFUNCTION("""COMPUTED_VALUE"""),9.3984403)</f>
        <v>9.3984403</v>
      </c>
      <c r="F6" s="13" t="s">
        <v>1101</v>
      </c>
      <c r="G6" s="13">
        <v>5.0</v>
      </c>
    </row>
    <row r="7">
      <c r="A7" s="13" t="s">
        <v>1102</v>
      </c>
      <c r="B7" s="13" t="s">
        <v>51</v>
      </c>
      <c r="C7" s="13" t="s">
        <v>1103</v>
      </c>
      <c r="D7" s="76">
        <f>IFERROR(__xludf.DUMMYFUNCTION("SPLIT(C7,"","")"),56.452471)</f>
        <v>56.452471</v>
      </c>
      <c r="E7" s="73">
        <f>IFERROR(__xludf.DUMMYFUNCTION("""COMPUTED_VALUE"""),9.3956203)</f>
        <v>9.3956203</v>
      </c>
      <c r="F7" s="13" t="s">
        <v>1104</v>
      </c>
      <c r="G7" s="13">
        <v>2.0</v>
      </c>
    </row>
    <row r="8">
      <c r="A8" s="13" t="s">
        <v>1105</v>
      </c>
      <c r="B8" s="13" t="s">
        <v>47</v>
      </c>
      <c r="C8" s="13" t="s">
        <v>1106</v>
      </c>
      <c r="D8" s="76">
        <f>IFERROR(__xludf.DUMMYFUNCTION("SPLIT(C8,"","")"),45.5845447)</f>
        <v>45.5845447</v>
      </c>
      <c r="E8" s="73">
        <f>IFERROR(__xludf.DUMMYFUNCTION("""COMPUTED_VALUE"""),10.7185345)</f>
        <v>10.7185345</v>
      </c>
      <c r="F8" s="13" t="s">
        <v>1107</v>
      </c>
      <c r="G8" s="13">
        <v>3.0</v>
      </c>
    </row>
    <row r="9">
      <c r="A9" s="13" t="s">
        <v>1108</v>
      </c>
      <c r="B9" s="13" t="s">
        <v>47</v>
      </c>
      <c r="C9" s="13" t="s">
        <v>1109</v>
      </c>
      <c r="D9" s="76">
        <f>IFERROR(__xludf.DUMMYFUNCTION("SPLIT(C9,"","")"),45.297046)</f>
        <v>45.297046</v>
      </c>
      <c r="E9" s="73">
        <f>IFERROR(__xludf.DUMMYFUNCTION("""COMPUTED_VALUE"""),13.5921923)</f>
        <v>13.5921923</v>
      </c>
      <c r="F9" s="13" t="s">
        <v>1110</v>
      </c>
      <c r="G9" s="13">
        <v>5.0</v>
      </c>
    </row>
    <row r="10">
      <c r="A10" s="13" t="s">
        <v>1111</v>
      </c>
      <c r="B10" s="13" t="s">
        <v>23</v>
      </c>
      <c r="C10" s="13" t="s">
        <v>1112</v>
      </c>
      <c r="D10" s="76">
        <f>IFERROR(__xludf.DUMMYFUNCTION("SPLIT(C10,"","")"),56.64414)</f>
        <v>56.64414</v>
      </c>
      <c r="E10" s="73">
        <f>IFERROR(__xludf.DUMMYFUNCTION("""COMPUTED_VALUE"""),9.5280533)</f>
        <v>9.5280533</v>
      </c>
      <c r="F10" s="13" t="s">
        <v>1113</v>
      </c>
      <c r="G10" s="13">
        <v>3.0</v>
      </c>
    </row>
    <row r="11">
      <c r="A11" s="13" t="s">
        <v>1114</v>
      </c>
      <c r="B11" s="13" t="s">
        <v>51</v>
      </c>
      <c r="C11" s="13" t="s">
        <v>1115</v>
      </c>
      <c r="D11" s="76">
        <f>IFERROR(__xludf.DUMMYFUNCTION("SPLIT(C11,"","")"),56.619154)</f>
        <v>56.619154</v>
      </c>
      <c r="E11" s="73">
        <f>IFERROR(__xludf.DUMMYFUNCTION("""COMPUTED_VALUE"""),9.4987307)</f>
        <v>9.4987307</v>
      </c>
      <c r="F11" s="13" t="s">
        <v>1116</v>
      </c>
      <c r="G11" s="13">
        <v>4.0</v>
      </c>
    </row>
    <row r="12">
      <c r="A12" s="13" t="s">
        <v>1117</v>
      </c>
      <c r="B12" s="13" t="s">
        <v>17</v>
      </c>
      <c r="C12" s="13" t="s">
        <v>1115</v>
      </c>
      <c r="D12" s="76">
        <f>IFERROR(__xludf.DUMMYFUNCTION("SPLIT(C12,"","")"),56.619154)</f>
        <v>56.619154</v>
      </c>
      <c r="E12" s="73">
        <f>IFERROR(__xludf.DUMMYFUNCTION("""COMPUTED_VALUE"""),9.4987307)</f>
        <v>9.4987307</v>
      </c>
      <c r="F12" s="13" t="s">
        <v>1118</v>
      </c>
      <c r="G12" s="13">
        <v>5.0</v>
      </c>
    </row>
    <row r="13">
      <c r="A13" s="13" t="s">
        <v>1119</v>
      </c>
      <c r="B13" s="13" t="s">
        <v>17</v>
      </c>
      <c r="C13" s="13" t="s">
        <v>1120</v>
      </c>
      <c r="D13" s="76">
        <f>IFERROR(__xludf.DUMMYFUNCTION("SPLIT(C13,"","")"),56.6196115)</f>
        <v>56.6196115</v>
      </c>
      <c r="E13" s="73">
        <f>IFERROR(__xludf.DUMMYFUNCTION("""COMPUTED_VALUE"""),9.499066)</f>
        <v>9.499066</v>
      </c>
      <c r="F13" s="13" t="s">
        <v>1121</v>
      </c>
      <c r="G13" s="13">
        <v>2.0</v>
      </c>
    </row>
    <row r="14">
      <c r="A14" s="13" t="s">
        <v>1122</v>
      </c>
      <c r="B14" s="13" t="s">
        <v>47</v>
      </c>
      <c r="C14" s="13" t="s">
        <v>1123</v>
      </c>
      <c r="D14" s="76">
        <f>IFERROR(__xludf.DUMMYFUNCTION("SPLIT(C14,"","")"),57.6742381)</f>
        <v>57.6742381</v>
      </c>
      <c r="E14" s="73">
        <f>IFERROR(__xludf.DUMMYFUNCTION("""COMPUTED_VALUE"""),15.8404989)</f>
        <v>15.8404989</v>
      </c>
      <c r="F14" s="13" t="s">
        <v>1124</v>
      </c>
      <c r="G14" s="13">
        <v>5.0</v>
      </c>
    </row>
    <row r="15">
      <c r="A15" s="13" t="s">
        <v>1125</v>
      </c>
      <c r="B15" s="13" t="s">
        <v>47</v>
      </c>
      <c r="C15" s="13" t="s">
        <v>1126</v>
      </c>
      <c r="D15" s="76">
        <f>IFERROR(__xludf.DUMMYFUNCTION("SPLIT(C15,"","")"),48.8673858)</f>
        <v>48.8673858</v>
      </c>
      <c r="E15" s="73">
        <f>IFERROR(__xludf.DUMMYFUNCTION("""COMPUTED_VALUE"""),2.7814043)</f>
        <v>2.7814043</v>
      </c>
      <c r="F15" s="13" t="s">
        <v>1127</v>
      </c>
      <c r="G15" s="13">
        <v>5.0</v>
      </c>
    </row>
    <row r="16">
      <c r="A16" s="13" t="s">
        <v>1128</v>
      </c>
      <c r="B16" s="13" t="s">
        <v>47</v>
      </c>
      <c r="C16" s="13" t="s">
        <v>1129</v>
      </c>
      <c r="D16" s="76">
        <f>IFERROR(__xludf.DUMMYFUNCTION("SPLIT(C16,"","")"),36.4071334)</f>
        <v>36.4071334</v>
      </c>
      <c r="E16" s="73">
        <f>IFERROR(__xludf.DUMMYFUNCTION("""COMPUTED_VALUE"""),25.3505909)</f>
        <v>25.3505909</v>
      </c>
      <c r="F16" s="13" t="s">
        <v>1130</v>
      </c>
      <c r="G16" s="13">
        <v>5.0</v>
      </c>
    </row>
    <row r="17">
      <c r="A17" s="13" t="s">
        <v>1131</v>
      </c>
      <c r="B17" s="13" t="s">
        <v>47</v>
      </c>
      <c r="C17" s="13" t="s">
        <v>1132</v>
      </c>
      <c r="D17" s="76">
        <f>IFERROR(__xludf.DUMMYFUNCTION("SPLIT(C17,"","")"),27.2567633)</f>
        <v>27.2567633</v>
      </c>
      <c r="E17" s="73">
        <f>IFERROR(__xludf.DUMMYFUNCTION("""COMPUTED_VALUE"""),33.8282866)</f>
        <v>33.8282866</v>
      </c>
      <c r="F17" s="13" t="s">
        <v>1133</v>
      </c>
      <c r="G17" s="13">
        <v>3.0</v>
      </c>
    </row>
    <row r="18">
      <c r="A18" s="13" t="s">
        <v>1134</v>
      </c>
      <c r="B18" s="13" t="s">
        <v>9</v>
      </c>
      <c r="C18" s="13" t="s">
        <v>1135</v>
      </c>
      <c r="D18" s="76">
        <f>IFERROR(__xludf.DUMMYFUNCTION("SPLIT(C18,"","")"),56.6702803)</f>
        <v>56.6702803</v>
      </c>
      <c r="E18" s="73">
        <f>IFERROR(__xludf.DUMMYFUNCTION("""COMPUTED_VALUE"""),9.4851045)</f>
        <v>9.4851045</v>
      </c>
      <c r="F18" s="13" t="s">
        <v>1134</v>
      </c>
      <c r="G18" s="13">
        <v>4.0</v>
      </c>
    </row>
    <row r="19">
      <c r="A19" s="13" t="s">
        <v>1136</v>
      </c>
      <c r="B19" s="13" t="s">
        <v>47</v>
      </c>
      <c r="C19" s="13" t="s">
        <v>1137</v>
      </c>
      <c r="D19" s="76">
        <f>IFERROR(__xludf.DUMMYFUNCTION("SPLIT(C19,"","")"),27.9466924)</f>
        <v>27.9466924</v>
      </c>
      <c r="E19" s="73">
        <f>IFERROR(__xludf.DUMMYFUNCTION("""COMPUTED_VALUE"""),34.278713)</f>
        <v>34.278713</v>
      </c>
      <c r="F19" s="13" t="s">
        <v>1138</v>
      </c>
      <c r="G19" s="13">
        <v>5.0</v>
      </c>
    </row>
    <row r="20">
      <c r="A20" s="13" t="s">
        <v>1139</v>
      </c>
      <c r="B20" s="13" t="s">
        <v>51</v>
      </c>
      <c r="C20" s="13" t="s">
        <v>1140</v>
      </c>
      <c r="D20" s="76">
        <f>IFERROR(__xludf.DUMMYFUNCTION("SPLIT(C20,"","")"),56.463585)</f>
        <v>56.463585</v>
      </c>
      <c r="E20" s="73">
        <f>IFERROR(__xludf.DUMMYFUNCTION("""COMPUTED_VALUE"""),9.4487803)</f>
        <v>9.4487803</v>
      </c>
      <c r="F20" s="13" t="s">
        <v>1141</v>
      </c>
      <c r="G20" s="13">
        <v>5.0</v>
      </c>
    </row>
    <row r="21">
      <c r="A21" s="13" t="s">
        <v>1142</v>
      </c>
      <c r="B21" s="13" t="s">
        <v>17</v>
      </c>
      <c r="C21" s="13" t="s">
        <v>1140</v>
      </c>
      <c r="D21" s="76">
        <f>IFERROR(__xludf.DUMMYFUNCTION("SPLIT(C21,"","")"),56.463585)</f>
        <v>56.463585</v>
      </c>
      <c r="E21" s="73">
        <f>IFERROR(__xludf.DUMMYFUNCTION("""COMPUTED_VALUE"""),9.4487803)</f>
        <v>9.4487803</v>
      </c>
      <c r="F21" s="13" t="s">
        <v>1143</v>
      </c>
      <c r="G21" s="13">
        <v>5.0</v>
      </c>
    </row>
    <row r="22">
      <c r="A22" s="13" t="s">
        <v>1144</v>
      </c>
      <c r="B22" s="13" t="s">
        <v>17</v>
      </c>
      <c r="C22" s="13" t="s">
        <v>1145</v>
      </c>
      <c r="D22" s="76">
        <f>IFERROR(__xludf.DUMMYFUNCTION("SPLIT(C22,"","")"),56.4494806)</f>
        <v>56.4494806</v>
      </c>
      <c r="E22" s="73">
        <f>IFERROR(__xludf.DUMMYFUNCTION("""COMPUTED_VALUE"""),9.4032565)</f>
        <v>9.4032565</v>
      </c>
      <c r="F22" s="13" t="s">
        <v>1146</v>
      </c>
      <c r="G22" s="13">
        <v>5.0</v>
      </c>
    </row>
    <row r="23">
      <c r="A23" s="13" t="s">
        <v>1147</v>
      </c>
      <c r="B23" s="13" t="s">
        <v>17</v>
      </c>
      <c r="C23" s="13" t="s">
        <v>1148</v>
      </c>
      <c r="D23" s="76">
        <f>IFERROR(__xludf.DUMMYFUNCTION("SPLIT(C23,"","")"),56.4449005)</f>
        <v>56.4449005</v>
      </c>
      <c r="E23" s="73">
        <f>IFERROR(__xludf.DUMMYFUNCTION("""COMPUTED_VALUE"""),9.3891067)</f>
        <v>9.3891067</v>
      </c>
      <c r="F23" s="13" t="s">
        <v>1149</v>
      </c>
      <c r="G23" s="13">
        <v>2.0</v>
      </c>
    </row>
    <row r="24">
      <c r="A24" s="13" t="s">
        <v>1150</v>
      </c>
      <c r="B24" s="13" t="s">
        <v>47</v>
      </c>
      <c r="C24" s="13" t="s">
        <v>1151</v>
      </c>
      <c r="D24" s="76">
        <f>IFERROR(__xludf.DUMMYFUNCTION("SPLIT(C24,"","")"),3.1024749)</f>
        <v>3.1024749</v>
      </c>
      <c r="E24" s="73">
        <f>IFERROR(__xludf.DUMMYFUNCTION("""COMPUTED_VALUE"""),68.7289458)</f>
        <v>68.7289458</v>
      </c>
      <c r="F24" s="13" t="s">
        <v>1152</v>
      </c>
      <c r="G24" s="13">
        <v>5.0</v>
      </c>
    </row>
    <row r="25">
      <c r="A25" s="13" t="s">
        <v>1153</v>
      </c>
      <c r="B25" s="13" t="s">
        <v>47</v>
      </c>
      <c r="C25" s="13" t="s">
        <v>1154</v>
      </c>
      <c r="D25" s="76">
        <f>IFERROR(__xludf.DUMMYFUNCTION("SPLIT(C25,"","")"),7.8516994)</f>
        <v>7.8516994</v>
      </c>
      <c r="E25" s="73">
        <f>IFERROR(__xludf.DUMMYFUNCTION("""COMPUTED_VALUE"""),78.4556509)</f>
        <v>78.4556509</v>
      </c>
      <c r="F25" s="13" t="s">
        <v>1152</v>
      </c>
      <c r="G25" s="13">
        <v>5.0</v>
      </c>
    </row>
    <row r="26">
      <c r="A26" s="13" t="s">
        <v>1155</v>
      </c>
      <c r="B26" s="13" t="s">
        <v>47</v>
      </c>
      <c r="C26" s="13" t="s">
        <v>1156</v>
      </c>
      <c r="D26" s="76">
        <f>IFERROR(__xludf.DUMMYFUNCTION("SPLIT(C26,"","")"),13.6111017)</f>
        <v>13.6111017</v>
      </c>
      <c r="E26" s="73">
        <f>IFERROR(__xludf.DUMMYFUNCTION("""COMPUTED_VALUE"""),94.7508411)</f>
        <v>94.7508411</v>
      </c>
      <c r="F26" s="13" t="s">
        <v>1152</v>
      </c>
      <c r="G26" s="13">
        <v>4.0</v>
      </c>
    </row>
    <row r="27">
      <c r="A27" s="13" t="s">
        <v>1157</v>
      </c>
      <c r="B27" s="13" t="s">
        <v>47</v>
      </c>
      <c r="C27" s="13" t="s">
        <v>1158</v>
      </c>
      <c r="D27" s="76">
        <f>IFERROR(__xludf.DUMMYFUNCTION("SPLIT(C27,"","")"),25.2646811)</f>
        <v>25.2646811</v>
      </c>
      <c r="E27" s="73">
        <f>IFERROR(__xludf.DUMMYFUNCTION("""COMPUTED_VALUE"""),51.5681529)</f>
        <v>51.5681529</v>
      </c>
      <c r="F27" s="13" t="s">
        <v>1152</v>
      </c>
      <c r="G27" s="13">
        <v>5.0</v>
      </c>
    </row>
    <row r="28">
      <c r="A28" s="13" t="s">
        <v>1159</v>
      </c>
      <c r="B28" s="13" t="s">
        <v>23</v>
      </c>
      <c r="C28" s="13" t="s">
        <v>1160</v>
      </c>
      <c r="D28" s="76">
        <f>IFERROR(__xludf.DUMMYFUNCTION("SPLIT(C28,"","")"),-35.3801497)</f>
        <v>-35.3801497</v>
      </c>
      <c r="E28" s="73">
        <f>IFERROR(__xludf.DUMMYFUNCTION("""COMPUTED_VALUE"""),149.202997)</f>
        <v>149.202997</v>
      </c>
      <c r="F28" s="13" t="s">
        <v>1161</v>
      </c>
      <c r="G28" s="13">
        <v>5.0</v>
      </c>
    </row>
    <row r="29">
      <c r="A29" s="13" t="s">
        <v>1162</v>
      </c>
      <c r="B29" s="13" t="s">
        <v>17</v>
      </c>
      <c r="C29" s="13" t="s">
        <v>1163</v>
      </c>
      <c r="D29" s="76">
        <f>IFERROR(__xludf.DUMMYFUNCTION("SPLIT(C29,"","")"),-36.4052829)</f>
        <v>-36.4052829</v>
      </c>
      <c r="E29" s="73">
        <f>IFERROR(__xludf.DUMMYFUNCTION("""COMPUTED_VALUE"""),148.3833114)</f>
        <v>148.3833114</v>
      </c>
      <c r="F29" s="13" t="s">
        <v>1164</v>
      </c>
      <c r="G29" s="13">
        <v>2.0</v>
      </c>
    </row>
    <row r="30">
      <c r="A30" s="13" t="s">
        <v>1165</v>
      </c>
      <c r="B30" s="13" t="s">
        <v>47</v>
      </c>
      <c r="C30" s="13" t="s">
        <v>1166</v>
      </c>
      <c r="D30" s="76">
        <f>IFERROR(__xludf.DUMMYFUNCTION("SPLIT(C30,"","")"),-40.5748934)</f>
        <v>-40.5748934</v>
      </c>
      <c r="E30" s="73">
        <f>IFERROR(__xludf.DUMMYFUNCTION("""COMPUTED_VALUE"""),166.0173195)</f>
        <v>166.0173195</v>
      </c>
      <c r="F30" s="13" t="s">
        <v>1152</v>
      </c>
      <c r="G30" s="13">
        <v>5.0</v>
      </c>
    </row>
    <row r="31">
      <c r="A31" s="13" t="s">
        <v>127</v>
      </c>
      <c r="B31" s="13" t="s">
        <v>23</v>
      </c>
      <c r="C31" s="13" t="s">
        <v>1167</v>
      </c>
      <c r="D31" s="76">
        <f>IFERROR(__xludf.DUMMYFUNCTION("SPLIT(C31,"","")"),56.1552965)</f>
        <v>56.1552965</v>
      </c>
      <c r="E31" s="73">
        <f>IFERROR(__xludf.DUMMYFUNCTION("""COMPUTED_VALUE"""),10.1780741)</f>
        <v>10.1780741</v>
      </c>
      <c r="F31" s="13" t="s">
        <v>1168</v>
      </c>
      <c r="G31" s="13">
        <v>5.0</v>
      </c>
    </row>
    <row r="32">
      <c r="A32" s="13" t="s">
        <v>1169</v>
      </c>
      <c r="B32" s="13" t="s">
        <v>51</v>
      </c>
      <c r="C32" s="13" t="s">
        <v>1170</v>
      </c>
      <c r="D32" s="76">
        <f>IFERROR(__xludf.DUMMYFUNCTION("SPLIT(C32,"","")"),56.1724346)</f>
        <v>56.1724346</v>
      </c>
      <c r="E32" s="73">
        <f>IFERROR(__xludf.DUMMYFUNCTION("""COMPUTED_VALUE"""),10.2033485)</f>
        <v>10.2033485</v>
      </c>
      <c r="F32" s="13" t="s">
        <v>1171</v>
      </c>
      <c r="G32" s="13">
        <v>4.0</v>
      </c>
    </row>
    <row r="33">
      <c r="A33" s="13" t="s">
        <v>1172</v>
      </c>
      <c r="B33" s="13" t="s">
        <v>17</v>
      </c>
      <c r="C33" s="13" t="s">
        <v>1173</v>
      </c>
      <c r="D33" s="76">
        <f>IFERROR(__xludf.DUMMYFUNCTION("SPLIT(C33,"","")"),56.2030018)</f>
        <v>56.2030018</v>
      </c>
      <c r="E33" s="73">
        <f>IFERROR(__xludf.DUMMYFUNCTION("""COMPUTED_VALUE"""),10.1788538)</f>
        <v>10.1788538</v>
      </c>
      <c r="F33" s="13" t="s">
        <v>1174</v>
      </c>
      <c r="G33" s="13">
        <v>5.0</v>
      </c>
    </row>
    <row r="34">
      <c r="B34" s="15"/>
      <c r="D34" s="76" t="str">
        <f>IFERROR(__xludf.DUMMYFUNCTION("SPLIT(C34,"","")"),"#VALUE!")</f>
        <v>#VALUE!</v>
      </c>
      <c r="E34" s="73"/>
    </row>
    <row r="35">
      <c r="B35" s="15"/>
      <c r="D35" s="76" t="str">
        <f>IFERROR(__xludf.DUMMYFUNCTION("SPLIT(C35,"","")"),"#VALUE!")</f>
        <v>#VALUE!</v>
      </c>
      <c r="E35" s="73"/>
    </row>
    <row r="36">
      <c r="B36" s="15"/>
      <c r="D36" s="76" t="str">
        <f>IFERROR(__xludf.DUMMYFUNCTION("SPLIT(C36,"","")"),"#VALUE!")</f>
        <v>#VALUE!</v>
      </c>
      <c r="E36" s="73"/>
    </row>
    <row r="37">
      <c r="B37" s="15"/>
      <c r="D37" s="76" t="str">
        <f>IFERROR(__xludf.DUMMYFUNCTION("SPLIT(C37,"","")"),"#VALUE!")</f>
        <v>#VALUE!</v>
      </c>
      <c r="E37" s="73"/>
    </row>
    <row r="38">
      <c r="B38" s="15"/>
      <c r="D38" s="76" t="str">
        <f>IFERROR(__xludf.DUMMYFUNCTION("SPLIT(C38,"","")"),"#VALUE!")</f>
        <v>#VALUE!</v>
      </c>
      <c r="E38" s="73"/>
    </row>
    <row r="39">
      <c r="B39" s="15"/>
      <c r="D39" s="76" t="str">
        <f>IFERROR(__xludf.DUMMYFUNCTION("SPLIT(C39,"","")"),"#VALUE!")</f>
        <v>#VALUE!</v>
      </c>
      <c r="E39" s="73"/>
    </row>
    <row r="40">
      <c r="B40" s="15"/>
      <c r="D40" s="76" t="str">
        <f>IFERROR(__xludf.DUMMYFUNCTION("SPLIT(C40,"","")"),"#VALUE!")</f>
        <v>#VALUE!</v>
      </c>
      <c r="E40" s="73"/>
    </row>
    <row r="41">
      <c r="B41" s="15"/>
      <c r="D41" s="76" t="str">
        <f>IFERROR(__xludf.DUMMYFUNCTION("SPLIT(C41,"","")"),"#VALUE!")</f>
        <v>#VALUE!</v>
      </c>
      <c r="E41" s="73"/>
    </row>
    <row r="42">
      <c r="B42" s="15"/>
      <c r="D42" s="76" t="str">
        <f>IFERROR(__xludf.DUMMYFUNCTION("SPLIT(C42,"","")"),"#VALUE!")</f>
        <v>#VALUE!</v>
      </c>
      <c r="E42" s="73"/>
    </row>
    <row r="43">
      <c r="B43" s="15"/>
      <c r="D43" s="76" t="str">
        <f>IFERROR(__xludf.DUMMYFUNCTION("SPLIT(C43,"","")"),"#VALUE!")</f>
        <v>#VALUE!</v>
      </c>
      <c r="E43" s="73"/>
    </row>
    <row r="44">
      <c r="B44" s="15"/>
      <c r="D44" s="76" t="str">
        <f>IFERROR(__xludf.DUMMYFUNCTION("SPLIT(C44,"","")"),"#VALUE!")</f>
        <v>#VALUE!</v>
      </c>
      <c r="E44" s="73"/>
    </row>
    <row r="45">
      <c r="B45" s="15"/>
      <c r="D45" s="76" t="str">
        <f>IFERROR(__xludf.DUMMYFUNCTION("SPLIT(C45,"","")"),"#VALUE!")</f>
        <v>#VALUE!</v>
      </c>
      <c r="E45" s="73"/>
    </row>
    <row r="46">
      <c r="B46" s="15"/>
      <c r="D46" s="76" t="str">
        <f>IFERROR(__xludf.DUMMYFUNCTION("SPLIT(C46,"","")"),"#VALUE!")</f>
        <v>#VALUE!</v>
      </c>
      <c r="E46" s="73"/>
    </row>
    <row r="47">
      <c r="B47" s="15"/>
      <c r="D47" s="76" t="str">
        <f>IFERROR(__xludf.DUMMYFUNCTION("SPLIT(C47,"","")"),"#VALUE!")</f>
        <v>#VALUE!</v>
      </c>
      <c r="E47" s="73"/>
    </row>
    <row r="48">
      <c r="B48" s="15"/>
      <c r="D48" s="76" t="str">
        <f>IFERROR(__xludf.DUMMYFUNCTION("SPLIT(C48,"","")"),"#VALUE!")</f>
        <v>#VALUE!</v>
      </c>
      <c r="E48" s="73"/>
    </row>
    <row r="49">
      <c r="B49" s="15"/>
      <c r="D49" s="76" t="str">
        <f>IFERROR(__xludf.DUMMYFUNCTION("SPLIT(C49,"","")"),"#VALUE!")</f>
        <v>#VALUE!</v>
      </c>
      <c r="E49" s="73"/>
    </row>
    <row r="50">
      <c r="B50" s="15"/>
      <c r="D50" s="76" t="str">
        <f>IFERROR(__xludf.DUMMYFUNCTION("SPLIT(C50,"","")"),"#VALUE!")</f>
        <v>#VALUE!</v>
      </c>
      <c r="E50" s="73"/>
    </row>
    <row r="51">
      <c r="B51" s="15"/>
      <c r="D51" s="76" t="str">
        <f>IFERROR(__xludf.DUMMYFUNCTION("SPLIT(C51,"","")"),"#VALUE!")</f>
        <v>#VALUE!</v>
      </c>
      <c r="E51" s="73"/>
    </row>
    <row r="52">
      <c r="B52" s="15"/>
      <c r="D52" s="76" t="str">
        <f>IFERROR(__xludf.DUMMYFUNCTION("SPLIT(C52,"","")"),"#VALUE!")</f>
        <v>#VALUE!</v>
      </c>
      <c r="E52" s="73"/>
    </row>
    <row r="53">
      <c r="B53" s="15"/>
      <c r="D53" s="76" t="str">
        <f>IFERROR(__xludf.DUMMYFUNCTION("SPLIT(C53,"","")"),"#VALUE!")</f>
        <v>#VALUE!</v>
      </c>
      <c r="E53" s="73"/>
    </row>
    <row r="54">
      <c r="B54" s="15"/>
      <c r="D54" s="76" t="str">
        <f>IFERROR(__xludf.DUMMYFUNCTION("SPLIT(C54,"","")"),"#VALUE!")</f>
        <v>#VALUE!</v>
      </c>
      <c r="E54" s="73"/>
    </row>
    <row r="55">
      <c r="B55" s="15"/>
      <c r="D55" s="76" t="str">
        <f>IFERROR(__xludf.DUMMYFUNCTION("SPLIT(C55,"","")"),"#VALUE!")</f>
        <v>#VALUE!</v>
      </c>
      <c r="E55" s="73"/>
    </row>
    <row r="56">
      <c r="B56" s="15"/>
      <c r="D56" s="76" t="str">
        <f>IFERROR(__xludf.DUMMYFUNCTION("SPLIT(C56,"","")"),"#VALUE!")</f>
        <v>#VALUE!</v>
      </c>
      <c r="E56" s="73"/>
    </row>
    <row r="57">
      <c r="B57" s="15"/>
      <c r="D57" s="76" t="str">
        <f>IFERROR(__xludf.DUMMYFUNCTION("SPLIT(C57,"","")"),"#VALUE!")</f>
        <v>#VALUE!</v>
      </c>
      <c r="E57" s="73"/>
    </row>
    <row r="58">
      <c r="B58" s="15"/>
      <c r="D58" s="76" t="str">
        <f>IFERROR(__xludf.DUMMYFUNCTION("SPLIT(C58,"","")"),"#VALUE!")</f>
        <v>#VALUE!</v>
      </c>
      <c r="E58" s="73"/>
    </row>
    <row r="59">
      <c r="B59" s="15"/>
      <c r="D59" s="76" t="str">
        <f>IFERROR(__xludf.DUMMYFUNCTION("SPLIT(C59,"","")"),"#VALUE!")</f>
        <v>#VALUE!</v>
      </c>
      <c r="E59" s="73"/>
    </row>
    <row r="60">
      <c r="B60" s="15"/>
      <c r="D60" s="76" t="str">
        <f>IFERROR(__xludf.DUMMYFUNCTION("SPLIT(C60,"","")"),"#VALUE!")</f>
        <v>#VALUE!</v>
      </c>
      <c r="E60" s="73"/>
    </row>
    <row r="61">
      <c r="B61" s="15"/>
      <c r="D61" s="76" t="str">
        <f>IFERROR(__xludf.DUMMYFUNCTION("SPLIT(C61,"","")"),"#VALUE!")</f>
        <v>#VALUE!</v>
      </c>
      <c r="E61" s="73"/>
    </row>
    <row r="62">
      <c r="B62" s="15"/>
      <c r="D62" s="76" t="str">
        <f>IFERROR(__xludf.DUMMYFUNCTION("SPLIT(C62,"","")"),"#VALUE!")</f>
        <v>#VALUE!</v>
      </c>
      <c r="E62" s="73"/>
    </row>
    <row r="63">
      <c r="B63" s="15"/>
      <c r="D63" s="76" t="str">
        <f>IFERROR(__xludf.DUMMYFUNCTION("SPLIT(C63,"","")"),"#VALUE!")</f>
        <v>#VALUE!</v>
      </c>
      <c r="E63" s="73"/>
    </row>
    <row r="64">
      <c r="B64" s="15"/>
      <c r="D64" s="76" t="str">
        <f>IFERROR(__xludf.DUMMYFUNCTION("SPLIT(C64,"","")"),"#VALUE!")</f>
        <v>#VALUE!</v>
      </c>
      <c r="E64" s="73"/>
    </row>
    <row r="65">
      <c r="B65" s="15"/>
      <c r="D65" s="73"/>
      <c r="E65" s="73"/>
    </row>
    <row r="66">
      <c r="B66" s="15"/>
      <c r="D66" s="73"/>
      <c r="E66" s="73"/>
    </row>
    <row r="67">
      <c r="B67" s="15"/>
      <c r="D67" s="73"/>
      <c r="E67" s="73"/>
    </row>
    <row r="68">
      <c r="B68" s="15"/>
      <c r="D68" s="73"/>
      <c r="E68" s="73"/>
    </row>
    <row r="69">
      <c r="B69" s="15"/>
      <c r="D69" s="73"/>
      <c r="E69" s="73"/>
    </row>
    <row r="70">
      <c r="B70" s="15"/>
      <c r="D70" s="73"/>
      <c r="E70" s="73"/>
    </row>
    <row r="71">
      <c r="B71" s="15"/>
      <c r="D71" s="73"/>
      <c r="E71" s="73"/>
    </row>
    <row r="72">
      <c r="B72" s="15"/>
      <c r="D72" s="73"/>
      <c r="E72" s="73"/>
    </row>
    <row r="73">
      <c r="B73" s="15"/>
      <c r="D73" s="73"/>
      <c r="E73" s="73"/>
    </row>
    <row r="74">
      <c r="B74" s="15"/>
      <c r="D74" s="73"/>
      <c r="E74" s="73"/>
    </row>
    <row r="75">
      <c r="B75" s="15"/>
      <c r="D75" s="73"/>
      <c r="E75" s="73"/>
    </row>
    <row r="76">
      <c r="B76" s="15"/>
      <c r="D76" s="73"/>
      <c r="E76" s="73"/>
    </row>
    <row r="77">
      <c r="B77" s="15"/>
      <c r="D77" s="73"/>
      <c r="E77" s="73"/>
    </row>
    <row r="78">
      <c r="B78" s="15"/>
      <c r="D78" s="73"/>
      <c r="E78" s="73"/>
    </row>
    <row r="79">
      <c r="B79" s="15"/>
      <c r="D79" s="73"/>
      <c r="E79" s="73"/>
    </row>
    <row r="80">
      <c r="B80" s="15"/>
      <c r="D80" s="73"/>
      <c r="E80" s="73"/>
    </row>
    <row r="81">
      <c r="B81" s="15"/>
      <c r="D81" s="73"/>
      <c r="E81" s="73"/>
    </row>
    <row r="82">
      <c r="B82" s="15"/>
      <c r="D82" s="73"/>
      <c r="E82" s="73"/>
    </row>
    <row r="83">
      <c r="B83" s="15"/>
      <c r="D83" s="73"/>
      <c r="E83" s="73"/>
    </row>
    <row r="84">
      <c r="B84" s="15"/>
      <c r="D84" s="73"/>
      <c r="E84" s="73"/>
    </row>
    <row r="85">
      <c r="B85" s="15"/>
      <c r="D85" s="73"/>
      <c r="E85" s="73"/>
    </row>
    <row r="86">
      <c r="B86" s="15"/>
      <c r="D86" s="73"/>
      <c r="E86" s="73"/>
    </row>
    <row r="87">
      <c r="B87" s="15"/>
      <c r="D87" s="73"/>
      <c r="E87" s="73"/>
    </row>
    <row r="88">
      <c r="B88" s="15"/>
      <c r="D88" s="73"/>
      <c r="E88" s="73"/>
    </row>
    <row r="89">
      <c r="B89" s="15"/>
      <c r="D89" s="73"/>
      <c r="E89" s="73"/>
    </row>
    <row r="90">
      <c r="B90" s="15"/>
      <c r="D90" s="73"/>
      <c r="E90" s="73"/>
    </row>
    <row r="91">
      <c r="B91" s="15"/>
      <c r="D91" s="73"/>
      <c r="E91" s="73"/>
    </row>
    <row r="92">
      <c r="B92" s="15"/>
      <c r="D92" s="73"/>
      <c r="E92" s="73"/>
    </row>
    <row r="93">
      <c r="B93" s="15"/>
      <c r="D93" s="73"/>
      <c r="E93" s="73"/>
    </row>
    <row r="94">
      <c r="B94" s="15"/>
      <c r="D94" s="73"/>
      <c r="E94" s="73"/>
    </row>
    <row r="95">
      <c r="B95" s="15"/>
      <c r="D95" s="73"/>
      <c r="E95" s="73"/>
    </row>
    <row r="96">
      <c r="B96" s="15"/>
      <c r="D96" s="73"/>
      <c r="E96" s="73"/>
    </row>
    <row r="97">
      <c r="B97" s="15"/>
      <c r="D97" s="73"/>
      <c r="E97" s="73"/>
    </row>
    <row r="98">
      <c r="B98" s="15"/>
      <c r="D98" s="73"/>
      <c r="E98" s="73"/>
    </row>
    <row r="99">
      <c r="B99" s="15"/>
      <c r="D99" s="73"/>
      <c r="E99" s="73"/>
    </row>
    <row r="100">
      <c r="B100" s="15"/>
      <c r="D100" s="73"/>
      <c r="E100" s="73"/>
    </row>
    <row r="101">
      <c r="B101" s="15"/>
      <c r="D101" s="73"/>
      <c r="E101" s="73"/>
    </row>
    <row r="102">
      <c r="B102" s="15"/>
      <c r="D102" s="73"/>
      <c r="E102" s="73"/>
    </row>
    <row r="103">
      <c r="B103" s="15"/>
      <c r="D103" s="73"/>
      <c r="E103" s="73"/>
    </row>
    <row r="104">
      <c r="B104" s="15"/>
      <c r="D104" s="73"/>
      <c r="E104" s="73"/>
    </row>
    <row r="105">
      <c r="B105" s="15"/>
      <c r="D105" s="73"/>
      <c r="E105" s="73"/>
    </row>
    <row r="106">
      <c r="B106" s="15"/>
      <c r="D106" s="73"/>
      <c r="E106" s="73"/>
    </row>
    <row r="107">
      <c r="B107" s="15"/>
      <c r="D107" s="73"/>
      <c r="E107" s="73"/>
    </row>
    <row r="108">
      <c r="B108" s="15"/>
      <c r="D108" s="73"/>
      <c r="E108" s="73"/>
    </row>
    <row r="109">
      <c r="B109" s="15"/>
      <c r="D109" s="73"/>
      <c r="E109" s="73"/>
    </row>
    <row r="110">
      <c r="B110" s="15"/>
      <c r="D110" s="73"/>
      <c r="E110" s="73"/>
    </row>
    <row r="111">
      <c r="B111" s="15"/>
      <c r="D111" s="73"/>
      <c r="E111" s="73"/>
    </row>
    <row r="112">
      <c r="B112" s="15"/>
      <c r="D112" s="73"/>
      <c r="E112" s="73"/>
    </row>
    <row r="113">
      <c r="B113" s="15"/>
      <c r="D113" s="73"/>
      <c r="E113" s="73"/>
    </row>
    <row r="114">
      <c r="B114" s="15"/>
      <c r="D114" s="73"/>
      <c r="E114" s="73"/>
    </row>
    <row r="115">
      <c r="B115" s="15"/>
      <c r="D115" s="73"/>
      <c r="E115" s="73"/>
    </row>
    <row r="116">
      <c r="B116" s="15"/>
      <c r="D116" s="73"/>
      <c r="E116" s="73"/>
    </row>
    <row r="117">
      <c r="B117" s="15"/>
      <c r="D117" s="73"/>
      <c r="E117" s="73"/>
    </row>
    <row r="118">
      <c r="B118" s="15"/>
      <c r="D118" s="73"/>
      <c r="E118" s="73"/>
    </row>
    <row r="119">
      <c r="B119" s="15"/>
      <c r="D119" s="73"/>
      <c r="E119" s="73"/>
    </row>
    <row r="120">
      <c r="B120" s="15"/>
      <c r="D120" s="73"/>
      <c r="E120" s="73"/>
    </row>
    <row r="121">
      <c r="B121" s="15"/>
      <c r="D121" s="73"/>
      <c r="E121" s="73"/>
    </row>
    <row r="122">
      <c r="B122" s="15"/>
      <c r="D122" s="73"/>
      <c r="E122" s="73"/>
    </row>
    <row r="123">
      <c r="B123" s="15"/>
      <c r="D123" s="73"/>
      <c r="E123" s="73"/>
    </row>
    <row r="124">
      <c r="B124" s="15"/>
      <c r="D124" s="73"/>
      <c r="E124" s="73"/>
    </row>
    <row r="125">
      <c r="B125" s="15"/>
      <c r="D125" s="73"/>
      <c r="E125" s="73"/>
    </row>
    <row r="126">
      <c r="B126" s="15"/>
      <c r="D126" s="73"/>
      <c r="E126" s="73"/>
    </row>
    <row r="127">
      <c r="B127" s="15"/>
      <c r="D127" s="73"/>
      <c r="E127" s="73"/>
    </row>
    <row r="128">
      <c r="B128" s="15"/>
      <c r="D128" s="73"/>
      <c r="E128" s="73"/>
    </row>
    <row r="129">
      <c r="B129" s="15"/>
      <c r="D129" s="73"/>
      <c r="E129" s="73"/>
    </row>
    <row r="130">
      <c r="B130" s="15"/>
      <c r="D130" s="73"/>
      <c r="E130" s="73"/>
    </row>
    <row r="131">
      <c r="B131" s="15"/>
      <c r="D131" s="73"/>
      <c r="E131" s="73"/>
    </row>
    <row r="132">
      <c r="B132" s="15"/>
      <c r="D132" s="73"/>
      <c r="E132" s="73"/>
    </row>
    <row r="133">
      <c r="B133" s="15"/>
      <c r="D133" s="73"/>
      <c r="E133" s="73"/>
    </row>
    <row r="134">
      <c r="B134" s="15"/>
      <c r="D134" s="73"/>
      <c r="E134" s="73"/>
    </row>
    <row r="135">
      <c r="B135" s="15"/>
      <c r="D135" s="73"/>
      <c r="E135" s="73"/>
    </row>
    <row r="136">
      <c r="B136" s="15"/>
      <c r="D136" s="73"/>
      <c r="E136" s="73"/>
    </row>
    <row r="137">
      <c r="B137" s="15"/>
      <c r="D137" s="73"/>
      <c r="E137" s="73"/>
    </row>
    <row r="138">
      <c r="B138" s="15"/>
      <c r="D138" s="73"/>
      <c r="E138" s="73"/>
    </row>
    <row r="139">
      <c r="B139" s="15"/>
      <c r="D139" s="73"/>
      <c r="E139" s="73"/>
    </row>
    <row r="140">
      <c r="B140" s="15"/>
      <c r="D140" s="73"/>
      <c r="E140" s="73"/>
    </row>
    <row r="141">
      <c r="B141" s="15"/>
      <c r="D141" s="73"/>
      <c r="E141" s="73"/>
    </row>
    <row r="142">
      <c r="B142" s="15"/>
      <c r="D142" s="73"/>
      <c r="E142" s="73"/>
    </row>
    <row r="143">
      <c r="B143" s="15"/>
      <c r="D143" s="73"/>
      <c r="E143" s="73"/>
    </row>
    <row r="144">
      <c r="B144" s="15"/>
      <c r="D144" s="73"/>
      <c r="E144" s="73"/>
    </row>
    <row r="145">
      <c r="B145" s="15"/>
      <c r="D145" s="73"/>
      <c r="E145" s="73"/>
    </row>
    <row r="146">
      <c r="B146" s="15"/>
      <c r="D146" s="73"/>
      <c r="E146" s="73"/>
    </row>
    <row r="147">
      <c r="B147" s="15"/>
      <c r="D147" s="73"/>
      <c r="E147" s="73"/>
    </row>
    <row r="148">
      <c r="B148" s="15"/>
      <c r="D148" s="73"/>
      <c r="E148" s="73"/>
    </row>
    <row r="149">
      <c r="B149" s="15"/>
      <c r="D149" s="73"/>
      <c r="E149" s="73"/>
    </row>
    <row r="150">
      <c r="B150" s="15"/>
      <c r="D150" s="73"/>
      <c r="E150" s="73"/>
    </row>
    <row r="151">
      <c r="B151" s="15"/>
      <c r="D151" s="73"/>
      <c r="E151" s="73"/>
    </row>
    <row r="152">
      <c r="B152" s="15"/>
      <c r="D152" s="73"/>
      <c r="E152" s="73"/>
    </row>
    <row r="153">
      <c r="B153" s="15"/>
      <c r="D153" s="73"/>
      <c r="E153" s="73"/>
    </row>
    <row r="154">
      <c r="B154" s="15"/>
      <c r="D154" s="73"/>
      <c r="E154" s="73"/>
    </row>
    <row r="155">
      <c r="B155" s="15"/>
      <c r="D155" s="73"/>
      <c r="E155" s="73"/>
    </row>
    <row r="156">
      <c r="B156" s="15"/>
      <c r="D156" s="73"/>
      <c r="E156" s="73"/>
    </row>
    <row r="157">
      <c r="B157" s="15"/>
      <c r="D157" s="73"/>
      <c r="E157" s="73"/>
    </row>
    <row r="158">
      <c r="B158" s="15"/>
      <c r="D158" s="73"/>
      <c r="E158" s="73"/>
    </row>
    <row r="159">
      <c r="B159" s="15"/>
      <c r="D159" s="73"/>
      <c r="E159" s="73"/>
    </row>
    <row r="160">
      <c r="B160" s="15"/>
      <c r="D160" s="73"/>
      <c r="E160" s="73"/>
    </row>
    <row r="161">
      <c r="B161" s="15"/>
      <c r="D161" s="73"/>
      <c r="E161" s="73"/>
    </row>
    <row r="162">
      <c r="B162" s="15"/>
      <c r="D162" s="73"/>
      <c r="E162" s="73"/>
    </row>
    <row r="163">
      <c r="B163" s="15"/>
      <c r="D163" s="73"/>
      <c r="E163" s="73"/>
    </row>
    <row r="164">
      <c r="B164" s="15"/>
      <c r="D164" s="73"/>
      <c r="E164" s="73"/>
    </row>
    <row r="165">
      <c r="B165" s="15"/>
      <c r="D165" s="73"/>
      <c r="E165" s="73"/>
    </row>
    <row r="166">
      <c r="B166" s="15"/>
      <c r="D166" s="73"/>
      <c r="E166" s="73"/>
    </row>
    <row r="167">
      <c r="B167" s="15"/>
      <c r="D167" s="73"/>
      <c r="E167" s="73"/>
    </row>
    <row r="168">
      <c r="B168" s="15"/>
      <c r="D168" s="73"/>
      <c r="E168" s="73"/>
    </row>
    <row r="169">
      <c r="B169" s="15"/>
      <c r="D169" s="73"/>
      <c r="E169" s="73"/>
    </row>
    <row r="170">
      <c r="B170" s="15"/>
      <c r="D170" s="73"/>
      <c r="E170" s="73"/>
    </row>
    <row r="171">
      <c r="B171" s="15"/>
      <c r="D171" s="73"/>
      <c r="E171" s="73"/>
    </row>
    <row r="172">
      <c r="B172" s="15"/>
      <c r="D172" s="73"/>
      <c r="E172" s="73"/>
    </row>
    <row r="173">
      <c r="B173" s="15"/>
      <c r="D173" s="73"/>
      <c r="E173" s="73"/>
    </row>
    <row r="174">
      <c r="B174" s="15"/>
      <c r="D174" s="73"/>
      <c r="E174" s="73"/>
    </row>
    <row r="175">
      <c r="B175" s="15"/>
      <c r="D175" s="73"/>
      <c r="E175" s="73"/>
    </row>
    <row r="176">
      <c r="B176" s="15"/>
      <c r="D176" s="73"/>
      <c r="E176" s="73"/>
    </row>
    <row r="177">
      <c r="B177" s="15"/>
      <c r="D177" s="73"/>
      <c r="E177" s="73"/>
    </row>
    <row r="178">
      <c r="B178" s="15"/>
      <c r="D178" s="73"/>
      <c r="E178" s="73"/>
    </row>
    <row r="179">
      <c r="B179" s="15"/>
      <c r="D179" s="73"/>
      <c r="E179" s="73"/>
    </row>
    <row r="180">
      <c r="B180" s="15"/>
      <c r="D180" s="73"/>
      <c r="E180" s="73"/>
    </row>
    <row r="181">
      <c r="B181" s="15"/>
      <c r="D181" s="73"/>
      <c r="E181" s="73"/>
    </row>
    <row r="182">
      <c r="B182" s="15"/>
      <c r="D182" s="73"/>
      <c r="E182" s="73"/>
    </row>
    <row r="183">
      <c r="B183" s="15"/>
      <c r="D183" s="73"/>
      <c r="E183" s="73"/>
    </row>
    <row r="184">
      <c r="B184" s="15"/>
      <c r="D184" s="73"/>
      <c r="E184" s="73"/>
    </row>
    <row r="185">
      <c r="B185" s="15"/>
      <c r="D185" s="73"/>
      <c r="E185" s="73"/>
    </row>
    <row r="186">
      <c r="B186" s="15"/>
      <c r="D186" s="73"/>
      <c r="E186" s="73"/>
    </row>
    <row r="187">
      <c r="B187" s="15"/>
      <c r="D187" s="73"/>
      <c r="E187" s="73"/>
    </row>
    <row r="188">
      <c r="B188" s="15"/>
      <c r="D188" s="73"/>
      <c r="E188" s="73"/>
    </row>
    <row r="189">
      <c r="B189" s="15"/>
      <c r="D189" s="73"/>
      <c r="E189" s="73"/>
    </row>
    <row r="190">
      <c r="B190" s="15"/>
      <c r="D190" s="73"/>
      <c r="E190" s="73"/>
    </row>
    <row r="191">
      <c r="B191" s="15"/>
      <c r="D191" s="73"/>
      <c r="E191" s="73"/>
    </row>
    <row r="192">
      <c r="B192" s="15"/>
      <c r="D192" s="73"/>
      <c r="E192" s="73"/>
    </row>
    <row r="193">
      <c r="B193" s="15"/>
      <c r="D193" s="73"/>
      <c r="E193" s="73"/>
    </row>
    <row r="194">
      <c r="B194" s="15"/>
      <c r="D194" s="73"/>
      <c r="E194" s="73"/>
    </row>
    <row r="195">
      <c r="B195" s="15"/>
      <c r="D195" s="73"/>
      <c r="E195" s="73"/>
    </row>
    <row r="196">
      <c r="B196" s="15"/>
      <c r="D196" s="73"/>
      <c r="E196" s="73"/>
    </row>
    <row r="197">
      <c r="B197" s="15"/>
      <c r="D197" s="73"/>
      <c r="E197" s="73"/>
    </row>
    <row r="198">
      <c r="B198" s="15"/>
      <c r="D198" s="73"/>
      <c r="E198" s="73"/>
    </row>
    <row r="199">
      <c r="D199" s="73"/>
      <c r="E199" s="73"/>
    </row>
    <row r="200">
      <c r="D200" s="73"/>
      <c r="E200" s="73"/>
    </row>
    <row r="201">
      <c r="D201" s="73"/>
      <c r="E201" s="73"/>
    </row>
    <row r="202">
      <c r="D202" s="73"/>
      <c r="E202" s="73"/>
    </row>
    <row r="203">
      <c r="D203" s="73"/>
      <c r="E203" s="73"/>
    </row>
    <row r="204">
      <c r="D204" s="73"/>
      <c r="E204" s="73"/>
    </row>
    <row r="205">
      <c r="D205" s="73"/>
      <c r="E205" s="73"/>
    </row>
    <row r="206">
      <c r="D206" s="73"/>
      <c r="E206" s="73"/>
    </row>
    <row r="207">
      <c r="D207" s="73"/>
      <c r="E207" s="73"/>
    </row>
    <row r="208">
      <c r="D208" s="73"/>
      <c r="E208" s="73"/>
    </row>
    <row r="209">
      <c r="D209" s="73"/>
      <c r="E209" s="73"/>
    </row>
    <row r="210">
      <c r="D210" s="73"/>
      <c r="E210" s="73"/>
    </row>
    <row r="211">
      <c r="D211" s="73"/>
      <c r="E211" s="73"/>
    </row>
    <row r="212">
      <c r="D212" s="73"/>
      <c r="E212" s="73"/>
    </row>
    <row r="213">
      <c r="D213" s="73"/>
      <c r="E213" s="73"/>
    </row>
    <row r="214">
      <c r="D214" s="73"/>
      <c r="E214" s="73"/>
    </row>
    <row r="215">
      <c r="D215" s="73"/>
      <c r="E215" s="73"/>
    </row>
    <row r="216">
      <c r="D216" s="73"/>
      <c r="E216" s="73"/>
    </row>
    <row r="217">
      <c r="D217" s="73"/>
      <c r="E217" s="73"/>
    </row>
    <row r="218">
      <c r="D218" s="73"/>
      <c r="E218" s="73"/>
    </row>
    <row r="219">
      <c r="D219" s="73"/>
      <c r="E219" s="73"/>
    </row>
    <row r="220">
      <c r="D220" s="73"/>
      <c r="E220" s="73"/>
    </row>
    <row r="221">
      <c r="D221" s="73"/>
      <c r="E221" s="73"/>
    </row>
    <row r="222">
      <c r="D222" s="73"/>
      <c r="E222" s="73"/>
    </row>
    <row r="223">
      <c r="D223" s="73"/>
      <c r="E223" s="73"/>
    </row>
    <row r="224">
      <c r="D224" s="73"/>
      <c r="E224" s="73"/>
    </row>
    <row r="225">
      <c r="D225" s="73"/>
      <c r="E225" s="73"/>
    </row>
    <row r="226">
      <c r="D226" s="73"/>
      <c r="E226" s="73"/>
    </row>
    <row r="227">
      <c r="D227" s="73"/>
      <c r="E227" s="73"/>
    </row>
    <row r="228">
      <c r="D228" s="73"/>
      <c r="E228" s="73"/>
    </row>
    <row r="229">
      <c r="D229" s="73"/>
      <c r="E229" s="73"/>
    </row>
    <row r="230">
      <c r="D230" s="73"/>
      <c r="E230" s="73"/>
    </row>
    <row r="231">
      <c r="D231" s="73"/>
      <c r="E231" s="73"/>
    </row>
    <row r="232">
      <c r="D232" s="73"/>
      <c r="E232" s="73"/>
    </row>
    <row r="233">
      <c r="D233" s="73"/>
      <c r="E233" s="73"/>
    </row>
    <row r="234">
      <c r="D234" s="73"/>
      <c r="E234" s="73"/>
    </row>
    <row r="235">
      <c r="D235" s="73"/>
      <c r="E235" s="73"/>
    </row>
    <row r="236">
      <c r="D236" s="73"/>
      <c r="E236" s="73"/>
    </row>
    <row r="237">
      <c r="D237" s="73"/>
      <c r="E237" s="73"/>
    </row>
    <row r="238">
      <c r="D238" s="73"/>
      <c r="E238" s="73"/>
    </row>
    <row r="239">
      <c r="D239" s="73"/>
      <c r="E239" s="73"/>
    </row>
    <row r="240">
      <c r="D240" s="73"/>
      <c r="E240" s="73"/>
    </row>
    <row r="241">
      <c r="D241" s="73"/>
      <c r="E241" s="73"/>
    </row>
    <row r="242">
      <c r="D242" s="73"/>
      <c r="E242" s="73"/>
    </row>
    <row r="243">
      <c r="D243" s="73"/>
      <c r="E243" s="73"/>
    </row>
    <row r="244">
      <c r="D244" s="73"/>
      <c r="E244" s="73"/>
    </row>
    <row r="245">
      <c r="D245" s="73"/>
      <c r="E245" s="73"/>
    </row>
    <row r="246">
      <c r="D246" s="73"/>
      <c r="E246" s="73"/>
    </row>
    <row r="247">
      <c r="D247" s="73"/>
      <c r="E247" s="73"/>
    </row>
    <row r="248">
      <c r="D248" s="73"/>
      <c r="E248" s="73"/>
    </row>
    <row r="249">
      <c r="D249" s="73"/>
      <c r="E249" s="73"/>
    </row>
    <row r="250">
      <c r="D250" s="73"/>
      <c r="E250" s="73"/>
    </row>
    <row r="251">
      <c r="D251" s="73"/>
      <c r="E251" s="73"/>
    </row>
    <row r="252">
      <c r="D252" s="73"/>
      <c r="E252" s="73"/>
    </row>
    <row r="253">
      <c r="D253" s="73"/>
      <c r="E253" s="73"/>
    </row>
    <row r="254">
      <c r="D254" s="73"/>
      <c r="E254" s="73"/>
    </row>
    <row r="255">
      <c r="D255" s="73"/>
      <c r="E255" s="73"/>
    </row>
    <row r="256">
      <c r="D256" s="73"/>
      <c r="E256" s="73"/>
    </row>
    <row r="257">
      <c r="D257" s="73"/>
      <c r="E257" s="73"/>
    </row>
    <row r="258">
      <c r="D258" s="73"/>
      <c r="E258" s="73"/>
    </row>
    <row r="259">
      <c r="D259" s="73"/>
      <c r="E259" s="73"/>
    </row>
    <row r="260">
      <c r="D260" s="73"/>
      <c r="E260" s="73"/>
    </row>
    <row r="261">
      <c r="D261" s="73"/>
      <c r="E261" s="73"/>
    </row>
    <row r="262">
      <c r="D262" s="73"/>
      <c r="E262" s="73"/>
    </row>
    <row r="263">
      <c r="D263" s="73"/>
      <c r="E263" s="73"/>
    </row>
    <row r="264">
      <c r="D264" s="73"/>
      <c r="E264" s="73"/>
    </row>
    <row r="265">
      <c r="D265" s="73"/>
      <c r="E265" s="73"/>
    </row>
    <row r="266">
      <c r="D266" s="73"/>
      <c r="E266" s="73"/>
    </row>
    <row r="267">
      <c r="D267" s="73"/>
      <c r="E267" s="73"/>
    </row>
    <row r="268">
      <c r="D268" s="73"/>
      <c r="E268" s="73"/>
    </row>
    <row r="269">
      <c r="D269" s="73"/>
      <c r="E269" s="73"/>
    </row>
    <row r="270">
      <c r="D270" s="73"/>
      <c r="E270" s="73"/>
    </row>
    <row r="271">
      <c r="D271" s="73"/>
      <c r="E271" s="73"/>
    </row>
    <row r="272">
      <c r="D272" s="73"/>
      <c r="E272" s="73"/>
    </row>
    <row r="273">
      <c r="D273" s="73"/>
      <c r="E273" s="73"/>
    </row>
    <row r="274">
      <c r="D274" s="73"/>
      <c r="E274" s="73"/>
    </row>
    <row r="275">
      <c r="D275" s="73"/>
      <c r="E275" s="73"/>
    </row>
    <row r="276">
      <c r="D276" s="73"/>
      <c r="E276" s="73"/>
    </row>
    <row r="277">
      <c r="D277" s="73"/>
      <c r="E277" s="73"/>
    </row>
    <row r="278">
      <c r="D278" s="73"/>
      <c r="E278" s="73"/>
    </row>
    <row r="279">
      <c r="D279" s="73"/>
      <c r="E279" s="73"/>
    </row>
    <row r="280">
      <c r="D280" s="73"/>
      <c r="E280" s="73"/>
    </row>
    <row r="281">
      <c r="D281" s="73"/>
      <c r="E281" s="73"/>
    </row>
    <row r="282">
      <c r="D282" s="73"/>
      <c r="E282" s="73"/>
    </row>
    <row r="283">
      <c r="D283" s="73"/>
      <c r="E283" s="73"/>
    </row>
    <row r="284">
      <c r="D284" s="73"/>
      <c r="E284" s="73"/>
    </row>
    <row r="285">
      <c r="D285" s="73"/>
      <c r="E285" s="73"/>
    </row>
    <row r="286">
      <c r="D286" s="73"/>
      <c r="E286" s="73"/>
    </row>
    <row r="287">
      <c r="D287" s="73"/>
      <c r="E287" s="73"/>
    </row>
    <row r="288">
      <c r="D288" s="73"/>
      <c r="E288" s="73"/>
    </row>
    <row r="289">
      <c r="D289" s="73"/>
      <c r="E289" s="73"/>
    </row>
    <row r="290">
      <c r="D290" s="73"/>
      <c r="E290" s="73"/>
    </row>
    <row r="291">
      <c r="D291" s="73"/>
      <c r="E291" s="73"/>
    </row>
    <row r="292">
      <c r="D292" s="73"/>
      <c r="E292" s="73"/>
    </row>
    <row r="293">
      <c r="D293" s="73"/>
      <c r="E293" s="73"/>
    </row>
    <row r="294">
      <c r="D294" s="73"/>
      <c r="E294" s="73"/>
    </row>
    <row r="295">
      <c r="D295" s="73"/>
      <c r="E295" s="73"/>
    </row>
    <row r="296">
      <c r="D296" s="73"/>
      <c r="E296" s="73"/>
    </row>
    <row r="297">
      <c r="D297" s="73"/>
      <c r="E297" s="73"/>
    </row>
    <row r="298">
      <c r="D298" s="73"/>
      <c r="E298" s="73"/>
    </row>
    <row r="299">
      <c r="D299" s="73"/>
      <c r="E299" s="73"/>
    </row>
    <row r="300">
      <c r="D300" s="73"/>
      <c r="E300" s="73"/>
    </row>
    <row r="301">
      <c r="D301" s="73"/>
      <c r="E301" s="73"/>
    </row>
    <row r="302">
      <c r="D302" s="73"/>
      <c r="E302" s="73"/>
    </row>
    <row r="303">
      <c r="D303" s="73"/>
      <c r="E303" s="73"/>
    </row>
    <row r="304">
      <c r="D304" s="73"/>
      <c r="E304" s="73"/>
    </row>
    <row r="305">
      <c r="D305" s="73"/>
      <c r="E305" s="73"/>
    </row>
    <row r="306">
      <c r="D306" s="73"/>
      <c r="E306" s="73"/>
    </row>
    <row r="307">
      <c r="D307" s="73"/>
      <c r="E307" s="73"/>
    </row>
    <row r="308">
      <c r="D308" s="73"/>
      <c r="E308" s="73"/>
    </row>
    <row r="309">
      <c r="D309" s="73"/>
      <c r="E309" s="73"/>
    </row>
    <row r="310">
      <c r="D310" s="73"/>
      <c r="E310" s="73"/>
    </row>
    <row r="311">
      <c r="D311" s="73"/>
      <c r="E311" s="73"/>
    </row>
    <row r="312">
      <c r="D312" s="73"/>
      <c r="E312" s="73"/>
    </row>
    <row r="313">
      <c r="D313" s="73"/>
      <c r="E313" s="73"/>
    </row>
    <row r="314">
      <c r="D314" s="73"/>
      <c r="E314" s="73"/>
    </row>
    <row r="315">
      <c r="D315" s="73"/>
      <c r="E315" s="73"/>
    </row>
    <row r="316">
      <c r="D316" s="73"/>
      <c r="E316" s="73"/>
    </row>
    <row r="317">
      <c r="D317" s="73"/>
      <c r="E317" s="73"/>
    </row>
    <row r="318">
      <c r="D318" s="73"/>
      <c r="E318" s="73"/>
    </row>
    <row r="319">
      <c r="D319" s="73"/>
      <c r="E319" s="73"/>
    </row>
    <row r="320">
      <c r="D320" s="73"/>
      <c r="E320" s="73"/>
    </row>
    <row r="321">
      <c r="D321" s="73"/>
      <c r="E321" s="73"/>
    </row>
    <row r="322">
      <c r="D322" s="73"/>
      <c r="E322" s="73"/>
    </row>
    <row r="323">
      <c r="D323" s="73"/>
      <c r="E323" s="73"/>
    </row>
    <row r="324">
      <c r="D324" s="73"/>
      <c r="E324" s="73"/>
    </row>
    <row r="325">
      <c r="D325" s="73"/>
      <c r="E325" s="73"/>
    </row>
    <row r="326">
      <c r="D326" s="73"/>
      <c r="E326" s="73"/>
    </row>
    <row r="327">
      <c r="D327" s="73"/>
      <c r="E327" s="73"/>
    </row>
    <row r="328">
      <c r="D328" s="73"/>
      <c r="E328" s="73"/>
    </row>
    <row r="329">
      <c r="D329" s="73"/>
      <c r="E329" s="73"/>
    </row>
    <row r="330">
      <c r="D330" s="73"/>
      <c r="E330" s="73"/>
    </row>
    <row r="331">
      <c r="D331" s="73"/>
      <c r="E331" s="73"/>
    </row>
    <row r="332">
      <c r="D332" s="73"/>
      <c r="E332" s="73"/>
    </row>
    <row r="333">
      <c r="D333" s="73"/>
      <c r="E333" s="73"/>
    </row>
    <row r="334">
      <c r="D334" s="73"/>
      <c r="E334" s="73"/>
    </row>
    <row r="335">
      <c r="D335" s="73"/>
      <c r="E335" s="73"/>
    </row>
    <row r="336">
      <c r="D336" s="73"/>
      <c r="E336" s="73"/>
    </row>
    <row r="337">
      <c r="D337" s="73"/>
      <c r="E337" s="73"/>
    </row>
    <row r="338">
      <c r="D338" s="73"/>
      <c r="E338" s="73"/>
    </row>
    <row r="339">
      <c r="D339" s="73"/>
      <c r="E339" s="73"/>
    </row>
    <row r="340">
      <c r="D340" s="73"/>
      <c r="E340" s="73"/>
    </row>
    <row r="341">
      <c r="D341" s="73"/>
      <c r="E341" s="73"/>
    </row>
    <row r="342">
      <c r="D342" s="73"/>
      <c r="E342" s="73"/>
    </row>
    <row r="343">
      <c r="D343" s="73"/>
      <c r="E343" s="73"/>
    </row>
    <row r="344">
      <c r="D344" s="73"/>
      <c r="E344" s="73"/>
    </row>
    <row r="345">
      <c r="D345" s="73"/>
      <c r="E345" s="73"/>
    </row>
    <row r="346">
      <c r="D346" s="73"/>
      <c r="E346" s="73"/>
    </row>
    <row r="347">
      <c r="D347" s="73"/>
      <c r="E347" s="73"/>
    </row>
    <row r="348">
      <c r="D348" s="73"/>
      <c r="E348" s="73"/>
    </row>
    <row r="349">
      <c r="D349" s="73"/>
      <c r="E349" s="73"/>
    </row>
    <row r="350">
      <c r="D350" s="73"/>
      <c r="E350" s="73"/>
    </row>
    <row r="351">
      <c r="D351" s="73"/>
      <c r="E351" s="73"/>
    </row>
    <row r="352">
      <c r="D352" s="73"/>
      <c r="E352" s="73"/>
    </row>
    <row r="353">
      <c r="D353" s="73"/>
      <c r="E353" s="73"/>
    </row>
    <row r="354">
      <c r="D354" s="73"/>
      <c r="E354" s="73"/>
    </row>
    <row r="355">
      <c r="D355" s="73"/>
      <c r="E355" s="73"/>
    </row>
    <row r="356">
      <c r="D356" s="73"/>
      <c r="E356" s="73"/>
    </row>
    <row r="357">
      <c r="D357" s="73"/>
      <c r="E357" s="73"/>
    </row>
    <row r="358">
      <c r="D358" s="73"/>
      <c r="E358" s="73"/>
    </row>
    <row r="359">
      <c r="D359" s="73"/>
      <c r="E359" s="73"/>
    </row>
    <row r="360">
      <c r="D360" s="73"/>
      <c r="E360" s="73"/>
    </row>
    <row r="361">
      <c r="D361" s="73"/>
      <c r="E361" s="73"/>
    </row>
    <row r="362">
      <c r="D362" s="73"/>
      <c r="E362" s="73"/>
    </row>
    <row r="363">
      <c r="D363" s="73"/>
      <c r="E363" s="73"/>
    </row>
    <row r="364">
      <c r="D364" s="73"/>
      <c r="E364" s="73"/>
    </row>
    <row r="365">
      <c r="D365" s="73"/>
      <c r="E365" s="73"/>
    </row>
    <row r="366">
      <c r="D366" s="73"/>
      <c r="E366" s="73"/>
    </row>
    <row r="367">
      <c r="D367" s="73"/>
      <c r="E367" s="73"/>
    </row>
    <row r="368">
      <c r="D368" s="73"/>
      <c r="E368" s="73"/>
    </row>
    <row r="369">
      <c r="D369" s="73"/>
      <c r="E369" s="73"/>
    </row>
    <row r="370">
      <c r="D370" s="73"/>
      <c r="E370" s="73"/>
    </row>
    <row r="371">
      <c r="D371" s="73"/>
      <c r="E371" s="73"/>
    </row>
    <row r="372">
      <c r="D372" s="73"/>
      <c r="E372" s="73"/>
    </row>
    <row r="373">
      <c r="D373" s="73"/>
      <c r="E373" s="73"/>
    </row>
    <row r="374">
      <c r="D374" s="73"/>
      <c r="E374" s="73"/>
    </row>
    <row r="375">
      <c r="D375" s="73"/>
      <c r="E375" s="73"/>
    </row>
    <row r="376">
      <c r="D376" s="73"/>
      <c r="E376" s="73"/>
    </row>
    <row r="377">
      <c r="D377" s="73"/>
      <c r="E377" s="73"/>
    </row>
    <row r="378">
      <c r="D378" s="73"/>
      <c r="E378" s="73"/>
    </row>
    <row r="379">
      <c r="D379" s="73"/>
      <c r="E379" s="73"/>
    </row>
    <row r="380">
      <c r="D380" s="73"/>
      <c r="E380" s="73"/>
    </row>
    <row r="381">
      <c r="D381" s="73"/>
      <c r="E381" s="73"/>
    </row>
    <row r="382">
      <c r="D382" s="73"/>
      <c r="E382" s="73"/>
    </row>
    <row r="383">
      <c r="D383" s="73"/>
      <c r="E383" s="73"/>
    </row>
    <row r="384">
      <c r="D384" s="73"/>
      <c r="E384" s="73"/>
    </row>
    <row r="385">
      <c r="D385" s="73"/>
      <c r="E385" s="73"/>
    </row>
    <row r="386">
      <c r="D386" s="73"/>
      <c r="E386" s="73"/>
    </row>
    <row r="387">
      <c r="D387" s="73"/>
      <c r="E387" s="73"/>
    </row>
    <row r="388">
      <c r="D388" s="73"/>
      <c r="E388" s="73"/>
    </row>
    <row r="389">
      <c r="D389" s="73"/>
      <c r="E389" s="73"/>
    </row>
    <row r="390">
      <c r="D390" s="73"/>
      <c r="E390" s="73"/>
    </row>
    <row r="391">
      <c r="D391" s="73"/>
      <c r="E391" s="73"/>
    </row>
    <row r="392">
      <c r="D392" s="73"/>
      <c r="E392" s="73"/>
    </row>
    <row r="393">
      <c r="D393" s="73"/>
      <c r="E393" s="73"/>
    </row>
    <row r="394">
      <c r="D394" s="73"/>
      <c r="E394" s="73"/>
    </row>
    <row r="395">
      <c r="D395" s="73"/>
      <c r="E395" s="73"/>
    </row>
    <row r="396">
      <c r="D396" s="73"/>
      <c r="E396" s="73"/>
    </row>
    <row r="397">
      <c r="D397" s="73"/>
      <c r="E397" s="73"/>
    </row>
    <row r="398">
      <c r="D398" s="73"/>
      <c r="E398" s="73"/>
    </row>
    <row r="399">
      <c r="D399" s="73"/>
      <c r="E399" s="73"/>
    </row>
    <row r="400">
      <c r="D400" s="73"/>
      <c r="E400" s="73"/>
    </row>
    <row r="401">
      <c r="D401" s="73"/>
      <c r="E401" s="73"/>
    </row>
    <row r="402">
      <c r="D402" s="73"/>
      <c r="E402" s="73"/>
    </row>
    <row r="403">
      <c r="D403" s="73"/>
      <c r="E403" s="73"/>
    </row>
    <row r="404">
      <c r="D404" s="73"/>
      <c r="E404" s="73"/>
    </row>
    <row r="405">
      <c r="D405" s="73"/>
      <c r="E405" s="73"/>
    </row>
    <row r="406">
      <c r="D406" s="73"/>
      <c r="E406" s="73"/>
    </row>
    <row r="407">
      <c r="D407" s="73"/>
      <c r="E407" s="73"/>
    </row>
    <row r="408">
      <c r="D408" s="73"/>
      <c r="E408" s="73"/>
    </row>
    <row r="409">
      <c r="D409" s="73"/>
      <c r="E409" s="73"/>
    </row>
    <row r="410">
      <c r="D410" s="73"/>
      <c r="E410" s="73"/>
    </row>
    <row r="411">
      <c r="D411" s="73"/>
      <c r="E411" s="73"/>
    </row>
    <row r="412">
      <c r="D412" s="73"/>
      <c r="E412" s="73"/>
    </row>
    <row r="413">
      <c r="D413" s="73"/>
      <c r="E413" s="73"/>
    </row>
    <row r="414">
      <c r="D414" s="73"/>
      <c r="E414" s="73"/>
    </row>
    <row r="415">
      <c r="D415" s="73"/>
      <c r="E415" s="73"/>
    </row>
    <row r="416">
      <c r="D416" s="73"/>
      <c r="E416" s="73"/>
    </row>
    <row r="417">
      <c r="D417" s="73"/>
      <c r="E417" s="73"/>
    </row>
    <row r="418">
      <c r="D418" s="73"/>
      <c r="E418" s="73"/>
    </row>
    <row r="419">
      <c r="D419" s="73"/>
      <c r="E419" s="73"/>
    </row>
    <row r="420">
      <c r="D420" s="73"/>
      <c r="E420" s="73"/>
    </row>
    <row r="421">
      <c r="D421" s="73"/>
      <c r="E421" s="73"/>
    </row>
    <row r="422">
      <c r="D422" s="73"/>
      <c r="E422" s="73"/>
    </row>
    <row r="423">
      <c r="D423" s="73"/>
      <c r="E423" s="73"/>
    </row>
    <row r="424">
      <c r="D424" s="73"/>
      <c r="E424" s="73"/>
    </row>
    <row r="425">
      <c r="D425" s="73"/>
      <c r="E425" s="73"/>
    </row>
    <row r="426">
      <c r="D426" s="73"/>
      <c r="E426" s="73"/>
    </row>
    <row r="427">
      <c r="D427" s="73"/>
      <c r="E427" s="73"/>
    </row>
    <row r="428">
      <c r="D428" s="73"/>
      <c r="E428" s="73"/>
    </row>
    <row r="429">
      <c r="D429" s="73"/>
      <c r="E429" s="73"/>
    </row>
    <row r="430">
      <c r="D430" s="73"/>
      <c r="E430" s="73"/>
    </row>
    <row r="431">
      <c r="D431" s="73"/>
      <c r="E431" s="73"/>
    </row>
    <row r="432">
      <c r="D432" s="73"/>
      <c r="E432" s="73"/>
    </row>
    <row r="433">
      <c r="D433" s="73"/>
      <c r="E433" s="73"/>
    </row>
    <row r="434">
      <c r="D434" s="73"/>
      <c r="E434" s="73"/>
    </row>
    <row r="435">
      <c r="D435" s="73"/>
      <c r="E435" s="73"/>
    </row>
    <row r="436">
      <c r="D436" s="73"/>
      <c r="E436" s="73"/>
    </row>
    <row r="437">
      <c r="D437" s="73"/>
      <c r="E437" s="73"/>
    </row>
    <row r="438">
      <c r="D438" s="73"/>
      <c r="E438" s="73"/>
    </row>
    <row r="439">
      <c r="D439" s="73"/>
      <c r="E439" s="73"/>
    </row>
    <row r="440">
      <c r="D440" s="73"/>
      <c r="E440" s="73"/>
    </row>
    <row r="441">
      <c r="D441" s="73"/>
      <c r="E441" s="73"/>
    </row>
    <row r="442">
      <c r="D442" s="73"/>
      <c r="E442" s="73"/>
    </row>
    <row r="443">
      <c r="D443" s="73"/>
      <c r="E443" s="73"/>
    </row>
    <row r="444">
      <c r="D444" s="73"/>
      <c r="E444" s="73"/>
    </row>
    <row r="445">
      <c r="D445" s="73"/>
      <c r="E445" s="73"/>
    </row>
    <row r="446">
      <c r="D446" s="73"/>
      <c r="E446" s="73"/>
    </row>
    <row r="447">
      <c r="D447" s="73"/>
      <c r="E447" s="73"/>
    </row>
    <row r="448">
      <c r="D448" s="73"/>
      <c r="E448" s="73"/>
    </row>
    <row r="449">
      <c r="D449" s="73"/>
      <c r="E449" s="73"/>
    </row>
    <row r="450">
      <c r="D450" s="73"/>
      <c r="E450" s="73"/>
    </row>
    <row r="451">
      <c r="D451" s="73"/>
      <c r="E451" s="73"/>
    </row>
    <row r="452">
      <c r="D452" s="73"/>
      <c r="E452" s="73"/>
    </row>
    <row r="453">
      <c r="D453" s="73"/>
      <c r="E453" s="73"/>
    </row>
    <row r="454">
      <c r="D454" s="73"/>
      <c r="E454" s="73"/>
    </row>
    <row r="455">
      <c r="D455" s="73"/>
      <c r="E455" s="73"/>
    </row>
    <row r="456">
      <c r="D456" s="73"/>
      <c r="E456" s="73"/>
    </row>
    <row r="457">
      <c r="D457" s="73"/>
      <c r="E457" s="73"/>
    </row>
    <row r="458">
      <c r="D458" s="73"/>
      <c r="E458" s="73"/>
    </row>
    <row r="459">
      <c r="D459" s="73"/>
      <c r="E459" s="73"/>
    </row>
    <row r="460">
      <c r="D460" s="73"/>
      <c r="E460" s="73"/>
    </row>
    <row r="461">
      <c r="D461" s="73"/>
      <c r="E461" s="73"/>
    </row>
    <row r="462">
      <c r="D462" s="73"/>
      <c r="E462" s="73"/>
    </row>
    <row r="463">
      <c r="D463" s="73"/>
      <c r="E463" s="73"/>
    </row>
    <row r="464">
      <c r="D464" s="73"/>
      <c r="E464" s="73"/>
    </row>
    <row r="465">
      <c r="D465" s="73"/>
      <c r="E465" s="73"/>
    </row>
    <row r="466">
      <c r="D466" s="73"/>
      <c r="E466" s="73"/>
    </row>
    <row r="467">
      <c r="D467" s="73"/>
      <c r="E467" s="73"/>
    </row>
    <row r="468">
      <c r="D468" s="73"/>
      <c r="E468" s="73"/>
    </row>
    <row r="469">
      <c r="D469" s="73"/>
      <c r="E469" s="73"/>
    </row>
    <row r="470">
      <c r="D470" s="73"/>
      <c r="E470" s="73"/>
    </row>
    <row r="471">
      <c r="D471" s="73"/>
      <c r="E471" s="73"/>
    </row>
    <row r="472">
      <c r="D472" s="73"/>
      <c r="E472" s="73"/>
    </row>
    <row r="473">
      <c r="D473" s="73"/>
      <c r="E473" s="73"/>
    </row>
    <row r="474">
      <c r="D474" s="73"/>
      <c r="E474" s="73"/>
    </row>
    <row r="475">
      <c r="D475" s="73"/>
      <c r="E475" s="73"/>
    </row>
    <row r="476">
      <c r="D476" s="73"/>
      <c r="E476" s="73"/>
    </row>
    <row r="477">
      <c r="D477" s="73"/>
      <c r="E477" s="73"/>
    </row>
    <row r="478">
      <c r="D478" s="73"/>
      <c r="E478" s="73"/>
    </row>
    <row r="479">
      <c r="D479" s="73"/>
      <c r="E479" s="73"/>
    </row>
    <row r="480">
      <c r="D480" s="73"/>
      <c r="E480" s="73"/>
    </row>
    <row r="481">
      <c r="D481" s="73"/>
      <c r="E481" s="73"/>
    </row>
    <row r="482">
      <c r="D482" s="73"/>
      <c r="E482" s="73"/>
    </row>
    <row r="483">
      <c r="D483" s="73"/>
      <c r="E483" s="73"/>
    </row>
    <row r="484">
      <c r="D484" s="73"/>
      <c r="E484" s="73"/>
    </row>
    <row r="485">
      <c r="D485" s="73"/>
      <c r="E485" s="73"/>
    </row>
    <row r="486">
      <c r="D486" s="73"/>
      <c r="E486" s="73"/>
    </row>
    <row r="487">
      <c r="D487" s="73"/>
      <c r="E487" s="73"/>
    </row>
    <row r="488">
      <c r="D488" s="73"/>
      <c r="E488" s="73"/>
    </row>
    <row r="489">
      <c r="D489" s="73"/>
      <c r="E489" s="73"/>
    </row>
    <row r="490">
      <c r="D490" s="73"/>
      <c r="E490" s="73"/>
    </row>
    <row r="491">
      <c r="D491" s="73"/>
      <c r="E491" s="73"/>
    </row>
    <row r="492">
      <c r="D492" s="73"/>
      <c r="E492" s="73"/>
    </row>
    <row r="493">
      <c r="D493" s="73"/>
      <c r="E493" s="73"/>
    </row>
    <row r="494">
      <c r="D494" s="73"/>
      <c r="E494" s="73"/>
    </row>
    <row r="495">
      <c r="D495" s="73"/>
      <c r="E495" s="73"/>
    </row>
    <row r="496">
      <c r="D496" s="73"/>
      <c r="E496" s="73"/>
    </row>
    <row r="497">
      <c r="D497" s="73"/>
      <c r="E497" s="73"/>
    </row>
    <row r="498">
      <c r="D498" s="73"/>
      <c r="E498" s="73"/>
    </row>
    <row r="499">
      <c r="D499" s="73"/>
      <c r="E499" s="73"/>
    </row>
    <row r="500">
      <c r="D500" s="73"/>
      <c r="E500" s="73"/>
    </row>
    <row r="501">
      <c r="D501" s="73"/>
      <c r="E501" s="73"/>
    </row>
    <row r="502">
      <c r="D502" s="73"/>
      <c r="E502" s="73"/>
    </row>
    <row r="503">
      <c r="D503" s="73"/>
      <c r="E503" s="73"/>
    </row>
    <row r="504">
      <c r="D504" s="73"/>
      <c r="E504" s="73"/>
    </row>
    <row r="505">
      <c r="D505" s="73"/>
      <c r="E505" s="73"/>
    </row>
    <row r="506">
      <c r="D506" s="73"/>
      <c r="E506" s="73"/>
    </row>
    <row r="507">
      <c r="D507" s="73"/>
      <c r="E507" s="73"/>
    </row>
    <row r="508">
      <c r="D508" s="73"/>
      <c r="E508" s="73"/>
    </row>
    <row r="509">
      <c r="D509" s="73"/>
      <c r="E509" s="73"/>
    </row>
    <row r="510">
      <c r="D510" s="73"/>
      <c r="E510" s="73"/>
    </row>
    <row r="511">
      <c r="D511" s="73"/>
      <c r="E511" s="73"/>
    </row>
    <row r="512">
      <c r="D512" s="73"/>
      <c r="E512" s="73"/>
    </row>
    <row r="513">
      <c r="D513" s="73"/>
      <c r="E513" s="73"/>
    </row>
    <row r="514">
      <c r="D514" s="73"/>
      <c r="E514" s="73"/>
    </row>
    <row r="515">
      <c r="D515" s="73"/>
      <c r="E515" s="73"/>
    </row>
    <row r="516">
      <c r="D516" s="73"/>
      <c r="E516" s="73"/>
    </row>
    <row r="517">
      <c r="D517" s="73"/>
      <c r="E517" s="73"/>
    </row>
    <row r="518">
      <c r="D518" s="73"/>
      <c r="E518" s="73"/>
    </row>
    <row r="519">
      <c r="D519" s="73"/>
      <c r="E519" s="73"/>
    </row>
    <row r="520">
      <c r="D520" s="73"/>
      <c r="E520" s="73"/>
    </row>
    <row r="521">
      <c r="D521" s="73"/>
      <c r="E521" s="73"/>
    </row>
    <row r="522">
      <c r="D522" s="73"/>
      <c r="E522" s="73"/>
    </row>
    <row r="523">
      <c r="D523" s="73"/>
      <c r="E523" s="73"/>
    </row>
    <row r="524">
      <c r="D524" s="73"/>
      <c r="E524" s="73"/>
    </row>
    <row r="525">
      <c r="D525" s="73"/>
      <c r="E525" s="73"/>
    </row>
    <row r="526">
      <c r="D526" s="73"/>
      <c r="E526" s="73"/>
    </row>
    <row r="527">
      <c r="D527" s="73"/>
      <c r="E527" s="73"/>
    </row>
    <row r="528">
      <c r="D528" s="73"/>
      <c r="E528" s="73"/>
    </row>
    <row r="529">
      <c r="D529" s="73"/>
      <c r="E529" s="73"/>
    </row>
    <row r="530">
      <c r="D530" s="73"/>
      <c r="E530" s="73"/>
    </row>
    <row r="531">
      <c r="D531" s="73"/>
      <c r="E531" s="73"/>
    </row>
    <row r="532">
      <c r="D532" s="73"/>
      <c r="E532" s="73"/>
    </row>
    <row r="533">
      <c r="D533" s="73"/>
      <c r="E533" s="73"/>
    </row>
    <row r="534">
      <c r="D534" s="73"/>
      <c r="E534" s="73"/>
    </row>
    <row r="535">
      <c r="D535" s="73"/>
      <c r="E535" s="73"/>
    </row>
    <row r="536">
      <c r="D536" s="73"/>
      <c r="E536" s="73"/>
    </row>
    <row r="537">
      <c r="D537" s="73"/>
      <c r="E537" s="73"/>
    </row>
    <row r="538">
      <c r="D538" s="73"/>
      <c r="E538" s="73"/>
    </row>
    <row r="539">
      <c r="D539" s="73"/>
      <c r="E539" s="73"/>
    </row>
    <row r="540">
      <c r="D540" s="73"/>
      <c r="E540" s="73"/>
    </row>
    <row r="541">
      <c r="D541" s="73"/>
      <c r="E541" s="73"/>
    </row>
    <row r="542">
      <c r="D542" s="73"/>
      <c r="E542" s="73"/>
    </row>
    <row r="543">
      <c r="D543" s="73"/>
      <c r="E543" s="73"/>
    </row>
    <row r="544">
      <c r="D544" s="73"/>
      <c r="E544" s="73"/>
    </row>
    <row r="545">
      <c r="D545" s="73"/>
      <c r="E545" s="73"/>
    </row>
    <row r="546">
      <c r="D546" s="73"/>
      <c r="E546" s="73"/>
    </row>
    <row r="547">
      <c r="D547" s="73"/>
      <c r="E547" s="73"/>
    </row>
    <row r="548">
      <c r="D548" s="73"/>
      <c r="E548" s="73"/>
    </row>
    <row r="549">
      <c r="D549" s="73"/>
      <c r="E549" s="73"/>
    </row>
    <row r="550">
      <c r="D550" s="73"/>
      <c r="E550" s="73"/>
    </row>
    <row r="551">
      <c r="D551" s="73"/>
      <c r="E551" s="73"/>
    </row>
    <row r="552">
      <c r="D552" s="73"/>
      <c r="E552" s="73"/>
    </row>
    <row r="553">
      <c r="D553" s="73"/>
      <c r="E553" s="73"/>
    </row>
    <row r="554">
      <c r="D554" s="73"/>
      <c r="E554" s="73"/>
    </row>
    <row r="555">
      <c r="D555" s="73"/>
      <c r="E555" s="73"/>
    </row>
    <row r="556">
      <c r="D556" s="73"/>
      <c r="E556" s="73"/>
    </row>
    <row r="557">
      <c r="D557" s="73"/>
      <c r="E557" s="73"/>
    </row>
    <row r="558">
      <c r="D558" s="73"/>
      <c r="E558" s="73"/>
    </row>
    <row r="559">
      <c r="D559" s="73"/>
      <c r="E559" s="73"/>
    </row>
    <row r="560">
      <c r="D560" s="73"/>
      <c r="E560" s="73"/>
    </row>
    <row r="561">
      <c r="D561" s="73"/>
      <c r="E561" s="73"/>
    </row>
    <row r="562">
      <c r="D562" s="73"/>
      <c r="E562" s="73"/>
    </row>
    <row r="563">
      <c r="D563" s="73"/>
      <c r="E563" s="73"/>
    </row>
    <row r="564">
      <c r="D564" s="73"/>
      <c r="E564" s="73"/>
    </row>
    <row r="565">
      <c r="D565" s="73"/>
      <c r="E565" s="73"/>
    </row>
    <row r="566">
      <c r="D566" s="73"/>
      <c r="E566" s="73"/>
    </row>
    <row r="567">
      <c r="D567" s="73"/>
      <c r="E567" s="73"/>
    </row>
    <row r="568">
      <c r="D568" s="73"/>
      <c r="E568" s="73"/>
    </row>
    <row r="569">
      <c r="D569" s="73"/>
      <c r="E569" s="73"/>
    </row>
    <row r="570">
      <c r="D570" s="73"/>
      <c r="E570" s="73"/>
    </row>
    <row r="571">
      <c r="D571" s="73"/>
      <c r="E571" s="73"/>
    </row>
    <row r="572">
      <c r="D572" s="73"/>
      <c r="E572" s="73"/>
    </row>
    <row r="573">
      <c r="D573" s="73"/>
      <c r="E573" s="73"/>
    </row>
    <row r="574">
      <c r="D574" s="73"/>
      <c r="E574" s="73"/>
    </row>
    <row r="575">
      <c r="D575" s="73"/>
      <c r="E575" s="73"/>
    </row>
    <row r="576">
      <c r="D576" s="73"/>
      <c r="E576" s="73"/>
    </row>
    <row r="577">
      <c r="D577" s="73"/>
      <c r="E577" s="73"/>
    </row>
    <row r="578">
      <c r="D578" s="73"/>
      <c r="E578" s="73"/>
    </row>
    <row r="579">
      <c r="D579" s="73"/>
      <c r="E579" s="73"/>
    </row>
    <row r="580">
      <c r="D580" s="73"/>
      <c r="E580" s="73"/>
    </row>
    <row r="581">
      <c r="D581" s="73"/>
      <c r="E581" s="73"/>
    </row>
    <row r="582">
      <c r="D582" s="73"/>
      <c r="E582" s="73"/>
    </row>
    <row r="583">
      <c r="D583" s="73"/>
      <c r="E583" s="73"/>
    </row>
    <row r="584">
      <c r="D584" s="73"/>
      <c r="E584" s="73"/>
    </row>
    <row r="585">
      <c r="D585" s="73"/>
      <c r="E585" s="73"/>
    </row>
    <row r="586">
      <c r="D586" s="73"/>
      <c r="E586" s="73"/>
    </row>
    <row r="587">
      <c r="D587" s="73"/>
      <c r="E587" s="73"/>
    </row>
    <row r="588">
      <c r="D588" s="73"/>
      <c r="E588" s="73"/>
    </row>
    <row r="589">
      <c r="D589" s="73"/>
      <c r="E589" s="73"/>
    </row>
    <row r="590">
      <c r="D590" s="73"/>
      <c r="E590" s="73"/>
    </row>
    <row r="591">
      <c r="D591" s="73"/>
      <c r="E591" s="73"/>
    </row>
    <row r="592">
      <c r="D592" s="73"/>
      <c r="E592" s="73"/>
    </row>
    <row r="593">
      <c r="D593" s="73"/>
      <c r="E593" s="73"/>
    </row>
    <row r="594">
      <c r="D594" s="73"/>
      <c r="E594" s="73"/>
    </row>
    <row r="595">
      <c r="D595" s="73"/>
      <c r="E595" s="73"/>
    </row>
    <row r="596">
      <c r="D596" s="73"/>
      <c r="E596" s="73"/>
    </row>
    <row r="597">
      <c r="D597" s="73"/>
      <c r="E597" s="73"/>
    </row>
    <row r="598">
      <c r="D598" s="73"/>
      <c r="E598" s="73"/>
    </row>
    <row r="599">
      <c r="D599" s="73"/>
      <c r="E599" s="73"/>
    </row>
    <row r="600">
      <c r="D600" s="73"/>
      <c r="E600" s="73"/>
    </row>
    <row r="601">
      <c r="D601" s="73"/>
      <c r="E601" s="73"/>
    </row>
    <row r="602">
      <c r="D602" s="73"/>
      <c r="E602" s="73"/>
    </row>
    <row r="603">
      <c r="D603" s="73"/>
      <c r="E603" s="73"/>
    </row>
    <row r="604">
      <c r="D604" s="73"/>
      <c r="E604" s="73"/>
    </row>
    <row r="605">
      <c r="D605" s="73"/>
      <c r="E605" s="73"/>
    </row>
    <row r="606">
      <c r="D606" s="73"/>
      <c r="E606" s="73"/>
    </row>
    <row r="607">
      <c r="D607" s="73"/>
      <c r="E607" s="73"/>
    </row>
    <row r="608">
      <c r="D608" s="73"/>
      <c r="E608" s="73"/>
    </row>
    <row r="609">
      <c r="D609" s="73"/>
      <c r="E609" s="73"/>
    </row>
    <row r="610">
      <c r="D610" s="73"/>
      <c r="E610" s="73"/>
    </row>
    <row r="611">
      <c r="D611" s="73"/>
      <c r="E611" s="73"/>
    </row>
    <row r="612">
      <c r="D612" s="73"/>
      <c r="E612" s="73"/>
    </row>
    <row r="613">
      <c r="D613" s="73"/>
      <c r="E613" s="73"/>
    </row>
    <row r="614">
      <c r="D614" s="73"/>
      <c r="E614" s="73"/>
    </row>
    <row r="615">
      <c r="D615" s="73"/>
      <c r="E615" s="73"/>
    </row>
    <row r="616">
      <c r="D616" s="73"/>
      <c r="E616" s="73"/>
    </row>
    <row r="617">
      <c r="D617" s="73"/>
      <c r="E617" s="73"/>
    </row>
    <row r="618">
      <c r="D618" s="73"/>
      <c r="E618" s="73"/>
    </row>
    <row r="619">
      <c r="D619" s="73"/>
      <c r="E619" s="73"/>
    </row>
    <row r="620">
      <c r="D620" s="73"/>
      <c r="E620" s="73"/>
    </row>
    <row r="621">
      <c r="D621" s="73"/>
      <c r="E621" s="73"/>
    </row>
    <row r="622">
      <c r="D622" s="73"/>
      <c r="E622" s="73"/>
    </row>
    <row r="623">
      <c r="D623" s="73"/>
      <c r="E623" s="73"/>
    </row>
    <row r="624">
      <c r="D624" s="73"/>
      <c r="E624" s="73"/>
    </row>
    <row r="625">
      <c r="D625" s="73"/>
      <c r="E625" s="73"/>
    </row>
    <row r="626">
      <c r="D626" s="73"/>
      <c r="E626" s="73"/>
    </row>
    <row r="627">
      <c r="D627" s="73"/>
      <c r="E627" s="73"/>
    </row>
    <row r="628">
      <c r="D628" s="73"/>
      <c r="E628" s="73"/>
    </row>
    <row r="629">
      <c r="D629" s="73"/>
      <c r="E629" s="73"/>
    </row>
    <row r="630">
      <c r="D630" s="73"/>
      <c r="E630" s="73"/>
    </row>
    <row r="631">
      <c r="D631" s="73"/>
      <c r="E631" s="73"/>
    </row>
    <row r="632">
      <c r="D632" s="73"/>
      <c r="E632" s="73"/>
    </row>
    <row r="633">
      <c r="D633" s="73"/>
      <c r="E633" s="73"/>
    </row>
    <row r="634">
      <c r="D634" s="73"/>
      <c r="E634" s="73"/>
    </row>
    <row r="635">
      <c r="D635" s="73"/>
      <c r="E635" s="73"/>
    </row>
    <row r="636">
      <c r="D636" s="73"/>
      <c r="E636" s="73"/>
    </row>
    <row r="637">
      <c r="D637" s="73"/>
      <c r="E637" s="73"/>
    </row>
    <row r="638">
      <c r="D638" s="73"/>
      <c r="E638" s="73"/>
    </row>
    <row r="639">
      <c r="D639" s="73"/>
      <c r="E639" s="73"/>
    </row>
    <row r="640">
      <c r="D640" s="73"/>
      <c r="E640" s="73"/>
    </row>
    <row r="641">
      <c r="D641" s="73"/>
      <c r="E641" s="73"/>
    </row>
    <row r="642">
      <c r="D642" s="73"/>
      <c r="E642" s="73"/>
    </row>
    <row r="643">
      <c r="D643" s="73"/>
      <c r="E643" s="73"/>
    </row>
    <row r="644">
      <c r="D644" s="73"/>
      <c r="E644" s="73"/>
    </row>
    <row r="645">
      <c r="D645" s="73"/>
      <c r="E645" s="73"/>
    </row>
    <row r="646">
      <c r="D646" s="73"/>
      <c r="E646" s="73"/>
    </row>
    <row r="647">
      <c r="D647" s="73"/>
      <c r="E647" s="73"/>
    </row>
    <row r="648">
      <c r="D648" s="73"/>
      <c r="E648" s="73"/>
    </row>
    <row r="649">
      <c r="D649" s="73"/>
      <c r="E649" s="73"/>
    </row>
    <row r="650">
      <c r="D650" s="73"/>
      <c r="E650" s="73"/>
    </row>
    <row r="651">
      <c r="D651" s="73"/>
      <c r="E651" s="73"/>
    </row>
    <row r="652">
      <c r="D652" s="73"/>
      <c r="E652" s="73"/>
    </row>
    <row r="653">
      <c r="D653" s="73"/>
      <c r="E653" s="73"/>
    </row>
    <row r="654">
      <c r="D654" s="73"/>
      <c r="E654" s="73"/>
    </row>
    <row r="655">
      <c r="D655" s="73"/>
      <c r="E655" s="73"/>
    </row>
    <row r="656">
      <c r="D656" s="73"/>
      <c r="E656" s="73"/>
    </row>
    <row r="657">
      <c r="D657" s="73"/>
      <c r="E657" s="73"/>
    </row>
    <row r="658">
      <c r="D658" s="73"/>
      <c r="E658" s="73"/>
    </row>
    <row r="659">
      <c r="D659" s="73"/>
      <c r="E659" s="73"/>
    </row>
    <row r="660">
      <c r="D660" s="73"/>
      <c r="E660" s="73"/>
    </row>
    <row r="661">
      <c r="D661" s="73"/>
      <c r="E661" s="73"/>
    </row>
    <row r="662">
      <c r="D662" s="73"/>
      <c r="E662" s="73"/>
    </row>
    <row r="663">
      <c r="D663" s="73"/>
      <c r="E663" s="73"/>
    </row>
    <row r="664">
      <c r="D664" s="73"/>
      <c r="E664" s="73"/>
    </row>
    <row r="665">
      <c r="D665" s="73"/>
      <c r="E665" s="73"/>
    </row>
    <row r="666">
      <c r="D666" s="73"/>
      <c r="E666" s="73"/>
    </row>
    <row r="667">
      <c r="D667" s="73"/>
      <c r="E667" s="73"/>
    </row>
    <row r="668">
      <c r="D668" s="73"/>
      <c r="E668" s="73"/>
    </row>
    <row r="669">
      <c r="D669" s="73"/>
      <c r="E669" s="73"/>
    </row>
    <row r="670">
      <c r="D670" s="73"/>
      <c r="E670" s="73"/>
    </row>
    <row r="671">
      <c r="D671" s="73"/>
      <c r="E671" s="73"/>
    </row>
    <row r="672">
      <c r="D672" s="73"/>
      <c r="E672" s="73"/>
    </row>
    <row r="673">
      <c r="D673" s="73"/>
      <c r="E673" s="73"/>
    </row>
    <row r="674">
      <c r="D674" s="73"/>
      <c r="E674" s="73"/>
    </row>
    <row r="675">
      <c r="D675" s="73"/>
      <c r="E675" s="73"/>
    </row>
    <row r="676">
      <c r="D676" s="73"/>
      <c r="E676" s="73"/>
    </row>
    <row r="677">
      <c r="D677" s="73"/>
      <c r="E677" s="73"/>
    </row>
    <row r="678">
      <c r="D678" s="73"/>
      <c r="E678" s="73"/>
    </row>
    <row r="679">
      <c r="D679" s="73"/>
      <c r="E679" s="73"/>
    </row>
    <row r="680">
      <c r="D680" s="73"/>
      <c r="E680" s="73"/>
    </row>
    <row r="681">
      <c r="D681" s="73"/>
      <c r="E681" s="73"/>
    </row>
    <row r="682">
      <c r="D682" s="73"/>
      <c r="E682" s="73"/>
    </row>
    <row r="683">
      <c r="D683" s="73"/>
      <c r="E683" s="73"/>
    </row>
    <row r="684">
      <c r="D684" s="73"/>
      <c r="E684" s="73"/>
    </row>
    <row r="685">
      <c r="D685" s="73"/>
      <c r="E685" s="73"/>
    </row>
    <row r="686">
      <c r="D686" s="73"/>
      <c r="E686" s="73"/>
    </row>
    <row r="687">
      <c r="D687" s="73"/>
      <c r="E687" s="73"/>
    </row>
    <row r="688">
      <c r="D688" s="73"/>
      <c r="E688" s="73"/>
    </row>
    <row r="689">
      <c r="D689" s="73"/>
      <c r="E689" s="73"/>
    </row>
    <row r="690">
      <c r="D690" s="73"/>
      <c r="E690" s="73"/>
    </row>
    <row r="691">
      <c r="D691" s="73"/>
      <c r="E691" s="73"/>
    </row>
    <row r="692">
      <c r="D692" s="73"/>
      <c r="E692" s="73"/>
    </row>
    <row r="693">
      <c r="D693" s="73"/>
      <c r="E693" s="73"/>
    </row>
    <row r="694">
      <c r="D694" s="73"/>
      <c r="E694" s="73"/>
    </row>
    <row r="695">
      <c r="D695" s="73"/>
      <c r="E695" s="73"/>
    </row>
    <row r="696">
      <c r="D696" s="73"/>
      <c r="E696" s="73"/>
    </row>
    <row r="697">
      <c r="D697" s="73"/>
      <c r="E697" s="73"/>
    </row>
    <row r="698">
      <c r="D698" s="73"/>
      <c r="E698" s="73"/>
    </row>
    <row r="699">
      <c r="D699" s="73"/>
      <c r="E699" s="73"/>
    </row>
    <row r="700">
      <c r="D700" s="73"/>
      <c r="E700" s="73"/>
    </row>
    <row r="701">
      <c r="D701" s="73"/>
      <c r="E701" s="73"/>
    </row>
    <row r="702">
      <c r="D702" s="73"/>
      <c r="E702" s="73"/>
    </row>
    <row r="703">
      <c r="D703" s="73"/>
      <c r="E703" s="73"/>
    </row>
    <row r="704">
      <c r="D704" s="73"/>
      <c r="E704" s="73"/>
    </row>
    <row r="705">
      <c r="D705" s="73"/>
      <c r="E705" s="73"/>
    </row>
    <row r="706">
      <c r="D706" s="73"/>
      <c r="E706" s="73"/>
    </row>
    <row r="707">
      <c r="D707" s="73"/>
      <c r="E707" s="73"/>
    </row>
    <row r="708">
      <c r="D708" s="73"/>
      <c r="E708" s="73"/>
    </row>
    <row r="709">
      <c r="D709" s="73"/>
      <c r="E709" s="73"/>
    </row>
    <row r="710">
      <c r="D710" s="73"/>
      <c r="E710" s="73"/>
    </row>
    <row r="711">
      <c r="D711" s="73"/>
      <c r="E711" s="73"/>
    </row>
    <row r="712">
      <c r="D712" s="73"/>
      <c r="E712" s="73"/>
    </row>
    <row r="713">
      <c r="D713" s="73"/>
      <c r="E713" s="73"/>
    </row>
    <row r="714">
      <c r="D714" s="73"/>
      <c r="E714" s="73"/>
    </row>
    <row r="715">
      <c r="D715" s="73"/>
      <c r="E715" s="73"/>
    </row>
    <row r="716">
      <c r="D716" s="73"/>
      <c r="E716" s="73"/>
    </row>
    <row r="717">
      <c r="D717" s="73"/>
      <c r="E717" s="73"/>
    </row>
    <row r="718">
      <c r="D718" s="73"/>
      <c r="E718" s="73"/>
    </row>
    <row r="719">
      <c r="D719" s="73"/>
      <c r="E719" s="73"/>
    </row>
    <row r="720">
      <c r="D720" s="73"/>
      <c r="E720" s="73"/>
    </row>
    <row r="721">
      <c r="D721" s="73"/>
      <c r="E721" s="73"/>
    </row>
    <row r="722">
      <c r="D722" s="73"/>
      <c r="E722" s="73"/>
    </row>
    <row r="723">
      <c r="D723" s="73"/>
      <c r="E723" s="73"/>
    </row>
    <row r="724">
      <c r="D724" s="73"/>
      <c r="E724" s="73"/>
    </row>
    <row r="725">
      <c r="D725" s="73"/>
      <c r="E725" s="73"/>
    </row>
    <row r="726">
      <c r="D726" s="73"/>
      <c r="E726" s="73"/>
    </row>
    <row r="727">
      <c r="D727" s="73"/>
      <c r="E727" s="73"/>
    </row>
    <row r="728">
      <c r="D728" s="73"/>
      <c r="E728" s="73"/>
    </row>
    <row r="729">
      <c r="D729" s="73"/>
      <c r="E729" s="73"/>
    </row>
    <row r="730">
      <c r="D730" s="73"/>
      <c r="E730" s="73"/>
    </row>
    <row r="731">
      <c r="D731" s="73"/>
      <c r="E731" s="73"/>
    </row>
    <row r="732">
      <c r="D732" s="73"/>
      <c r="E732" s="73"/>
    </row>
    <row r="733">
      <c r="D733" s="73"/>
      <c r="E733" s="73"/>
    </row>
    <row r="734">
      <c r="D734" s="73"/>
      <c r="E734" s="73"/>
    </row>
    <row r="735">
      <c r="D735" s="73"/>
      <c r="E735" s="73"/>
    </row>
    <row r="736">
      <c r="D736" s="73"/>
      <c r="E736" s="73"/>
    </row>
    <row r="737">
      <c r="D737" s="73"/>
      <c r="E737" s="73"/>
    </row>
    <row r="738">
      <c r="D738" s="73"/>
      <c r="E738" s="73"/>
    </row>
    <row r="739">
      <c r="D739" s="73"/>
      <c r="E739" s="73"/>
    </row>
    <row r="740">
      <c r="D740" s="73"/>
      <c r="E740" s="73"/>
    </row>
    <row r="741">
      <c r="D741" s="73"/>
      <c r="E741" s="73"/>
    </row>
    <row r="742">
      <c r="D742" s="73"/>
      <c r="E742" s="73"/>
    </row>
    <row r="743">
      <c r="D743" s="73"/>
      <c r="E743" s="73"/>
    </row>
    <row r="744">
      <c r="D744" s="73"/>
      <c r="E744" s="73"/>
    </row>
    <row r="745">
      <c r="D745" s="73"/>
      <c r="E745" s="73"/>
    </row>
    <row r="746">
      <c r="D746" s="73"/>
      <c r="E746" s="73"/>
    </row>
    <row r="747">
      <c r="D747" s="73"/>
      <c r="E747" s="73"/>
    </row>
    <row r="748">
      <c r="D748" s="73"/>
      <c r="E748" s="73"/>
    </row>
    <row r="749">
      <c r="D749" s="73"/>
      <c r="E749" s="73"/>
    </row>
    <row r="750">
      <c r="D750" s="73"/>
      <c r="E750" s="73"/>
    </row>
    <row r="751">
      <c r="D751" s="73"/>
      <c r="E751" s="73"/>
    </row>
    <row r="752">
      <c r="D752" s="73"/>
      <c r="E752" s="73"/>
    </row>
    <row r="753">
      <c r="D753" s="73"/>
      <c r="E753" s="73"/>
    </row>
    <row r="754">
      <c r="D754" s="73"/>
      <c r="E754" s="73"/>
    </row>
    <row r="755">
      <c r="D755" s="73"/>
      <c r="E755" s="73"/>
    </row>
    <row r="756">
      <c r="D756" s="73"/>
      <c r="E756" s="73"/>
    </row>
    <row r="757">
      <c r="D757" s="73"/>
      <c r="E757" s="73"/>
    </row>
    <row r="758">
      <c r="D758" s="73"/>
      <c r="E758" s="73"/>
    </row>
    <row r="759">
      <c r="D759" s="73"/>
      <c r="E759" s="73"/>
    </row>
    <row r="760">
      <c r="D760" s="73"/>
      <c r="E760" s="73"/>
    </row>
    <row r="761">
      <c r="D761" s="73"/>
      <c r="E761" s="73"/>
    </row>
    <row r="762">
      <c r="D762" s="73"/>
      <c r="E762" s="73"/>
    </row>
    <row r="763">
      <c r="D763" s="73"/>
      <c r="E763" s="73"/>
    </row>
    <row r="764">
      <c r="D764" s="73"/>
      <c r="E764" s="73"/>
    </row>
    <row r="765">
      <c r="D765" s="73"/>
      <c r="E765" s="73"/>
    </row>
    <row r="766">
      <c r="D766" s="73"/>
      <c r="E766" s="73"/>
    </row>
    <row r="767">
      <c r="D767" s="73"/>
      <c r="E767" s="73"/>
    </row>
    <row r="768">
      <c r="D768" s="73"/>
      <c r="E768" s="73"/>
    </row>
    <row r="769">
      <c r="D769" s="73"/>
      <c r="E769" s="73"/>
    </row>
    <row r="770">
      <c r="D770" s="73"/>
      <c r="E770" s="73"/>
    </row>
    <row r="771">
      <c r="D771" s="73"/>
      <c r="E771" s="73"/>
    </row>
    <row r="772">
      <c r="D772" s="73"/>
      <c r="E772" s="73"/>
    </row>
    <row r="773">
      <c r="D773" s="73"/>
      <c r="E773" s="73"/>
    </row>
    <row r="774">
      <c r="D774" s="73"/>
      <c r="E774" s="73"/>
    </row>
    <row r="775">
      <c r="D775" s="73"/>
      <c r="E775" s="73"/>
    </row>
    <row r="776">
      <c r="D776" s="73"/>
      <c r="E776" s="73"/>
    </row>
    <row r="777">
      <c r="D777" s="73"/>
      <c r="E777" s="73"/>
    </row>
    <row r="778">
      <c r="D778" s="73"/>
      <c r="E778" s="73"/>
    </row>
    <row r="779">
      <c r="D779" s="73"/>
      <c r="E779" s="73"/>
    </row>
    <row r="780">
      <c r="D780" s="73"/>
      <c r="E780" s="73"/>
    </row>
    <row r="781">
      <c r="D781" s="73"/>
      <c r="E781" s="73"/>
    </row>
    <row r="782">
      <c r="D782" s="73"/>
      <c r="E782" s="73"/>
    </row>
    <row r="783">
      <c r="D783" s="73"/>
      <c r="E783" s="73"/>
    </row>
    <row r="784">
      <c r="D784" s="73"/>
      <c r="E784" s="73"/>
    </row>
    <row r="785">
      <c r="D785" s="73"/>
      <c r="E785" s="73"/>
    </row>
    <row r="786">
      <c r="D786" s="73"/>
      <c r="E786" s="73"/>
    </row>
    <row r="787">
      <c r="D787" s="73"/>
      <c r="E787" s="73"/>
    </row>
    <row r="788">
      <c r="D788" s="73"/>
      <c r="E788" s="73"/>
    </row>
    <row r="789">
      <c r="D789" s="73"/>
      <c r="E789" s="73"/>
    </row>
    <row r="790">
      <c r="D790" s="73"/>
      <c r="E790" s="73"/>
    </row>
    <row r="791">
      <c r="D791" s="73"/>
      <c r="E791" s="73"/>
    </row>
    <row r="792">
      <c r="D792" s="73"/>
      <c r="E792" s="73"/>
    </row>
    <row r="793">
      <c r="D793" s="73"/>
      <c r="E793" s="73"/>
    </row>
    <row r="794">
      <c r="D794" s="73"/>
      <c r="E794" s="73"/>
    </row>
    <row r="795">
      <c r="D795" s="73"/>
      <c r="E795" s="73"/>
    </row>
    <row r="796">
      <c r="D796" s="73"/>
      <c r="E796" s="73"/>
    </row>
    <row r="797">
      <c r="D797" s="73"/>
      <c r="E797" s="73"/>
    </row>
    <row r="798">
      <c r="D798" s="73"/>
      <c r="E798" s="73"/>
    </row>
    <row r="799">
      <c r="D799" s="73"/>
      <c r="E799" s="73"/>
    </row>
    <row r="800">
      <c r="D800" s="73"/>
      <c r="E800" s="73"/>
    </row>
    <row r="801">
      <c r="D801" s="73"/>
      <c r="E801" s="73"/>
    </row>
    <row r="802">
      <c r="D802" s="73"/>
      <c r="E802" s="73"/>
    </row>
    <row r="803">
      <c r="D803" s="73"/>
      <c r="E803" s="73"/>
    </row>
    <row r="804">
      <c r="D804" s="73"/>
      <c r="E804" s="73"/>
    </row>
    <row r="805">
      <c r="D805" s="73"/>
      <c r="E805" s="73"/>
    </row>
    <row r="806">
      <c r="D806" s="73"/>
      <c r="E806" s="73"/>
    </row>
    <row r="807">
      <c r="D807" s="73"/>
      <c r="E807" s="73"/>
    </row>
    <row r="808">
      <c r="D808" s="73"/>
      <c r="E808" s="73"/>
    </row>
    <row r="809">
      <c r="D809" s="73"/>
      <c r="E809" s="73"/>
    </row>
    <row r="810">
      <c r="D810" s="73"/>
      <c r="E810" s="73"/>
    </row>
    <row r="811">
      <c r="D811" s="73"/>
      <c r="E811" s="73"/>
    </row>
    <row r="812">
      <c r="D812" s="73"/>
      <c r="E812" s="73"/>
    </row>
    <row r="813">
      <c r="D813" s="73"/>
      <c r="E813" s="73"/>
    </row>
    <row r="814">
      <c r="D814" s="73"/>
      <c r="E814" s="73"/>
    </row>
    <row r="815">
      <c r="D815" s="73"/>
      <c r="E815" s="73"/>
    </row>
    <row r="816">
      <c r="D816" s="73"/>
      <c r="E816" s="73"/>
    </row>
    <row r="817">
      <c r="D817" s="73"/>
      <c r="E817" s="73"/>
    </row>
    <row r="818">
      <c r="D818" s="73"/>
      <c r="E818" s="73"/>
    </row>
    <row r="819">
      <c r="D819" s="73"/>
      <c r="E819" s="73"/>
    </row>
    <row r="820">
      <c r="D820" s="73"/>
      <c r="E820" s="73"/>
    </row>
    <row r="821">
      <c r="D821" s="73"/>
      <c r="E821" s="73"/>
    </row>
    <row r="822">
      <c r="D822" s="73"/>
      <c r="E822" s="73"/>
    </row>
    <row r="823">
      <c r="D823" s="73"/>
      <c r="E823" s="73"/>
    </row>
    <row r="824">
      <c r="D824" s="73"/>
      <c r="E824" s="73"/>
    </row>
    <row r="825">
      <c r="D825" s="73"/>
      <c r="E825" s="73"/>
    </row>
    <row r="826">
      <c r="D826" s="73"/>
      <c r="E826" s="73"/>
    </row>
    <row r="827">
      <c r="D827" s="73"/>
      <c r="E827" s="73"/>
    </row>
    <row r="828">
      <c r="D828" s="73"/>
      <c r="E828" s="73"/>
    </row>
    <row r="829">
      <c r="D829" s="73"/>
      <c r="E829" s="73"/>
    </row>
    <row r="830">
      <c r="D830" s="73"/>
      <c r="E830" s="73"/>
    </row>
    <row r="831">
      <c r="D831" s="73"/>
      <c r="E831" s="73"/>
    </row>
    <row r="832">
      <c r="D832" s="73"/>
      <c r="E832" s="73"/>
    </row>
    <row r="833">
      <c r="D833" s="73"/>
      <c r="E833" s="73"/>
    </row>
    <row r="834">
      <c r="D834" s="73"/>
      <c r="E834" s="73"/>
    </row>
    <row r="835">
      <c r="D835" s="73"/>
      <c r="E835" s="73"/>
    </row>
    <row r="836">
      <c r="D836" s="73"/>
      <c r="E836" s="73"/>
    </row>
    <row r="837">
      <c r="D837" s="73"/>
      <c r="E837" s="73"/>
    </row>
    <row r="838">
      <c r="D838" s="73"/>
      <c r="E838" s="73"/>
    </row>
    <row r="839">
      <c r="D839" s="73"/>
      <c r="E839" s="73"/>
    </row>
    <row r="840">
      <c r="D840" s="73"/>
      <c r="E840" s="73"/>
    </row>
    <row r="841">
      <c r="D841" s="73"/>
      <c r="E841" s="73"/>
    </row>
    <row r="842">
      <c r="D842" s="73"/>
      <c r="E842" s="73"/>
    </row>
    <row r="843">
      <c r="D843" s="73"/>
      <c r="E843" s="73"/>
    </row>
    <row r="844">
      <c r="D844" s="73"/>
      <c r="E844" s="73"/>
    </row>
    <row r="845">
      <c r="D845" s="73"/>
      <c r="E845" s="73"/>
    </row>
    <row r="846">
      <c r="D846" s="73"/>
      <c r="E846" s="73"/>
    </row>
    <row r="847">
      <c r="D847" s="73"/>
      <c r="E847" s="73"/>
    </row>
    <row r="848">
      <c r="D848" s="73"/>
      <c r="E848" s="73"/>
    </row>
    <row r="849">
      <c r="D849" s="73"/>
      <c r="E849" s="73"/>
    </row>
    <row r="850">
      <c r="D850" s="73"/>
      <c r="E850" s="73"/>
    </row>
    <row r="851">
      <c r="D851" s="73"/>
      <c r="E851" s="73"/>
    </row>
    <row r="852">
      <c r="D852" s="73"/>
      <c r="E852" s="73"/>
    </row>
    <row r="853">
      <c r="D853" s="73"/>
      <c r="E853" s="73"/>
    </row>
    <row r="854">
      <c r="D854" s="73"/>
      <c r="E854" s="73"/>
    </row>
    <row r="855">
      <c r="D855" s="73"/>
      <c r="E855" s="73"/>
    </row>
    <row r="856">
      <c r="D856" s="73"/>
      <c r="E856" s="73"/>
    </row>
    <row r="857">
      <c r="D857" s="73"/>
      <c r="E857" s="73"/>
    </row>
    <row r="858">
      <c r="D858" s="73"/>
      <c r="E858" s="73"/>
    </row>
    <row r="859">
      <c r="D859" s="73"/>
      <c r="E859" s="73"/>
    </row>
    <row r="860">
      <c r="D860" s="73"/>
      <c r="E860" s="73"/>
    </row>
    <row r="861">
      <c r="D861" s="73"/>
      <c r="E861" s="73"/>
    </row>
    <row r="862">
      <c r="D862" s="73"/>
      <c r="E862" s="73"/>
    </row>
    <row r="863">
      <c r="D863" s="73"/>
      <c r="E863" s="73"/>
    </row>
    <row r="864">
      <c r="D864" s="73"/>
      <c r="E864" s="73"/>
    </row>
    <row r="865">
      <c r="D865" s="73"/>
      <c r="E865" s="73"/>
    </row>
    <row r="866">
      <c r="D866" s="73"/>
      <c r="E866" s="73"/>
    </row>
    <row r="867">
      <c r="D867" s="73"/>
      <c r="E867" s="73"/>
    </row>
    <row r="868">
      <c r="D868" s="73"/>
      <c r="E868" s="73"/>
    </row>
    <row r="869">
      <c r="D869" s="73"/>
      <c r="E869" s="73"/>
    </row>
    <row r="870">
      <c r="D870" s="73"/>
      <c r="E870" s="73"/>
    </row>
    <row r="871">
      <c r="D871" s="73"/>
      <c r="E871" s="73"/>
    </row>
    <row r="872">
      <c r="D872" s="73"/>
      <c r="E872" s="73"/>
    </row>
    <row r="873">
      <c r="D873" s="73"/>
      <c r="E873" s="73"/>
    </row>
    <row r="874">
      <c r="D874" s="73"/>
      <c r="E874" s="73"/>
    </row>
    <row r="875">
      <c r="D875" s="73"/>
      <c r="E875" s="73"/>
    </row>
    <row r="876">
      <c r="D876" s="73"/>
      <c r="E876" s="73"/>
    </row>
    <row r="877">
      <c r="D877" s="73"/>
      <c r="E877" s="73"/>
    </row>
    <row r="878">
      <c r="D878" s="73"/>
      <c r="E878" s="73"/>
    </row>
    <row r="879">
      <c r="D879" s="73"/>
      <c r="E879" s="73"/>
    </row>
    <row r="880">
      <c r="D880" s="73"/>
      <c r="E880" s="73"/>
    </row>
    <row r="881">
      <c r="D881" s="73"/>
      <c r="E881" s="73"/>
    </row>
    <row r="882">
      <c r="D882" s="73"/>
      <c r="E882" s="73"/>
    </row>
    <row r="883">
      <c r="D883" s="73"/>
      <c r="E883" s="73"/>
    </row>
    <row r="884">
      <c r="D884" s="73"/>
      <c r="E884" s="73"/>
    </row>
    <row r="885">
      <c r="D885" s="73"/>
      <c r="E885" s="73"/>
    </row>
    <row r="886">
      <c r="D886" s="73"/>
      <c r="E886" s="73"/>
    </row>
    <row r="887">
      <c r="D887" s="73"/>
      <c r="E887" s="73"/>
    </row>
    <row r="888">
      <c r="D888" s="73"/>
      <c r="E888" s="73"/>
    </row>
    <row r="889">
      <c r="D889" s="73"/>
      <c r="E889" s="73"/>
    </row>
    <row r="890">
      <c r="D890" s="73"/>
      <c r="E890" s="73"/>
    </row>
    <row r="891">
      <c r="D891" s="73"/>
      <c r="E891" s="73"/>
    </row>
    <row r="892">
      <c r="D892" s="73"/>
      <c r="E892" s="73"/>
    </row>
    <row r="893">
      <c r="D893" s="73"/>
      <c r="E893" s="73"/>
    </row>
    <row r="894">
      <c r="D894" s="73"/>
      <c r="E894" s="73"/>
    </row>
    <row r="895">
      <c r="D895" s="73"/>
      <c r="E895" s="73"/>
    </row>
    <row r="896">
      <c r="D896" s="73"/>
      <c r="E896" s="73"/>
    </row>
    <row r="897">
      <c r="D897" s="73"/>
      <c r="E897" s="73"/>
    </row>
    <row r="898">
      <c r="D898" s="73"/>
      <c r="E898" s="73"/>
    </row>
    <row r="899">
      <c r="D899" s="73"/>
      <c r="E899" s="73"/>
    </row>
    <row r="900">
      <c r="D900" s="73"/>
      <c r="E900" s="73"/>
    </row>
    <row r="901">
      <c r="D901" s="73"/>
      <c r="E901" s="73"/>
    </row>
    <row r="902">
      <c r="D902" s="73"/>
      <c r="E902" s="73"/>
    </row>
    <row r="903">
      <c r="D903" s="73"/>
      <c r="E903" s="73"/>
    </row>
    <row r="904">
      <c r="D904" s="73"/>
      <c r="E904" s="73"/>
    </row>
    <row r="905">
      <c r="D905" s="73"/>
      <c r="E905" s="73"/>
    </row>
    <row r="906">
      <c r="D906" s="73"/>
      <c r="E906" s="73"/>
    </row>
    <row r="907">
      <c r="D907" s="73"/>
      <c r="E907" s="73"/>
    </row>
    <row r="908">
      <c r="D908" s="73"/>
      <c r="E908" s="73"/>
    </row>
    <row r="909">
      <c r="D909" s="73"/>
      <c r="E909" s="73"/>
    </row>
    <row r="910">
      <c r="D910" s="73"/>
      <c r="E910" s="73"/>
    </row>
    <row r="911">
      <c r="D911" s="73"/>
      <c r="E911" s="73"/>
    </row>
    <row r="912">
      <c r="D912" s="73"/>
      <c r="E912" s="73"/>
    </row>
    <row r="913">
      <c r="D913" s="73"/>
      <c r="E913" s="73"/>
    </row>
    <row r="914">
      <c r="D914" s="73"/>
      <c r="E914" s="73"/>
    </row>
    <row r="915">
      <c r="D915" s="73"/>
      <c r="E915" s="73"/>
    </row>
    <row r="916">
      <c r="D916" s="73"/>
      <c r="E916" s="73"/>
    </row>
    <row r="917">
      <c r="D917" s="73"/>
      <c r="E917" s="73"/>
    </row>
    <row r="918">
      <c r="D918" s="73"/>
      <c r="E918" s="73"/>
    </row>
    <row r="919">
      <c r="D919" s="73"/>
      <c r="E919" s="73"/>
    </row>
    <row r="920">
      <c r="D920" s="73"/>
      <c r="E920" s="73"/>
    </row>
    <row r="921">
      <c r="D921" s="73"/>
      <c r="E921" s="73"/>
    </row>
    <row r="922">
      <c r="D922" s="73"/>
      <c r="E922" s="73"/>
    </row>
    <row r="923">
      <c r="D923" s="73"/>
      <c r="E923" s="73"/>
    </row>
    <row r="924">
      <c r="D924" s="73"/>
      <c r="E924" s="73"/>
    </row>
    <row r="925">
      <c r="D925" s="73"/>
      <c r="E925" s="73"/>
    </row>
    <row r="926">
      <c r="D926" s="73"/>
      <c r="E926" s="73"/>
    </row>
    <row r="927">
      <c r="D927" s="73"/>
      <c r="E927" s="73"/>
    </row>
    <row r="928">
      <c r="D928" s="73"/>
      <c r="E928" s="73"/>
    </row>
    <row r="929">
      <c r="D929" s="73"/>
      <c r="E929" s="73"/>
    </row>
    <row r="930">
      <c r="D930" s="73"/>
      <c r="E930" s="73"/>
    </row>
    <row r="931">
      <c r="D931" s="73"/>
      <c r="E931" s="73"/>
    </row>
    <row r="932">
      <c r="D932" s="73"/>
      <c r="E932" s="73"/>
    </row>
    <row r="933">
      <c r="D933" s="73"/>
      <c r="E933" s="73"/>
    </row>
    <row r="934">
      <c r="D934" s="73"/>
      <c r="E934" s="73"/>
    </row>
    <row r="935">
      <c r="D935" s="73"/>
      <c r="E935" s="73"/>
    </row>
    <row r="936">
      <c r="D936" s="73"/>
      <c r="E936" s="73"/>
    </row>
    <row r="937">
      <c r="D937" s="73"/>
      <c r="E937" s="73"/>
    </row>
    <row r="938">
      <c r="D938" s="73"/>
      <c r="E938" s="73"/>
    </row>
    <row r="939">
      <c r="D939" s="73"/>
      <c r="E939" s="73"/>
    </row>
    <row r="940">
      <c r="D940" s="73"/>
      <c r="E940" s="73"/>
    </row>
    <row r="941">
      <c r="D941" s="73"/>
      <c r="E941" s="73"/>
    </row>
    <row r="942">
      <c r="D942" s="73"/>
      <c r="E942" s="73"/>
    </row>
    <row r="943">
      <c r="D943" s="73"/>
      <c r="E943" s="73"/>
    </row>
    <row r="944">
      <c r="D944" s="73"/>
      <c r="E944" s="73"/>
    </row>
    <row r="945">
      <c r="D945" s="73"/>
      <c r="E945" s="73"/>
    </row>
    <row r="946">
      <c r="D946" s="73"/>
      <c r="E946" s="73"/>
    </row>
    <row r="947">
      <c r="D947" s="73"/>
      <c r="E947" s="73"/>
    </row>
    <row r="948">
      <c r="D948" s="73"/>
      <c r="E948" s="73"/>
    </row>
    <row r="949">
      <c r="D949" s="73"/>
      <c r="E949" s="73"/>
    </row>
    <row r="950">
      <c r="D950" s="73"/>
      <c r="E950" s="73"/>
    </row>
    <row r="951">
      <c r="D951" s="73"/>
      <c r="E951" s="73"/>
    </row>
    <row r="952">
      <c r="D952" s="73"/>
      <c r="E952" s="73"/>
    </row>
    <row r="953">
      <c r="D953" s="73"/>
      <c r="E953" s="73"/>
    </row>
    <row r="954">
      <c r="D954" s="73"/>
      <c r="E954" s="73"/>
    </row>
    <row r="955">
      <c r="D955" s="73"/>
      <c r="E955" s="73"/>
    </row>
    <row r="956">
      <c r="D956" s="73"/>
      <c r="E956" s="73"/>
    </row>
    <row r="957">
      <c r="D957" s="73"/>
      <c r="E957" s="73"/>
    </row>
    <row r="958">
      <c r="D958" s="73"/>
      <c r="E958" s="73"/>
    </row>
    <row r="959">
      <c r="D959" s="73"/>
      <c r="E959" s="73"/>
    </row>
    <row r="960">
      <c r="D960" s="73"/>
      <c r="E960" s="73"/>
    </row>
    <row r="961">
      <c r="D961" s="73"/>
      <c r="E961" s="73"/>
    </row>
    <row r="962">
      <c r="D962" s="73"/>
      <c r="E962" s="73"/>
    </row>
    <row r="963">
      <c r="D963" s="73"/>
      <c r="E963" s="73"/>
    </row>
    <row r="964">
      <c r="D964" s="73"/>
      <c r="E964" s="73"/>
    </row>
    <row r="965">
      <c r="D965" s="73"/>
      <c r="E965" s="73"/>
    </row>
    <row r="966">
      <c r="D966" s="73"/>
      <c r="E966" s="73"/>
    </row>
    <row r="967">
      <c r="D967" s="73"/>
      <c r="E967" s="73"/>
    </row>
    <row r="968">
      <c r="D968" s="73"/>
      <c r="E968" s="73"/>
    </row>
    <row r="969">
      <c r="D969" s="73"/>
      <c r="E969" s="73"/>
    </row>
    <row r="970">
      <c r="D970" s="73"/>
      <c r="E970" s="73"/>
    </row>
    <row r="971">
      <c r="D971" s="73"/>
      <c r="E971" s="73"/>
    </row>
    <row r="972">
      <c r="D972" s="73"/>
      <c r="E972" s="73"/>
    </row>
    <row r="973">
      <c r="D973" s="73"/>
      <c r="E973" s="73"/>
    </row>
    <row r="974">
      <c r="D974" s="73"/>
      <c r="E974" s="73"/>
    </row>
    <row r="975">
      <c r="D975" s="73"/>
      <c r="E975" s="73"/>
    </row>
    <row r="976">
      <c r="D976" s="73"/>
      <c r="E976" s="73"/>
    </row>
    <row r="977">
      <c r="D977" s="73"/>
      <c r="E977" s="73"/>
    </row>
    <row r="978">
      <c r="D978" s="73"/>
      <c r="E978" s="73"/>
    </row>
    <row r="979">
      <c r="D979" s="73"/>
      <c r="E979" s="73"/>
    </row>
    <row r="980">
      <c r="D980" s="73"/>
      <c r="E980" s="73"/>
    </row>
    <row r="981">
      <c r="D981" s="73"/>
      <c r="E981" s="73"/>
    </row>
    <row r="982">
      <c r="D982" s="73"/>
      <c r="E982" s="73"/>
    </row>
    <row r="983">
      <c r="D983" s="73"/>
      <c r="E983" s="73"/>
    </row>
    <row r="984">
      <c r="D984" s="73"/>
      <c r="E984" s="73"/>
    </row>
    <row r="985">
      <c r="D985" s="73"/>
      <c r="E985" s="73"/>
    </row>
    <row r="986">
      <c r="D986" s="73"/>
      <c r="E986" s="73"/>
    </row>
    <row r="987">
      <c r="D987" s="73"/>
      <c r="E987" s="73"/>
    </row>
    <row r="988">
      <c r="D988" s="73"/>
      <c r="E988" s="73"/>
    </row>
    <row r="989">
      <c r="D989" s="73"/>
      <c r="E989" s="73"/>
    </row>
    <row r="990">
      <c r="D990" s="73"/>
      <c r="E990" s="73"/>
    </row>
    <row r="991">
      <c r="D991" s="73"/>
      <c r="E991" s="73"/>
    </row>
    <row r="992">
      <c r="D992" s="73"/>
      <c r="E992" s="73"/>
    </row>
    <row r="993">
      <c r="D993" s="73"/>
      <c r="E993" s="73"/>
    </row>
    <row r="994">
      <c r="D994" s="73"/>
      <c r="E994" s="73"/>
    </row>
    <row r="995">
      <c r="D995" s="73"/>
      <c r="E995" s="73"/>
    </row>
    <row r="996">
      <c r="D996" s="73"/>
      <c r="E996" s="73"/>
    </row>
    <row r="997">
      <c r="D997" s="73"/>
      <c r="E997" s="73"/>
    </row>
    <row r="998">
      <c r="D998" s="73"/>
      <c r="E998" s="73"/>
    </row>
  </sheetData>
  <dataValidations>
    <dataValidation type="list" allowBlank="1" sqref="B2:B198">
      <formula1>Lookups!$A$1:$A$6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17.75"/>
    <col customWidth="1" min="3" max="3" width="35.75"/>
    <col customWidth="1" min="4" max="4" width="13.0"/>
    <col customWidth="1" min="5" max="5" width="13.25"/>
    <col customWidth="1" min="6" max="6" width="31.75"/>
    <col customWidth="1" min="7" max="7" width="8.25"/>
  </cols>
  <sheetData>
    <row r="1">
      <c r="A1" s="2" t="s">
        <v>1175</v>
      </c>
      <c r="B1" s="2" t="s">
        <v>1</v>
      </c>
      <c r="C1" s="68" t="s">
        <v>2</v>
      </c>
      <c r="D1" s="69" t="s">
        <v>3</v>
      </c>
      <c r="E1" s="70" t="s">
        <v>4</v>
      </c>
      <c r="F1" s="2" t="s">
        <v>5</v>
      </c>
      <c r="G1" s="6" t="s">
        <v>6</v>
      </c>
      <c r="H1" s="7" t="s">
        <v>7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9.5" customHeight="1">
      <c r="A2" s="7" t="s">
        <v>8</v>
      </c>
      <c r="B2" s="7" t="s">
        <v>9</v>
      </c>
      <c r="C2" s="71" t="s">
        <v>10</v>
      </c>
      <c r="D2" s="72">
        <f>IFERROR(__xludf.DUMMYFUNCTION("SPLIT(C2,"","")"),57.0482555)</f>
        <v>57.0482555</v>
      </c>
      <c r="E2" s="73">
        <f>IFERROR(__xludf.DUMMYFUNCTION("""COMPUTED_VALUE"""),9.913457)</f>
        <v>9.913457</v>
      </c>
      <c r="F2" s="12" t="s">
        <v>11</v>
      </c>
      <c r="G2" s="7">
        <v>3.0</v>
      </c>
      <c r="H2" s="13" t="s">
        <v>12</v>
      </c>
    </row>
    <row r="3">
      <c r="A3" s="13" t="s">
        <v>1176</v>
      </c>
      <c r="B3" s="13" t="s">
        <v>1056</v>
      </c>
      <c r="C3" s="13" t="s">
        <v>1177</v>
      </c>
      <c r="D3" s="72">
        <f>IFERROR(__xludf.DUMMYFUNCTION("SPLIT(C3,"","")"),56.2280642)</f>
        <v>56.2280642</v>
      </c>
      <c r="E3" s="73">
        <f>IFERROR(__xludf.DUMMYFUNCTION("""COMPUTED_VALUE"""),10.7174371)</f>
        <v>10.7174371</v>
      </c>
      <c r="F3" s="13" t="s">
        <v>1178</v>
      </c>
      <c r="G3" s="13">
        <v>4.0</v>
      </c>
    </row>
    <row r="4">
      <c r="A4" s="13" t="s">
        <v>400</v>
      </c>
      <c r="B4" s="13" t="s">
        <v>51</v>
      </c>
      <c r="C4" s="13" t="s">
        <v>1179</v>
      </c>
      <c r="D4" s="72">
        <f>IFERROR(__xludf.DUMMYFUNCTION("SPLIT(C4,"","")"),56.0887158)</f>
        <v>56.0887158</v>
      </c>
      <c r="E4" s="73">
        <f>IFERROR(__xludf.DUMMYFUNCTION("""COMPUTED_VALUE"""),10.221313)</f>
        <v>10.221313</v>
      </c>
      <c r="F4" s="13" t="s">
        <v>1180</v>
      </c>
      <c r="G4" s="13">
        <v>5.0</v>
      </c>
    </row>
    <row r="5">
      <c r="A5" s="13" t="s">
        <v>713</v>
      </c>
      <c r="B5" s="13" t="s">
        <v>17</v>
      </c>
      <c r="C5" s="13" t="s">
        <v>1181</v>
      </c>
      <c r="D5" s="72">
        <f>IFERROR(__xludf.DUMMYFUNCTION("SPLIT(C5,"","")"),55.6736871)</f>
        <v>55.6736871</v>
      </c>
      <c r="E5" s="73">
        <f>IFERROR(__xludf.DUMMYFUNCTION("""COMPUTED_VALUE"""),12.5659584)</f>
        <v>12.5659584</v>
      </c>
      <c r="F5" s="13" t="s">
        <v>1182</v>
      </c>
      <c r="G5" s="13">
        <v>5.0</v>
      </c>
    </row>
    <row r="6">
      <c r="A6" s="13" t="s">
        <v>1078</v>
      </c>
      <c r="B6" s="13" t="s">
        <v>9</v>
      </c>
      <c r="C6" s="13" t="s">
        <v>1079</v>
      </c>
      <c r="D6" s="72">
        <f>IFERROR(__xludf.DUMMYFUNCTION("SPLIT(C6,"","")"),56.1569652)</f>
        <v>56.1569652</v>
      </c>
      <c r="E6" s="73">
        <f>IFERROR(__xludf.DUMMYFUNCTION("""COMPUTED_VALUE"""),9.9446105)</f>
        <v>9.9446105</v>
      </c>
      <c r="F6" s="13" t="s">
        <v>1183</v>
      </c>
    </row>
    <row r="7">
      <c r="A7" s="13" t="s">
        <v>1184</v>
      </c>
      <c r="B7" s="13" t="s">
        <v>23</v>
      </c>
      <c r="C7" s="13" t="s">
        <v>1185</v>
      </c>
      <c r="D7" s="72">
        <f>IFERROR(__xludf.DUMMYFUNCTION("SPLIT(C7,"","")"),55.9381974)</f>
        <v>55.9381974</v>
      </c>
      <c r="E7" s="73">
        <f>IFERROR(__xludf.DUMMYFUNCTION("""COMPUTED_VALUE"""),8.7300809)</f>
        <v>8.7300809</v>
      </c>
      <c r="F7" s="13" t="s">
        <v>1186</v>
      </c>
      <c r="G7" s="13">
        <v>1.0</v>
      </c>
    </row>
    <row r="8">
      <c r="A8" s="13" t="s">
        <v>243</v>
      </c>
      <c r="B8" s="13" t="s">
        <v>51</v>
      </c>
      <c r="C8" s="13" t="s">
        <v>52</v>
      </c>
      <c r="D8" s="72">
        <f>IFERROR(__xludf.DUMMYFUNCTION("SPLIT(C8,"","")"),56.1587826)</f>
        <v>56.1587826</v>
      </c>
      <c r="E8" s="73">
        <f>IFERROR(__xludf.DUMMYFUNCTION("""COMPUTED_VALUE"""),10.1899265)</f>
        <v>10.1899265</v>
      </c>
      <c r="F8" s="13" t="s">
        <v>1187</v>
      </c>
      <c r="G8" s="13">
        <v>4.0</v>
      </c>
    </row>
    <row r="9">
      <c r="A9" s="13" t="s">
        <v>1188</v>
      </c>
      <c r="B9" s="13" t="s">
        <v>17</v>
      </c>
      <c r="C9" s="13" t="s">
        <v>1189</v>
      </c>
      <c r="D9" s="72">
        <f>IFERROR(__xludf.DUMMYFUNCTION("SPLIT(C9,"","")"),56.1720435)</f>
        <v>56.1720435</v>
      </c>
      <c r="E9" s="73">
        <f>IFERROR(__xludf.DUMMYFUNCTION("""COMPUTED_VALUE"""),10.2002921)</f>
        <v>10.2002921</v>
      </c>
      <c r="F9" s="13" t="s">
        <v>1190</v>
      </c>
      <c r="G9" s="13">
        <v>5.0</v>
      </c>
    </row>
    <row r="10">
      <c r="A10" s="13" t="s">
        <v>1191</v>
      </c>
      <c r="B10" s="13" t="s">
        <v>1192</v>
      </c>
      <c r="C10" s="13" t="s">
        <v>1193</v>
      </c>
      <c r="D10" s="72">
        <f>IFERROR(__xludf.DUMMYFUNCTION("SPLIT(C10,"","")"),56.1323273)</f>
        <v>56.1323273</v>
      </c>
      <c r="E10" s="75">
        <f>IFERROR(__xludf.DUMMYFUNCTION("""COMPUTED_VALUE"""),10.1465997)</f>
        <v>10.1465997</v>
      </c>
      <c r="F10" s="13" t="s">
        <v>1194</v>
      </c>
      <c r="G10" s="13">
        <v>5.0</v>
      </c>
    </row>
    <row r="11">
      <c r="A11" s="13" t="s">
        <v>1195</v>
      </c>
      <c r="B11" s="13" t="s">
        <v>1196</v>
      </c>
      <c r="C11" s="13" t="s">
        <v>1197</v>
      </c>
      <c r="D11" s="13">
        <v>56.370411</v>
      </c>
      <c r="E11" s="31">
        <v>8.6048592</v>
      </c>
      <c r="F11" s="13" t="s">
        <v>1198</v>
      </c>
      <c r="G11" s="13">
        <v>1.0</v>
      </c>
    </row>
    <row r="12">
      <c r="B12" s="15"/>
      <c r="D12" s="76"/>
      <c r="E12" s="73"/>
    </row>
    <row r="13">
      <c r="B13" s="15"/>
      <c r="D13" s="76"/>
      <c r="E13" s="73"/>
    </row>
    <row r="14">
      <c r="B14" s="15"/>
      <c r="D14" s="76"/>
      <c r="E14" s="73"/>
    </row>
    <row r="15">
      <c r="B15" s="15"/>
      <c r="D15" s="76"/>
      <c r="E15" s="73"/>
    </row>
    <row r="16">
      <c r="B16" s="15"/>
      <c r="D16" s="76"/>
      <c r="E16" s="73"/>
    </row>
    <row r="17">
      <c r="B17" s="15"/>
      <c r="D17" s="76"/>
      <c r="E17" s="73"/>
    </row>
    <row r="18">
      <c r="B18" s="15"/>
      <c r="D18" s="76"/>
      <c r="E18" s="73"/>
    </row>
    <row r="19">
      <c r="B19" s="15"/>
      <c r="D19" s="76"/>
      <c r="E19" s="73"/>
    </row>
    <row r="20">
      <c r="B20" s="15"/>
      <c r="D20" s="76"/>
      <c r="E20" s="73"/>
    </row>
    <row r="21">
      <c r="B21" s="15"/>
      <c r="D21" s="76"/>
      <c r="E21" s="73"/>
    </row>
    <row r="22">
      <c r="B22" s="15"/>
      <c r="D22" s="76"/>
      <c r="E22" s="73"/>
    </row>
    <row r="23">
      <c r="B23" s="15"/>
      <c r="D23" s="76"/>
      <c r="E23" s="73"/>
    </row>
    <row r="24">
      <c r="B24" s="15"/>
      <c r="D24" s="76"/>
      <c r="E24" s="73"/>
    </row>
    <row r="25">
      <c r="B25" s="15"/>
      <c r="D25" s="76"/>
      <c r="E25" s="73"/>
    </row>
    <row r="26">
      <c r="B26" s="15"/>
      <c r="D26" s="76"/>
      <c r="E26" s="73"/>
    </row>
    <row r="27">
      <c r="B27" s="15"/>
      <c r="D27" s="76"/>
      <c r="E27" s="73"/>
    </row>
    <row r="28">
      <c r="B28" s="15"/>
      <c r="D28" s="76"/>
      <c r="E28" s="73"/>
    </row>
    <row r="29">
      <c r="B29" s="15"/>
      <c r="D29" s="76"/>
      <c r="E29" s="73"/>
    </row>
    <row r="30">
      <c r="B30" s="15"/>
      <c r="D30" s="76"/>
      <c r="E30" s="73"/>
    </row>
    <row r="31">
      <c r="B31" s="15"/>
      <c r="D31" s="76"/>
      <c r="E31" s="73"/>
    </row>
    <row r="32">
      <c r="B32" s="15"/>
      <c r="D32" s="76"/>
      <c r="E32" s="73"/>
    </row>
    <row r="33">
      <c r="B33" s="15"/>
      <c r="D33" s="76"/>
      <c r="E33" s="73"/>
    </row>
    <row r="34">
      <c r="B34" s="15"/>
      <c r="D34" s="76"/>
      <c r="E34" s="73"/>
    </row>
    <row r="35">
      <c r="B35" s="15"/>
      <c r="D35" s="76" t="str">
        <f>IFERROR(__xludf.DUMMYFUNCTION("SPLIT(C35,"","")"),"#VALUE!")</f>
        <v>#VALUE!</v>
      </c>
      <c r="E35" s="73"/>
    </row>
    <row r="36">
      <c r="B36" s="15"/>
      <c r="D36" s="76" t="str">
        <f>IFERROR(__xludf.DUMMYFUNCTION("SPLIT(C36,"","")"),"#VALUE!")</f>
        <v>#VALUE!</v>
      </c>
      <c r="E36" s="73"/>
    </row>
    <row r="37">
      <c r="B37" s="15"/>
      <c r="D37" s="76" t="str">
        <f>IFERROR(__xludf.DUMMYFUNCTION("SPLIT(C37,"","")"),"#VALUE!")</f>
        <v>#VALUE!</v>
      </c>
      <c r="E37" s="73"/>
    </row>
    <row r="38">
      <c r="B38" s="15"/>
      <c r="D38" s="76" t="str">
        <f>IFERROR(__xludf.DUMMYFUNCTION("SPLIT(C38,"","")"),"#VALUE!")</f>
        <v>#VALUE!</v>
      </c>
      <c r="E38" s="73"/>
    </row>
    <row r="39">
      <c r="B39" s="15"/>
      <c r="D39" s="76" t="str">
        <f>IFERROR(__xludf.DUMMYFUNCTION("SPLIT(C39,"","")"),"#VALUE!")</f>
        <v>#VALUE!</v>
      </c>
      <c r="E39" s="73"/>
    </row>
    <row r="40">
      <c r="B40" s="15"/>
      <c r="D40" s="76" t="str">
        <f>IFERROR(__xludf.DUMMYFUNCTION("SPLIT(C40,"","")"),"#VALUE!")</f>
        <v>#VALUE!</v>
      </c>
      <c r="E40" s="73"/>
    </row>
    <row r="41">
      <c r="B41" s="15"/>
      <c r="D41" s="76" t="str">
        <f>IFERROR(__xludf.DUMMYFUNCTION("SPLIT(C41,"","")"),"#VALUE!")</f>
        <v>#VALUE!</v>
      </c>
      <c r="E41" s="73"/>
    </row>
    <row r="42">
      <c r="B42" s="15"/>
      <c r="D42" s="76" t="str">
        <f>IFERROR(__xludf.DUMMYFUNCTION("SPLIT(C42,"","")"),"#VALUE!")</f>
        <v>#VALUE!</v>
      </c>
      <c r="E42" s="73"/>
    </row>
    <row r="43">
      <c r="B43" s="15"/>
      <c r="D43" s="76" t="str">
        <f>IFERROR(__xludf.DUMMYFUNCTION("SPLIT(C43,"","")"),"#VALUE!")</f>
        <v>#VALUE!</v>
      </c>
      <c r="E43" s="73"/>
    </row>
    <row r="44">
      <c r="B44" s="15"/>
      <c r="D44" s="76" t="str">
        <f>IFERROR(__xludf.DUMMYFUNCTION("SPLIT(C44,"","")"),"#VALUE!")</f>
        <v>#VALUE!</v>
      </c>
      <c r="E44" s="73"/>
    </row>
    <row r="45">
      <c r="B45" s="15"/>
      <c r="D45" s="76" t="str">
        <f>IFERROR(__xludf.DUMMYFUNCTION("SPLIT(C45,"","")"),"#VALUE!")</f>
        <v>#VALUE!</v>
      </c>
      <c r="E45" s="73"/>
    </row>
    <row r="46">
      <c r="B46" s="15"/>
      <c r="D46" s="76" t="str">
        <f>IFERROR(__xludf.DUMMYFUNCTION("SPLIT(C46,"","")"),"#VALUE!")</f>
        <v>#VALUE!</v>
      </c>
      <c r="E46" s="73"/>
    </row>
    <row r="47">
      <c r="B47" s="15"/>
      <c r="D47" s="76" t="str">
        <f>IFERROR(__xludf.DUMMYFUNCTION("SPLIT(C47,"","")"),"#VALUE!")</f>
        <v>#VALUE!</v>
      </c>
      <c r="E47" s="73"/>
    </row>
    <row r="48">
      <c r="B48" s="15"/>
      <c r="D48" s="76" t="str">
        <f>IFERROR(__xludf.DUMMYFUNCTION("SPLIT(C48,"","")"),"#VALUE!")</f>
        <v>#VALUE!</v>
      </c>
      <c r="E48" s="73"/>
    </row>
    <row r="49">
      <c r="B49" s="15"/>
      <c r="D49" s="76" t="str">
        <f>IFERROR(__xludf.DUMMYFUNCTION("SPLIT(C49,"","")"),"#VALUE!")</f>
        <v>#VALUE!</v>
      </c>
      <c r="E49" s="73"/>
    </row>
    <row r="50">
      <c r="B50" s="15"/>
      <c r="D50" s="76" t="str">
        <f>IFERROR(__xludf.DUMMYFUNCTION("SPLIT(C50,"","")"),"#VALUE!")</f>
        <v>#VALUE!</v>
      </c>
      <c r="E50" s="73"/>
    </row>
    <row r="51">
      <c r="B51" s="15"/>
      <c r="D51" s="76" t="str">
        <f>IFERROR(__xludf.DUMMYFUNCTION("SPLIT(C51,"","")"),"#VALUE!")</f>
        <v>#VALUE!</v>
      </c>
      <c r="E51" s="73"/>
    </row>
    <row r="52">
      <c r="B52" s="15"/>
      <c r="D52" s="76" t="str">
        <f>IFERROR(__xludf.DUMMYFUNCTION("SPLIT(C52,"","")"),"#VALUE!")</f>
        <v>#VALUE!</v>
      </c>
      <c r="E52" s="73"/>
    </row>
    <row r="53">
      <c r="B53" s="15"/>
      <c r="D53" s="76" t="str">
        <f>IFERROR(__xludf.DUMMYFUNCTION("SPLIT(C53,"","")"),"#VALUE!")</f>
        <v>#VALUE!</v>
      </c>
      <c r="E53" s="73"/>
    </row>
    <row r="54">
      <c r="B54" s="15"/>
      <c r="D54" s="76" t="str">
        <f>IFERROR(__xludf.DUMMYFUNCTION("SPLIT(C54,"","")"),"#VALUE!")</f>
        <v>#VALUE!</v>
      </c>
      <c r="E54" s="73"/>
    </row>
    <row r="55">
      <c r="B55" s="15"/>
      <c r="D55" s="76" t="str">
        <f>IFERROR(__xludf.DUMMYFUNCTION("SPLIT(C55,"","")"),"#VALUE!")</f>
        <v>#VALUE!</v>
      </c>
      <c r="E55" s="73"/>
    </row>
    <row r="56">
      <c r="B56" s="15"/>
      <c r="D56" s="76" t="str">
        <f>IFERROR(__xludf.DUMMYFUNCTION("SPLIT(C56,"","")"),"#VALUE!")</f>
        <v>#VALUE!</v>
      </c>
      <c r="E56" s="73"/>
    </row>
    <row r="57">
      <c r="B57" s="15"/>
      <c r="D57" s="76" t="str">
        <f>IFERROR(__xludf.DUMMYFUNCTION("SPLIT(C57,"","")"),"#VALUE!")</f>
        <v>#VALUE!</v>
      </c>
      <c r="E57" s="73"/>
    </row>
    <row r="58">
      <c r="B58" s="15"/>
      <c r="D58" s="76" t="str">
        <f>IFERROR(__xludf.DUMMYFUNCTION("SPLIT(C58,"","")"),"#VALUE!")</f>
        <v>#VALUE!</v>
      </c>
      <c r="E58" s="73"/>
    </row>
    <row r="59">
      <c r="B59" s="15"/>
      <c r="D59" s="76" t="str">
        <f>IFERROR(__xludf.DUMMYFUNCTION("SPLIT(C59,"","")"),"#VALUE!")</f>
        <v>#VALUE!</v>
      </c>
      <c r="E59" s="73"/>
    </row>
    <row r="60">
      <c r="B60" s="15"/>
      <c r="D60" s="76" t="str">
        <f>IFERROR(__xludf.DUMMYFUNCTION("SPLIT(C60,"","")"),"#VALUE!")</f>
        <v>#VALUE!</v>
      </c>
      <c r="E60" s="73"/>
    </row>
    <row r="61">
      <c r="B61" s="15"/>
      <c r="D61" s="76" t="str">
        <f>IFERROR(__xludf.DUMMYFUNCTION("SPLIT(C61,"","")"),"#VALUE!")</f>
        <v>#VALUE!</v>
      </c>
      <c r="E61" s="73"/>
    </row>
    <row r="62">
      <c r="B62" s="15"/>
      <c r="D62" s="76" t="str">
        <f>IFERROR(__xludf.DUMMYFUNCTION("SPLIT(C62,"","")"),"#VALUE!")</f>
        <v>#VALUE!</v>
      </c>
      <c r="E62" s="73"/>
    </row>
    <row r="63">
      <c r="B63" s="15"/>
      <c r="D63" s="76" t="str">
        <f>IFERROR(__xludf.DUMMYFUNCTION("SPLIT(C63,"","")"),"#VALUE!")</f>
        <v>#VALUE!</v>
      </c>
      <c r="E63" s="73"/>
    </row>
    <row r="64">
      <c r="B64" s="15"/>
      <c r="D64" s="73"/>
      <c r="E64" s="73"/>
    </row>
    <row r="65">
      <c r="B65" s="15"/>
      <c r="D65" s="73"/>
      <c r="E65" s="73"/>
    </row>
    <row r="66">
      <c r="B66" s="15"/>
      <c r="D66" s="73"/>
      <c r="E66" s="73"/>
    </row>
    <row r="67">
      <c r="B67" s="15"/>
      <c r="D67" s="73"/>
      <c r="E67" s="73"/>
    </row>
    <row r="68">
      <c r="B68" s="15"/>
      <c r="D68" s="73"/>
      <c r="E68" s="73"/>
    </row>
    <row r="69">
      <c r="B69" s="15"/>
      <c r="D69" s="73"/>
      <c r="E69" s="73"/>
    </row>
    <row r="70">
      <c r="B70" s="15"/>
      <c r="D70" s="73"/>
      <c r="E70" s="73"/>
    </row>
    <row r="71">
      <c r="B71" s="15"/>
      <c r="D71" s="73"/>
      <c r="E71" s="73"/>
    </row>
    <row r="72">
      <c r="B72" s="15"/>
      <c r="D72" s="73"/>
      <c r="E72" s="73"/>
    </row>
    <row r="73">
      <c r="B73" s="15"/>
      <c r="D73" s="73"/>
      <c r="E73" s="73"/>
    </row>
    <row r="74">
      <c r="B74" s="15"/>
      <c r="D74" s="73"/>
      <c r="E74" s="73"/>
    </row>
    <row r="75">
      <c r="B75" s="15"/>
      <c r="D75" s="73"/>
      <c r="E75" s="73"/>
    </row>
    <row r="76">
      <c r="B76" s="15"/>
      <c r="D76" s="73"/>
      <c r="E76" s="73"/>
    </row>
    <row r="77">
      <c r="B77" s="15"/>
      <c r="D77" s="73"/>
      <c r="E77" s="73"/>
    </row>
    <row r="78">
      <c r="B78" s="15"/>
      <c r="D78" s="73"/>
      <c r="E78" s="73"/>
    </row>
    <row r="79">
      <c r="B79" s="15"/>
      <c r="D79" s="73"/>
      <c r="E79" s="73"/>
    </row>
    <row r="80">
      <c r="B80" s="15"/>
      <c r="D80" s="73"/>
      <c r="E80" s="73"/>
    </row>
    <row r="81">
      <c r="B81" s="15"/>
      <c r="D81" s="73"/>
      <c r="E81" s="73"/>
    </row>
    <row r="82">
      <c r="B82" s="15"/>
      <c r="D82" s="73"/>
      <c r="E82" s="73"/>
    </row>
    <row r="83">
      <c r="B83" s="15"/>
      <c r="D83" s="73"/>
      <c r="E83" s="73"/>
    </row>
    <row r="84">
      <c r="B84" s="15"/>
      <c r="D84" s="73"/>
      <c r="E84" s="73"/>
    </row>
    <row r="85">
      <c r="B85" s="15"/>
      <c r="D85" s="73"/>
      <c r="E85" s="73"/>
    </row>
    <row r="86">
      <c r="B86" s="15"/>
      <c r="D86" s="73"/>
      <c r="E86" s="73"/>
    </row>
    <row r="87">
      <c r="B87" s="15"/>
      <c r="D87" s="73"/>
      <c r="E87" s="73"/>
    </row>
    <row r="88">
      <c r="B88" s="15"/>
      <c r="D88" s="73"/>
      <c r="E88" s="73"/>
    </row>
    <row r="89">
      <c r="B89" s="15"/>
      <c r="D89" s="73"/>
      <c r="E89" s="73"/>
    </row>
    <row r="90">
      <c r="B90" s="15"/>
      <c r="D90" s="73"/>
      <c r="E90" s="73"/>
    </row>
    <row r="91">
      <c r="B91" s="15"/>
      <c r="D91" s="73"/>
      <c r="E91" s="73"/>
    </row>
    <row r="92">
      <c r="B92" s="15"/>
      <c r="D92" s="73"/>
      <c r="E92" s="73"/>
    </row>
    <row r="93">
      <c r="B93" s="15"/>
      <c r="D93" s="73"/>
      <c r="E93" s="73"/>
    </row>
    <row r="94">
      <c r="B94" s="15"/>
      <c r="D94" s="73"/>
      <c r="E94" s="73"/>
    </row>
    <row r="95">
      <c r="B95" s="15"/>
      <c r="D95" s="73"/>
      <c r="E95" s="73"/>
    </row>
    <row r="96">
      <c r="B96" s="15"/>
      <c r="D96" s="73"/>
      <c r="E96" s="73"/>
    </row>
    <row r="97">
      <c r="B97" s="15"/>
      <c r="D97" s="73"/>
      <c r="E97" s="73"/>
    </row>
    <row r="98">
      <c r="B98" s="15"/>
      <c r="D98" s="73"/>
      <c r="E98" s="73"/>
    </row>
    <row r="99">
      <c r="B99" s="15"/>
      <c r="D99" s="73"/>
      <c r="E99" s="73"/>
    </row>
    <row r="100">
      <c r="B100" s="15"/>
      <c r="D100" s="73"/>
      <c r="E100" s="73"/>
    </row>
    <row r="101">
      <c r="B101" s="15"/>
      <c r="D101" s="73"/>
      <c r="E101" s="73"/>
    </row>
    <row r="102">
      <c r="B102" s="15"/>
      <c r="D102" s="73"/>
      <c r="E102" s="73"/>
    </row>
    <row r="103">
      <c r="B103" s="15"/>
      <c r="D103" s="73"/>
      <c r="E103" s="73"/>
    </row>
    <row r="104">
      <c r="B104" s="15"/>
      <c r="D104" s="73"/>
      <c r="E104" s="73"/>
    </row>
    <row r="105">
      <c r="B105" s="15"/>
      <c r="D105" s="73"/>
      <c r="E105" s="73"/>
    </row>
    <row r="106">
      <c r="B106" s="15"/>
      <c r="D106" s="73"/>
      <c r="E106" s="73"/>
    </row>
    <row r="107">
      <c r="B107" s="15"/>
      <c r="D107" s="73"/>
      <c r="E107" s="73"/>
    </row>
    <row r="108">
      <c r="B108" s="15"/>
      <c r="D108" s="73"/>
      <c r="E108" s="73"/>
    </row>
    <row r="109">
      <c r="B109" s="15"/>
      <c r="D109" s="73"/>
      <c r="E109" s="73"/>
    </row>
    <row r="110">
      <c r="B110" s="15"/>
      <c r="D110" s="73"/>
      <c r="E110" s="73"/>
    </row>
    <row r="111">
      <c r="B111" s="15"/>
      <c r="D111" s="73"/>
      <c r="E111" s="73"/>
    </row>
    <row r="112">
      <c r="B112" s="15"/>
      <c r="D112" s="73"/>
      <c r="E112" s="73"/>
    </row>
    <row r="113">
      <c r="B113" s="15"/>
      <c r="D113" s="73"/>
      <c r="E113" s="73"/>
    </row>
    <row r="114">
      <c r="B114" s="15"/>
      <c r="D114" s="73"/>
      <c r="E114" s="73"/>
    </row>
    <row r="115">
      <c r="B115" s="15"/>
      <c r="D115" s="73"/>
      <c r="E115" s="73"/>
    </row>
    <row r="116">
      <c r="B116" s="15"/>
      <c r="D116" s="73"/>
      <c r="E116" s="73"/>
    </row>
    <row r="117">
      <c r="B117" s="15"/>
      <c r="D117" s="73"/>
      <c r="E117" s="73"/>
    </row>
    <row r="118">
      <c r="B118" s="15"/>
      <c r="D118" s="73"/>
      <c r="E118" s="73"/>
    </row>
    <row r="119">
      <c r="B119" s="15"/>
      <c r="D119" s="73"/>
      <c r="E119" s="73"/>
    </row>
    <row r="120">
      <c r="B120" s="15"/>
      <c r="D120" s="73"/>
      <c r="E120" s="73"/>
    </row>
    <row r="121">
      <c r="B121" s="15"/>
      <c r="D121" s="73"/>
      <c r="E121" s="73"/>
    </row>
    <row r="122">
      <c r="B122" s="15"/>
      <c r="D122" s="73"/>
      <c r="E122" s="73"/>
    </row>
    <row r="123">
      <c r="B123" s="15"/>
      <c r="D123" s="73"/>
      <c r="E123" s="73"/>
    </row>
    <row r="124">
      <c r="B124" s="15"/>
      <c r="D124" s="73"/>
      <c r="E124" s="73"/>
    </row>
    <row r="125">
      <c r="B125" s="15"/>
      <c r="D125" s="73"/>
      <c r="E125" s="73"/>
    </row>
    <row r="126">
      <c r="B126" s="15"/>
      <c r="D126" s="73"/>
      <c r="E126" s="73"/>
    </row>
    <row r="127">
      <c r="B127" s="15"/>
      <c r="D127" s="73"/>
      <c r="E127" s="73"/>
    </row>
    <row r="128">
      <c r="B128" s="15"/>
      <c r="D128" s="73"/>
      <c r="E128" s="73"/>
    </row>
    <row r="129">
      <c r="B129" s="15"/>
      <c r="D129" s="73"/>
      <c r="E129" s="73"/>
    </row>
    <row r="130">
      <c r="B130" s="15"/>
      <c r="D130" s="73"/>
      <c r="E130" s="73"/>
    </row>
    <row r="131">
      <c r="B131" s="15"/>
      <c r="D131" s="73"/>
      <c r="E131" s="73"/>
    </row>
    <row r="132">
      <c r="B132" s="15"/>
      <c r="D132" s="73"/>
      <c r="E132" s="73"/>
    </row>
    <row r="133">
      <c r="B133" s="15"/>
      <c r="D133" s="73"/>
      <c r="E133" s="73"/>
    </row>
    <row r="134">
      <c r="B134" s="15"/>
      <c r="D134" s="73"/>
      <c r="E134" s="73"/>
    </row>
    <row r="135">
      <c r="B135" s="15"/>
      <c r="D135" s="73"/>
      <c r="E135" s="73"/>
    </row>
    <row r="136">
      <c r="B136" s="15"/>
      <c r="D136" s="73"/>
      <c r="E136" s="73"/>
    </row>
    <row r="137">
      <c r="B137" s="15"/>
      <c r="D137" s="73"/>
      <c r="E137" s="73"/>
    </row>
    <row r="138">
      <c r="B138" s="15"/>
      <c r="D138" s="73"/>
      <c r="E138" s="73"/>
    </row>
    <row r="139">
      <c r="B139" s="15"/>
      <c r="D139" s="73"/>
      <c r="E139" s="73"/>
    </row>
    <row r="140">
      <c r="B140" s="15"/>
      <c r="D140" s="73"/>
      <c r="E140" s="73"/>
    </row>
    <row r="141">
      <c r="B141" s="15"/>
      <c r="D141" s="73"/>
      <c r="E141" s="73"/>
    </row>
    <row r="142">
      <c r="B142" s="15"/>
      <c r="D142" s="73"/>
      <c r="E142" s="73"/>
    </row>
    <row r="143">
      <c r="B143" s="15"/>
      <c r="D143" s="73"/>
      <c r="E143" s="73"/>
    </row>
    <row r="144">
      <c r="B144" s="15"/>
      <c r="D144" s="73"/>
      <c r="E144" s="73"/>
    </row>
    <row r="145">
      <c r="B145" s="15"/>
      <c r="D145" s="73"/>
      <c r="E145" s="73"/>
    </row>
    <row r="146">
      <c r="B146" s="15"/>
      <c r="D146" s="73"/>
      <c r="E146" s="73"/>
    </row>
    <row r="147">
      <c r="B147" s="15"/>
      <c r="D147" s="73"/>
      <c r="E147" s="73"/>
    </row>
    <row r="148">
      <c r="B148" s="15"/>
      <c r="D148" s="73"/>
      <c r="E148" s="73"/>
    </row>
    <row r="149">
      <c r="B149" s="15"/>
      <c r="D149" s="73"/>
      <c r="E149" s="73"/>
    </row>
    <row r="150">
      <c r="B150" s="15"/>
      <c r="D150" s="73"/>
      <c r="E150" s="73"/>
    </row>
    <row r="151">
      <c r="B151" s="15"/>
      <c r="D151" s="73"/>
      <c r="E151" s="73"/>
    </row>
    <row r="152">
      <c r="B152" s="15"/>
      <c r="D152" s="73"/>
      <c r="E152" s="73"/>
    </row>
    <row r="153">
      <c r="B153" s="15"/>
      <c r="D153" s="73"/>
      <c r="E153" s="73"/>
    </row>
    <row r="154">
      <c r="B154" s="15"/>
      <c r="D154" s="73"/>
      <c r="E154" s="73"/>
    </row>
    <row r="155">
      <c r="B155" s="15"/>
      <c r="D155" s="73"/>
      <c r="E155" s="73"/>
    </row>
    <row r="156">
      <c r="B156" s="15"/>
      <c r="D156" s="73"/>
      <c r="E156" s="73"/>
    </row>
    <row r="157">
      <c r="B157" s="15"/>
      <c r="D157" s="73"/>
      <c r="E157" s="73"/>
    </row>
    <row r="158">
      <c r="B158" s="15"/>
      <c r="D158" s="73"/>
      <c r="E158" s="73"/>
    </row>
    <row r="159">
      <c r="B159" s="15"/>
      <c r="D159" s="73"/>
      <c r="E159" s="73"/>
    </row>
    <row r="160">
      <c r="B160" s="15"/>
      <c r="D160" s="73"/>
      <c r="E160" s="73"/>
    </row>
    <row r="161">
      <c r="B161" s="15"/>
      <c r="D161" s="73"/>
      <c r="E161" s="73"/>
    </row>
    <row r="162">
      <c r="B162" s="15"/>
      <c r="D162" s="73"/>
      <c r="E162" s="73"/>
    </row>
    <row r="163">
      <c r="B163" s="15"/>
      <c r="D163" s="73"/>
      <c r="E163" s="73"/>
    </row>
    <row r="164">
      <c r="B164" s="15"/>
      <c r="D164" s="73"/>
      <c r="E164" s="73"/>
    </row>
    <row r="165">
      <c r="B165" s="15"/>
      <c r="D165" s="73"/>
      <c r="E165" s="73"/>
    </row>
    <row r="166">
      <c r="B166" s="15"/>
      <c r="D166" s="73"/>
      <c r="E166" s="73"/>
    </row>
    <row r="167">
      <c r="B167" s="15"/>
      <c r="D167" s="73"/>
      <c r="E167" s="73"/>
    </row>
    <row r="168">
      <c r="B168" s="15"/>
      <c r="D168" s="73"/>
      <c r="E168" s="73"/>
    </row>
    <row r="169">
      <c r="B169" s="15"/>
      <c r="D169" s="73"/>
      <c r="E169" s="73"/>
    </row>
    <row r="170">
      <c r="B170" s="15"/>
      <c r="D170" s="73"/>
      <c r="E170" s="73"/>
    </row>
    <row r="171">
      <c r="B171" s="15"/>
      <c r="D171" s="73"/>
      <c r="E171" s="73"/>
    </row>
    <row r="172">
      <c r="B172" s="15"/>
      <c r="D172" s="73"/>
      <c r="E172" s="73"/>
    </row>
    <row r="173">
      <c r="B173" s="15"/>
      <c r="D173" s="73"/>
      <c r="E173" s="73"/>
    </row>
    <row r="174">
      <c r="B174" s="15"/>
      <c r="D174" s="73"/>
      <c r="E174" s="73"/>
    </row>
    <row r="175">
      <c r="B175" s="15"/>
      <c r="D175" s="73"/>
      <c r="E175" s="73"/>
    </row>
    <row r="176">
      <c r="B176" s="15"/>
      <c r="D176" s="73"/>
      <c r="E176" s="73"/>
    </row>
    <row r="177">
      <c r="B177" s="15"/>
      <c r="D177" s="73"/>
      <c r="E177" s="73"/>
    </row>
    <row r="178">
      <c r="B178" s="15"/>
      <c r="D178" s="73"/>
      <c r="E178" s="73"/>
    </row>
    <row r="179">
      <c r="B179" s="15"/>
      <c r="D179" s="73"/>
      <c r="E179" s="73"/>
    </row>
    <row r="180">
      <c r="B180" s="15"/>
      <c r="D180" s="73"/>
      <c r="E180" s="73"/>
    </row>
    <row r="181">
      <c r="B181" s="15"/>
      <c r="D181" s="73"/>
      <c r="E181" s="73"/>
    </row>
    <row r="182">
      <c r="B182" s="15"/>
      <c r="D182" s="73"/>
      <c r="E182" s="73"/>
    </row>
    <row r="183">
      <c r="B183" s="15"/>
      <c r="D183" s="73"/>
      <c r="E183" s="73"/>
    </row>
    <row r="184">
      <c r="B184" s="15"/>
      <c r="D184" s="73"/>
      <c r="E184" s="73"/>
    </row>
    <row r="185">
      <c r="B185" s="15"/>
      <c r="D185" s="73"/>
      <c r="E185" s="73"/>
    </row>
    <row r="186">
      <c r="B186" s="15"/>
      <c r="D186" s="73"/>
      <c r="E186" s="73"/>
    </row>
    <row r="187">
      <c r="B187" s="15"/>
      <c r="D187" s="73"/>
      <c r="E187" s="73"/>
    </row>
    <row r="188">
      <c r="B188" s="15"/>
      <c r="D188" s="73"/>
      <c r="E188" s="73"/>
    </row>
    <row r="189">
      <c r="B189" s="15"/>
      <c r="D189" s="73"/>
      <c r="E189" s="73"/>
    </row>
    <row r="190">
      <c r="B190" s="15"/>
      <c r="D190" s="73"/>
      <c r="E190" s="73"/>
    </row>
    <row r="191">
      <c r="B191" s="15"/>
      <c r="D191" s="73"/>
      <c r="E191" s="73"/>
    </row>
    <row r="192">
      <c r="B192" s="15"/>
      <c r="D192" s="73"/>
      <c r="E192" s="73"/>
    </row>
    <row r="193">
      <c r="B193" s="15"/>
      <c r="D193" s="73"/>
      <c r="E193" s="73"/>
    </row>
    <row r="194">
      <c r="B194" s="15"/>
      <c r="D194" s="73"/>
      <c r="E194" s="73"/>
    </row>
    <row r="195">
      <c r="B195" s="15"/>
      <c r="D195" s="73"/>
      <c r="E195" s="73"/>
    </row>
    <row r="196">
      <c r="B196" s="15"/>
      <c r="D196" s="73"/>
      <c r="E196" s="73"/>
    </row>
    <row r="197">
      <c r="B197" s="15"/>
      <c r="D197" s="73"/>
      <c r="E197" s="73"/>
    </row>
    <row r="198">
      <c r="D198" s="73"/>
      <c r="E198" s="73"/>
    </row>
    <row r="199">
      <c r="D199" s="73"/>
      <c r="E199" s="73"/>
    </row>
    <row r="200">
      <c r="D200" s="73"/>
      <c r="E200" s="73"/>
    </row>
    <row r="201">
      <c r="D201" s="73"/>
      <c r="E201" s="73"/>
    </row>
    <row r="202">
      <c r="D202" s="73"/>
      <c r="E202" s="73"/>
    </row>
    <row r="203">
      <c r="D203" s="73"/>
      <c r="E203" s="73"/>
    </row>
    <row r="204">
      <c r="D204" s="73"/>
      <c r="E204" s="73"/>
    </row>
    <row r="205">
      <c r="D205" s="73"/>
      <c r="E205" s="73"/>
    </row>
    <row r="206">
      <c r="D206" s="73"/>
      <c r="E206" s="73"/>
    </row>
    <row r="207">
      <c r="D207" s="73"/>
      <c r="E207" s="73"/>
    </row>
    <row r="208">
      <c r="D208" s="73"/>
      <c r="E208" s="73"/>
    </row>
    <row r="209">
      <c r="D209" s="73"/>
      <c r="E209" s="73"/>
    </row>
    <row r="210">
      <c r="D210" s="73"/>
      <c r="E210" s="73"/>
    </row>
    <row r="211">
      <c r="D211" s="73"/>
      <c r="E211" s="73"/>
    </row>
    <row r="212">
      <c r="D212" s="73"/>
      <c r="E212" s="73"/>
    </row>
    <row r="213">
      <c r="D213" s="73"/>
      <c r="E213" s="73"/>
    </row>
    <row r="214">
      <c r="D214" s="73"/>
      <c r="E214" s="73"/>
    </row>
    <row r="215">
      <c r="D215" s="73"/>
      <c r="E215" s="73"/>
    </row>
    <row r="216">
      <c r="D216" s="73"/>
      <c r="E216" s="73"/>
    </row>
    <row r="217">
      <c r="D217" s="73"/>
      <c r="E217" s="73"/>
    </row>
    <row r="218">
      <c r="D218" s="73"/>
      <c r="E218" s="73"/>
    </row>
    <row r="219">
      <c r="D219" s="73"/>
      <c r="E219" s="73"/>
    </row>
    <row r="220">
      <c r="D220" s="73"/>
      <c r="E220" s="73"/>
    </row>
    <row r="221">
      <c r="D221" s="73"/>
      <c r="E221" s="73"/>
    </row>
    <row r="222">
      <c r="D222" s="73"/>
      <c r="E222" s="73"/>
    </row>
    <row r="223">
      <c r="D223" s="73"/>
      <c r="E223" s="73"/>
    </row>
    <row r="224">
      <c r="D224" s="73"/>
      <c r="E224" s="73"/>
    </row>
    <row r="225">
      <c r="D225" s="73"/>
      <c r="E225" s="73"/>
    </row>
    <row r="226">
      <c r="D226" s="73"/>
      <c r="E226" s="73"/>
    </row>
    <row r="227">
      <c r="D227" s="73"/>
      <c r="E227" s="73"/>
    </row>
    <row r="228">
      <c r="D228" s="73"/>
      <c r="E228" s="73"/>
    </row>
    <row r="229">
      <c r="D229" s="73"/>
      <c r="E229" s="73"/>
    </row>
    <row r="230">
      <c r="D230" s="73"/>
      <c r="E230" s="73"/>
    </row>
    <row r="231">
      <c r="D231" s="73"/>
      <c r="E231" s="73"/>
    </row>
    <row r="232">
      <c r="D232" s="73"/>
      <c r="E232" s="73"/>
    </row>
    <row r="233">
      <c r="D233" s="73"/>
      <c r="E233" s="73"/>
    </row>
    <row r="234">
      <c r="D234" s="73"/>
      <c r="E234" s="73"/>
    </row>
    <row r="235">
      <c r="D235" s="73"/>
      <c r="E235" s="73"/>
    </row>
    <row r="236">
      <c r="D236" s="73"/>
      <c r="E236" s="73"/>
    </row>
    <row r="237">
      <c r="D237" s="73"/>
      <c r="E237" s="73"/>
    </row>
    <row r="238">
      <c r="D238" s="73"/>
      <c r="E238" s="73"/>
    </row>
    <row r="239">
      <c r="D239" s="73"/>
      <c r="E239" s="73"/>
    </row>
    <row r="240">
      <c r="D240" s="73"/>
      <c r="E240" s="73"/>
    </row>
    <row r="241">
      <c r="D241" s="73"/>
      <c r="E241" s="73"/>
    </row>
    <row r="242">
      <c r="D242" s="73"/>
      <c r="E242" s="73"/>
    </row>
    <row r="243">
      <c r="D243" s="73"/>
      <c r="E243" s="73"/>
    </row>
    <row r="244">
      <c r="D244" s="73"/>
      <c r="E244" s="73"/>
    </row>
    <row r="245">
      <c r="D245" s="73"/>
      <c r="E245" s="73"/>
    </row>
    <row r="246">
      <c r="D246" s="73"/>
      <c r="E246" s="73"/>
    </row>
    <row r="247">
      <c r="D247" s="73"/>
      <c r="E247" s="73"/>
    </row>
    <row r="248">
      <c r="D248" s="73"/>
      <c r="E248" s="73"/>
    </row>
    <row r="249">
      <c r="D249" s="73"/>
      <c r="E249" s="73"/>
    </row>
    <row r="250">
      <c r="D250" s="73"/>
      <c r="E250" s="73"/>
    </row>
    <row r="251">
      <c r="D251" s="73"/>
      <c r="E251" s="73"/>
    </row>
    <row r="252">
      <c r="D252" s="73"/>
      <c r="E252" s="73"/>
    </row>
    <row r="253">
      <c r="D253" s="73"/>
      <c r="E253" s="73"/>
    </row>
    <row r="254">
      <c r="D254" s="73"/>
      <c r="E254" s="73"/>
    </row>
    <row r="255">
      <c r="D255" s="73"/>
      <c r="E255" s="73"/>
    </row>
    <row r="256">
      <c r="D256" s="73"/>
      <c r="E256" s="73"/>
    </row>
    <row r="257">
      <c r="D257" s="73"/>
      <c r="E257" s="73"/>
    </row>
    <row r="258">
      <c r="D258" s="73"/>
      <c r="E258" s="73"/>
    </row>
    <row r="259">
      <c r="D259" s="73"/>
      <c r="E259" s="73"/>
    </row>
    <row r="260">
      <c r="D260" s="73"/>
      <c r="E260" s="73"/>
    </row>
    <row r="261">
      <c r="D261" s="73"/>
      <c r="E261" s="73"/>
    </row>
    <row r="262">
      <c r="D262" s="73"/>
      <c r="E262" s="73"/>
    </row>
    <row r="263">
      <c r="D263" s="73"/>
      <c r="E263" s="73"/>
    </row>
    <row r="264">
      <c r="D264" s="73"/>
      <c r="E264" s="73"/>
    </row>
    <row r="265">
      <c r="D265" s="73"/>
      <c r="E265" s="73"/>
    </row>
    <row r="266">
      <c r="D266" s="73"/>
      <c r="E266" s="73"/>
    </row>
    <row r="267">
      <c r="D267" s="73"/>
      <c r="E267" s="73"/>
    </row>
    <row r="268">
      <c r="D268" s="73"/>
      <c r="E268" s="73"/>
    </row>
    <row r="269">
      <c r="D269" s="73"/>
      <c r="E269" s="73"/>
    </row>
    <row r="270">
      <c r="D270" s="73"/>
      <c r="E270" s="73"/>
    </row>
    <row r="271">
      <c r="D271" s="73"/>
      <c r="E271" s="73"/>
    </row>
    <row r="272">
      <c r="D272" s="73"/>
      <c r="E272" s="73"/>
    </row>
    <row r="273">
      <c r="D273" s="73"/>
      <c r="E273" s="73"/>
    </row>
    <row r="274">
      <c r="D274" s="73"/>
      <c r="E274" s="73"/>
    </row>
    <row r="275">
      <c r="D275" s="73"/>
      <c r="E275" s="73"/>
    </row>
    <row r="276">
      <c r="D276" s="73"/>
      <c r="E276" s="73"/>
    </row>
    <row r="277">
      <c r="D277" s="73"/>
      <c r="E277" s="73"/>
    </row>
    <row r="278">
      <c r="D278" s="73"/>
      <c r="E278" s="73"/>
    </row>
    <row r="279">
      <c r="D279" s="73"/>
      <c r="E279" s="73"/>
    </row>
    <row r="280">
      <c r="D280" s="73"/>
      <c r="E280" s="73"/>
    </row>
    <row r="281">
      <c r="D281" s="73"/>
      <c r="E281" s="73"/>
    </row>
    <row r="282">
      <c r="D282" s="73"/>
      <c r="E282" s="73"/>
    </row>
    <row r="283">
      <c r="D283" s="73"/>
      <c r="E283" s="73"/>
    </row>
    <row r="284">
      <c r="D284" s="73"/>
      <c r="E284" s="73"/>
    </row>
    <row r="285">
      <c r="D285" s="73"/>
      <c r="E285" s="73"/>
    </row>
    <row r="286">
      <c r="D286" s="73"/>
      <c r="E286" s="73"/>
    </row>
    <row r="287">
      <c r="D287" s="73"/>
      <c r="E287" s="73"/>
    </row>
    <row r="288">
      <c r="D288" s="73"/>
      <c r="E288" s="73"/>
    </row>
    <row r="289">
      <c r="D289" s="73"/>
      <c r="E289" s="73"/>
    </row>
    <row r="290">
      <c r="D290" s="73"/>
      <c r="E290" s="73"/>
    </row>
    <row r="291">
      <c r="D291" s="73"/>
      <c r="E291" s="73"/>
    </row>
    <row r="292">
      <c r="D292" s="73"/>
      <c r="E292" s="73"/>
    </row>
    <row r="293">
      <c r="D293" s="73"/>
      <c r="E293" s="73"/>
    </row>
    <row r="294">
      <c r="D294" s="73"/>
      <c r="E294" s="73"/>
    </row>
    <row r="295">
      <c r="D295" s="73"/>
      <c r="E295" s="73"/>
    </row>
    <row r="296">
      <c r="D296" s="73"/>
      <c r="E296" s="73"/>
    </row>
    <row r="297">
      <c r="D297" s="73"/>
      <c r="E297" s="73"/>
    </row>
    <row r="298">
      <c r="D298" s="73"/>
      <c r="E298" s="73"/>
    </row>
    <row r="299">
      <c r="D299" s="73"/>
      <c r="E299" s="73"/>
    </row>
    <row r="300">
      <c r="D300" s="73"/>
      <c r="E300" s="73"/>
    </row>
    <row r="301">
      <c r="D301" s="73"/>
      <c r="E301" s="73"/>
    </row>
    <row r="302">
      <c r="D302" s="73"/>
      <c r="E302" s="73"/>
    </row>
    <row r="303">
      <c r="D303" s="73"/>
      <c r="E303" s="73"/>
    </row>
    <row r="304">
      <c r="D304" s="73"/>
      <c r="E304" s="73"/>
    </row>
    <row r="305">
      <c r="D305" s="73"/>
      <c r="E305" s="73"/>
    </row>
    <row r="306">
      <c r="D306" s="73"/>
      <c r="E306" s="73"/>
    </row>
    <row r="307">
      <c r="D307" s="73"/>
      <c r="E307" s="73"/>
    </row>
    <row r="308">
      <c r="D308" s="73"/>
      <c r="E308" s="73"/>
    </row>
    <row r="309">
      <c r="D309" s="73"/>
      <c r="E309" s="73"/>
    </row>
    <row r="310">
      <c r="D310" s="73"/>
      <c r="E310" s="73"/>
    </row>
    <row r="311">
      <c r="D311" s="73"/>
      <c r="E311" s="73"/>
    </row>
    <row r="312">
      <c r="D312" s="73"/>
      <c r="E312" s="73"/>
    </row>
    <row r="313">
      <c r="D313" s="73"/>
      <c r="E313" s="73"/>
    </row>
    <row r="314">
      <c r="D314" s="73"/>
      <c r="E314" s="73"/>
    </row>
    <row r="315">
      <c r="D315" s="73"/>
      <c r="E315" s="73"/>
    </row>
    <row r="316">
      <c r="D316" s="73"/>
      <c r="E316" s="73"/>
    </row>
    <row r="317">
      <c r="D317" s="73"/>
      <c r="E317" s="73"/>
    </row>
    <row r="318">
      <c r="D318" s="73"/>
      <c r="E318" s="73"/>
    </row>
    <row r="319">
      <c r="D319" s="73"/>
      <c r="E319" s="73"/>
    </row>
    <row r="320">
      <c r="D320" s="73"/>
      <c r="E320" s="73"/>
    </row>
    <row r="321">
      <c r="D321" s="73"/>
      <c r="E321" s="73"/>
    </row>
    <row r="322">
      <c r="D322" s="73"/>
      <c r="E322" s="73"/>
    </row>
    <row r="323">
      <c r="D323" s="73"/>
      <c r="E323" s="73"/>
    </row>
    <row r="324">
      <c r="D324" s="73"/>
      <c r="E324" s="73"/>
    </row>
    <row r="325">
      <c r="D325" s="73"/>
      <c r="E325" s="73"/>
    </row>
    <row r="326">
      <c r="D326" s="73"/>
      <c r="E326" s="73"/>
    </row>
    <row r="327">
      <c r="D327" s="73"/>
      <c r="E327" s="73"/>
    </row>
    <row r="328">
      <c r="D328" s="73"/>
      <c r="E328" s="73"/>
    </row>
    <row r="329">
      <c r="D329" s="73"/>
      <c r="E329" s="73"/>
    </row>
    <row r="330">
      <c r="D330" s="73"/>
      <c r="E330" s="73"/>
    </row>
    <row r="331">
      <c r="D331" s="73"/>
      <c r="E331" s="73"/>
    </row>
    <row r="332">
      <c r="D332" s="73"/>
      <c r="E332" s="73"/>
    </row>
    <row r="333">
      <c r="D333" s="73"/>
      <c r="E333" s="73"/>
    </row>
    <row r="334">
      <c r="D334" s="73"/>
      <c r="E334" s="73"/>
    </row>
    <row r="335">
      <c r="D335" s="73"/>
      <c r="E335" s="73"/>
    </row>
    <row r="336">
      <c r="D336" s="73"/>
      <c r="E336" s="73"/>
    </row>
    <row r="337">
      <c r="D337" s="73"/>
      <c r="E337" s="73"/>
    </row>
    <row r="338">
      <c r="D338" s="73"/>
      <c r="E338" s="73"/>
    </row>
    <row r="339">
      <c r="D339" s="73"/>
      <c r="E339" s="73"/>
    </row>
    <row r="340">
      <c r="D340" s="73"/>
      <c r="E340" s="73"/>
    </row>
    <row r="341">
      <c r="D341" s="73"/>
      <c r="E341" s="73"/>
    </row>
    <row r="342">
      <c r="D342" s="73"/>
      <c r="E342" s="73"/>
    </row>
    <row r="343">
      <c r="D343" s="73"/>
      <c r="E343" s="73"/>
    </row>
    <row r="344">
      <c r="D344" s="73"/>
      <c r="E344" s="73"/>
    </row>
    <row r="345">
      <c r="D345" s="73"/>
      <c r="E345" s="73"/>
    </row>
    <row r="346">
      <c r="D346" s="73"/>
      <c r="E346" s="73"/>
    </row>
    <row r="347">
      <c r="D347" s="73"/>
      <c r="E347" s="73"/>
    </row>
    <row r="348">
      <c r="D348" s="73"/>
      <c r="E348" s="73"/>
    </row>
    <row r="349">
      <c r="D349" s="73"/>
      <c r="E349" s="73"/>
    </row>
    <row r="350">
      <c r="D350" s="73"/>
      <c r="E350" s="73"/>
    </row>
    <row r="351">
      <c r="D351" s="73"/>
      <c r="E351" s="73"/>
    </row>
    <row r="352">
      <c r="D352" s="73"/>
      <c r="E352" s="73"/>
    </row>
    <row r="353">
      <c r="D353" s="73"/>
      <c r="E353" s="73"/>
    </row>
    <row r="354">
      <c r="D354" s="73"/>
      <c r="E354" s="73"/>
    </row>
    <row r="355">
      <c r="D355" s="73"/>
      <c r="E355" s="73"/>
    </row>
    <row r="356">
      <c r="D356" s="73"/>
      <c r="E356" s="73"/>
    </row>
    <row r="357">
      <c r="D357" s="73"/>
      <c r="E357" s="73"/>
    </row>
    <row r="358">
      <c r="D358" s="73"/>
      <c r="E358" s="73"/>
    </row>
    <row r="359">
      <c r="D359" s="73"/>
      <c r="E359" s="73"/>
    </row>
    <row r="360">
      <c r="D360" s="73"/>
      <c r="E360" s="73"/>
    </row>
    <row r="361">
      <c r="D361" s="73"/>
      <c r="E361" s="73"/>
    </row>
    <row r="362">
      <c r="D362" s="73"/>
      <c r="E362" s="73"/>
    </row>
    <row r="363">
      <c r="D363" s="73"/>
      <c r="E363" s="73"/>
    </row>
    <row r="364">
      <c r="D364" s="73"/>
      <c r="E364" s="73"/>
    </row>
    <row r="365">
      <c r="D365" s="73"/>
      <c r="E365" s="73"/>
    </row>
    <row r="366">
      <c r="D366" s="73"/>
      <c r="E366" s="73"/>
    </row>
    <row r="367">
      <c r="D367" s="73"/>
      <c r="E367" s="73"/>
    </row>
    <row r="368">
      <c r="D368" s="73"/>
      <c r="E368" s="73"/>
    </row>
    <row r="369">
      <c r="D369" s="73"/>
      <c r="E369" s="73"/>
    </row>
    <row r="370">
      <c r="D370" s="73"/>
      <c r="E370" s="73"/>
    </row>
    <row r="371">
      <c r="D371" s="73"/>
      <c r="E371" s="73"/>
    </row>
    <row r="372">
      <c r="D372" s="73"/>
      <c r="E372" s="73"/>
    </row>
    <row r="373">
      <c r="D373" s="73"/>
      <c r="E373" s="73"/>
    </row>
    <row r="374">
      <c r="D374" s="73"/>
      <c r="E374" s="73"/>
    </row>
    <row r="375">
      <c r="D375" s="73"/>
      <c r="E375" s="73"/>
    </row>
    <row r="376">
      <c r="D376" s="73"/>
      <c r="E376" s="73"/>
    </row>
    <row r="377">
      <c r="D377" s="73"/>
      <c r="E377" s="73"/>
    </row>
    <row r="378">
      <c r="D378" s="73"/>
      <c r="E378" s="73"/>
    </row>
    <row r="379">
      <c r="D379" s="73"/>
      <c r="E379" s="73"/>
    </row>
    <row r="380">
      <c r="D380" s="73"/>
      <c r="E380" s="73"/>
    </row>
    <row r="381">
      <c r="D381" s="73"/>
      <c r="E381" s="73"/>
    </row>
    <row r="382">
      <c r="D382" s="73"/>
      <c r="E382" s="73"/>
    </row>
    <row r="383">
      <c r="D383" s="73"/>
      <c r="E383" s="73"/>
    </row>
    <row r="384">
      <c r="D384" s="73"/>
      <c r="E384" s="73"/>
    </row>
    <row r="385">
      <c r="D385" s="73"/>
      <c r="E385" s="73"/>
    </row>
    <row r="386">
      <c r="D386" s="73"/>
      <c r="E386" s="73"/>
    </row>
    <row r="387">
      <c r="D387" s="73"/>
      <c r="E387" s="73"/>
    </row>
    <row r="388">
      <c r="D388" s="73"/>
      <c r="E388" s="73"/>
    </row>
    <row r="389">
      <c r="D389" s="73"/>
      <c r="E389" s="73"/>
    </row>
    <row r="390">
      <c r="D390" s="73"/>
      <c r="E390" s="73"/>
    </row>
    <row r="391">
      <c r="D391" s="73"/>
      <c r="E391" s="73"/>
    </row>
    <row r="392">
      <c r="D392" s="73"/>
      <c r="E392" s="73"/>
    </row>
    <row r="393">
      <c r="D393" s="73"/>
      <c r="E393" s="73"/>
    </row>
    <row r="394">
      <c r="D394" s="73"/>
      <c r="E394" s="73"/>
    </row>
    <row r="395">
      <c r="D395" s="73"/>
      <c r="E395" s="73"/>
    </row>
    <row r="396">
      <c r="D396" s="73"/>
      <c r="E396" s="73"/>
    </row>
    <row r="397">
      <c r="D397" s="73"/>
      <c r="E397" s="73"/>
    </row>
    <row r="398">
      <c r="D398" s="73"/>
      <c r="E398" s="73"/>
    </row>
    <row r="399">
      <c r="D399" s="73"/>
      <c r="E399" s="73"/>
    </row>
    <row r="400">
      <c r="D400" s="73"/>
      <c r="E400" s="73"/>
    </row>
    <row r="401">
      <c r="D401" s="73"/>
      <c r="E401" s="73"/>
    </row>
    <row r="402">
      <c r="D402" s="73"/>
      <c r="E402" s="73"/>
    </row>
    <row r="403">
      <c r="D403" s="73"/>
      <c r="E403" s="73"/>
    </row>
    <row r="404">
      <c r="D404" s="73"/>
      <c r="E404" s="73"/>
    </row>
    <row r="405">
      <c r="D405" s="73"/>
      <c r="E405" s="73"/>
    </row>
    <row r="406">
      <c r="D406" s="73"/>
      <c r="E406" s="73"/>
    </row>
    <row r="407">
      <c r="D407" s="73"/>
      <c r="E407" s="73"/>
    </row>
    <row r="408">
      <c r="D408" s="73"/>
      <c r="E408" s="73"/>
    </row>
    <row r="409">
      <c r="D409" s="73"/>
      <c r="E409" s="73"/>
    </row>
    <row r="410">
      <c r="D410" s="73"/>
      <c r="E410" s="73"/>
    </row>
    <row r="411">
      <c r="D411" s="73"/>
      <c r="E411" s="73"/>
    </row>
    <row r="412">
      <c r="D412" s="73"/>
      <c r="E412" s="73"/>
    </row>
    <row r="413">
      <c r="D413" s="73"/>
      <c r="E413" s="73"/>
    </row>
    <row r="414">
      <c r="D414" s="73"/>
      <c r="E414" s="73"/>
    </row>
    <row r="415">
      <c r="D415" s="73"/>
      <c r="E415" s="73"/>
    </row>
    <row r="416">
      <c r="D416" s="73"/>
      <c r="E416" s="73"/>
    </row>
    <row r="417">
      <c r="D417" s="73"/>
      <c r="E417" s="73"/>
    </row>
    <row r="418">
      <c r="D418" s="73"/>
      <c r="E418" s="73"/>
    </row>
    <row r="419">
      <c r="D419" s="73"/>
      <c r="E419" s="73"/>
    </row>
    <row r="420">
      <c r="D420" s="73"/>
      <c r="E420" s="73"/>
    </row>
    <row r="421">
      <c r="D421" s="73"/>
      <c r="E421" s="73"/>
    </row>
    <row r="422">
      <c r="D422" s="73"/>
      <c r="E422" s="73"/>
    </row>
    <row r="423">
      <c r="D423" s="73"/>
      <c r="E423" s="73"/>
    </row>
    <row r="424">
      <c r="D424" s="73"/>
      <c r="E424" s="73"/>
    </row>
    <row r="425">
      <c r="D425" s="73"/>
      <c r="E425" s="73"/>
    </row>
    <row r="426">
      <c r="D426" s="73"/>
      <c r="E426" s="73"/>
    </row>
    <row r="427">
      <c r="D427" s="73"/>
      <c r="E427" s="73"/>
    </row>
    <row r="428">
      <c r="D428" s="73"/>
      <c r="E428" s="73"/>
    </row>
    <row r="429">
      <c r="D429" s="73"/>
      <c r="E429" s="73"/>
    </row>
    <row r="430">
      <c r="D430" s="73"/>
      <c r="E430" s="73"/>
    </row>
    <row r="431">
      <c r="D431" s="73"/>
      <c r="E431" s="73"/>
    </row>
    <row r="432">
      <c r="D432" s="73"/>
      <c r="E432" s="73"/>
    </row>
    <row r="433">
      <c r="D433" s="73"/>
      <c r="E433" s="73"/>
    </row>
    <row r="434">
      <c r="D434" s="73"/>
      <c r="E434" s="73"/>
    </row>
    <row r="435">
      <c r="D435" s="73"/>
      <c r="E435" s="73"/>
    </row>
    <row r="436">
      <c r="D436" s="73"/>
      <c r="E436" s="73"/>
    </row>
    <row r="437">
      <c r="D437" s="73"/>
      <c r="E437" s="73"/>
    </row>
    <row r="438">
      <c r="D438" s="73"/>
      <c r="E438" s="73"/>
    </row>
    <row r="439">
      <c r="D439" s="73"/>
      <c r="E439" s="73"/>
    </row>
    <row r="440">
      <c r="D440" s="73"/>
      <c r="E440" s="73"/>
    </row>
    <row r="441">
      <c r="D441" s="73"/>
      <c r="E441" s="73"/>
    </row>
    <row r="442">
      <c r="D442" s="73"/>
      <c r="E442" s="73"/>
    </row>
    <row r="443">
      <c r="D443" s="73"/>
      <c r="E443" s="73"/>
    </row>
    <row r="444">
      <c r="D444" s="73"/>
      <c r="E444" s="73"/>
    </row>
    <row r="445">
      <c r="D445" s="73"/>
      <c r="E445" s="73"/>
    </row>
    <row r="446">
      <c r="D446" s="73"/>
      <c r="E446" s="73"/>
    </row>
    <row r="447">
      <c r="D447" s="73"/>
      <c r="E447" s="73"/>
    </row>
    <row r="448">
      <c r="D448" s="73"/>
      <c r="E448" s="73"/>
    </row>
    <row r="449">
      <c r="D449" s="73"/>
      <c r="E449" s="73"/>
    </row>
    <row r="450">
      <c r="D450" s="73"/>
      <c r="E450" s="73"/>
    </row>
    <row r="451">
      <c r="D451" s="73"/>
      <c r="E451" s="73"/>
    </row>
    <row r="452">
      <c r="D452" s="73"/>
      <c r="E452" s="73"/>
    </row>
    <row r="453">
      <c r="D453" s="73"/>
      <c r="E453" s="73"/>
    </row>
    <row r="454">
      <c r="D454" s="73"/>
      <c r="E454" s="73"/>
    </row>
    <row r="455">
      <c r="D455" s="73"/>
      <c r="E455" s="73"/>
    </row>
    <row r="456">
      <c r="D456" s="73"/>
      <c r="E456" s="73"/>
    </row>
    <row r="457">
      <c r="D457" s="73"/>
      <c r="E457" s="73"/>
    </row>
    <row r="458">
      <c r="D458" s="73"/>
      <c r="E458" s="73"/>
    </row>
    <row r="459">
      <c r="D459" s="73"/>
      <c r="E459" s="73"/>
    </row>
    <row r="460">
      <c r="D460" s="73"/>
      <c r="E460" s="73"/>
    </row>
    <row r="461">
      <c r="D461" s="73"/>
      <c r="E461" s="73"/>
    </row>
    <row r="462">
      <c r="D462" s="73"/>
      <c r="E462" s="73"/>
    </row>
    <row r="463">
      <c r="D463" s="73"/>
      <c r="E463" s="73"/>
    </row>
    <row r="464">
      <c r="D464" s="73"/>
      <c r="E464" s="73"/>
    </row>
    <row r="465">
      <c r="D465" s="73"/>
      <c r="E465" s="73"/>
    </row>
    <row r="466">
      <c r="D466" s="73"/>
      <c r="E466" s="73"/>
    </row>
    <row r="467">
      <c r="D467" s="73"/>
      <c r="E467" s="73"/>
    </row>
    <row r="468">
      <c r="D468" s="73"/>
      <c r="E468" s="73"/>
    </row>
    <row r="469">
      <c r="D469" s="73"/>
      <c r="E469" s="73"/>
    </row>
    <row r="470">
      <c r="D470" s="73"/>
      <c r="E470" s="73"/>
    </row>
    <row r="471">
      <c r="D471" s="73"/>
      <c r="E471" s="73"/>
    </row>
    <row r="472">
      <c r="D472" s="73"/>
      <c r="E472" s="73"/>
    </row>
    <row r="473">
      <c r="D473" s="73"/>
      <c r="E473" s="73"/>
    </row>
    <row r="474">
      <c r="D474" s="73"/>
      <c r="E474" s="73"/>
    </row>
    <row r="475">
      <c r="D475" s="73"/>
      <c r="E475" s="73"/>
    </row>
    <row r="476">
      <c r="D476" s="73"/>
      <c r="E476" s="73"/>
    </row>
    <row r="477">
      <c r="D477" s="73"/>
      <c r="E477" s="73"/>
    </row>
    <row r="478">
      <c r="D478" s="73"/>
      <c r="E478" s="73"/>
    </row>
    <row r="479">
      <c r="D479" s="73"/>
      <c r="E479" s="73"/>
    </row>
    <row r="480">
      <c r="D480" s="73"/>
      <c r="E480" s="73"/>
    </row>
    <row r="481">
      <c r="D481" s="73"/>
      <c r="E481" s="73"/>
    </row>
    <row r="482">
      <c r="D482" s="73"/>
      <c r="E482" s="73"/>
    </row>
    <row r="483">
      <c r="D483" s="73"/>
      <c r="E483" s="73"/>
    </row>
    <row r="484">
      <c r="D484" s="73"/>
      <c r="E484" s="73"/>
    </row>
    <row r="485">
      <c r="D485" s="73"/>
      <c r="E485" s="73"/>
    </row>
    <row r="486">
      <c r="D486" s="73"/>
      <c r="E486" s="73"/>
    </row>
    <row r="487">
      <c r="D487" s="73"/>
      <c r="E487" s="73"/>
    </row>
    <row r="488">
      <c r="D488" s="73"/>
      <c r="E488" s="73"/>
    </row>
    <row r="489">
      <c r="D489" s="73"/>
      <c r="E489" s="73"/>
    </row>
    <row r="490">
      <c r="D490" s="73"/>
      <c r="E490" s="73"/>
    </row>
    <row r="491">
      <c r="D491" s="73"/>
      <c r="E491" s="73"/>
    </row>
    <row r="492">
      <c r="D492" s="73"/>
      <c r="E492" s="73"/>
    </row>
    <row r="493">
      <c r="D493" s="73"/>
      <c r="E493" s="73"/>
    </row>
    <row r="494">
      <c r="D494" s="73"/>
      <c r="E494" s="73"/>
    </row>
    <row r="495">
      <c r="D495" s="73"/>
      <c r="E495" s="73"/>
    </row>
    <row r="496">
      <c r="D496" s="73"/>
      <c r="E496" s="73"/>
    </row>
    <row r="497">
      <c r="D497" s="73"/>
      <c r="E497" s="73"/>
    </row>
    <row r="498">
      <c r="D498" s="73"/>
      <c r="E498" s="73"/>
    </row>
    <row r="499">
      <c r="D499" s="73"/>
      <c r="E499" s="73"/>
    </row>
    <row r="500">
      <c r="D500" s="73"/>
      <c r="E500" s="73"/>
    </row>
    <row r="501">
      <c r="D501" s="73"/>
      <c r="E501" s="73"/>
    </row>
    <row r="502">
      <c r="D502" s="73"/>
      <c r="E502" s="73"/>
    </row>
    <row r="503">
      <c r="D503" s="73"/>
      <c r="E503" s="73"/>
    </row>
    <row r="504">
      <c r="D504" s="73"/>
      <c r="E504" s="73"/>
    </row>
    <row r="505">
      <c r="D505" s="73"/>
      <c r="E505" s="73"/>
    </row>
    <row r="506">
      <c r="D506" s="73"/>
      <c r="E506" s="73"/>
    </row>
    <row r="507">
      <c r="D507" s="73"/>
      <c r="E507" s="73"/>
    </row>
    <row r="508">
      <c r="D508" s="73"/>
      <c r="E508" s="73"/>
    </row>
    <row r="509">
      <c r="D509" s="73"/>
      <c r="E509" s="73"/>
    </row>
    <row r="510">
      <c r="D510" s="73"/>
      <c r="E510" s="73"/>
    </row>
    <row r="511">
      <c r="D511" s="73"/>
      <c r="E511" s="73"/>
    </row>
    <row r="512">
      <c r="D512" s="73"/>
      <c r="E512" s="73"/>
    </row>
    <row r="513">
      <c r="D513" s="73"/>
      <c r="E513" s="73"/>
    </row>
    <row r="514">
      <c r="D514" s="73"/>
      <c r="E514" s="73"/>
    </row>
    <row r="515">
      <c r="D515" s="73"/>
      <c r="E515" s="73"/>
    </row>
    <row r="516">
      <c r="D516" s="73"/>
      <c r="E516" s="73"/>
    </row>
    <row r="517">
      <c r="D517" s="73"/>
      <c r="E517" s="73"/>
    </row>
    <row r="518">
      <c r="D518" s="73"/>
      <c r="E518" s="73"/>
    </row>
    <row r="519">
      <c r="D519" s="73"/>
      <c r="E519" s="73"/>
    </row>
    <row r="520">
      <c r="D520" s="73"/>
      <c r="E520" s="73"/>
    </row>
    <row r="521">
      <c r="D521" s="73"/>
      <c r="E521" s="73"/>
    </row>
    <row r="522">
      <c r="D522" s="73"/>
      <c r="E522" s="73"/>
    </row>
    <row r="523">
      <c r="D523" s="73"/>
      <c r="E523" s="73"/>
    </row>
    <row r="524">
      <c r="D524" s="73"/>
      <c r="E524" s="73"/>
    </row>
    <row r="525">
      <c r="D525" s="73"/>
      <c r="E525" s="73"/>
    </row>
    <row r="526">
      <c r="D526" s="73"/>
      <c r="E526" s="73"/>
    </row>
    <row r="527">
      <c r="D527" s="73"/>
      <c r="E527" s="73"/>
    </row>
    <row r="528">
      <c r="D528" s="73"/>
      <c r="E528" s="73"/>
    </row>
    <row r="529">
      <c r="D529" s="73"/>
      <c r="E529" s="73"/>
    </row>
    <row r="530">
      <c r="D530" s="73"/>
      <c r="E530" s="73"/>
    </row>
    <row r="531">
      <c r="D531" s="73"/>
      <c r="E531" s="73"/>
    </row>
    <row r="532">
      <c r="D532" s="73"/>
      <c r="E532" s="73"/>
    </row>
    <row r="533">
      <c r="D533" s="73"/>
      <c r="E533" s="73"/>
    </row>
    <row r="534">
      <c r="D534" s="73"/>
      <c r="E534" s="73"/>
    </row>
    <row r="535">
      <c r="D535" s="73"/>
      <c r="E535" s="73"/>
    </row>
    <row r="536">
      <c r="D536" s="73"/>
      <c r="E536" s="73"/>
    </row>
    <row r="537">
      <c r="D537" s="73"/>
      <c r="E537" s="73"/>
    </row>
    <row r="538">
      <c r="D538" s="73"/>
      <c r="E538" s="73"/>
    </row>
    <row r="539">
      <c r="D539" s="73"/>
      <c r="E539" s="73"/>
    </row>
    <row r="540">
      <c r="D540" s="73"/>
      <c r="E540" s="73"/>
    </row>
    <row r="541">
      <c r="D541" s="73"/>
      <c r="E541" s="73"/>
    </row>
    <row r="542">
      <c r="D542" s="73"/>
      <c r="E542" s="73"/>
    </row>
    <row r="543">
      <c r="D543" s="73"/>
      <c r="E543" s="73"/>
    </row>
    <row r="544">
      <c r="D544" s="73"/>
      <c r="E544" s="73"/>
    </row>
    <row r="545">
      <c r="D545" s="73"/>
      <c r="E545" s="73"/>
    </row>
    <row r="546">
      <c r="D546" s="73"/>
      <c r="E546" s="73"/>
    </row>
    <row r="547">
      <c r="D547" s="73"/>
      <c r="E547" s="73"/>
    </row>
    <row r="548">
      <c r="D548" s="73"/>
      <c r="E548" s="73"/>
    </row>
    <row r="549">
      <c r="D549" s="73"/>
      <c r="E549" s="73"/>
    </row>
    <row r="550">
      <c r="D550" s="73"/>
      <c r="E550" s="73"/>
    </row>
    <row r="551">
      <c r="D551" s="73"/>
      <c r="E551" s="73"/>
    </row>
    <row r="552">
      <c r="D552" s="73"/>
      <c r="E552" s="73"/>
    </row>
    <row r="553">
      <c r="D553" s="73"/>
      <c r="E553" s="73"/>
    </row>
    <row r="554">
      <c r="D554" s="73"/>
      <c r="E554" s="73"/>
    </row>
    <row r="555">
      <c r="D555" s="73"/>
      <c r="E555" s="73"/>
    </row>
    <row r="556">
      <c r="D556" s="73"/>
      <c r="E556" s="73"/>
    </row>
    <row r="557">
      <c r="D557" s="73"/>
      <c r="E557" s="73"/>
    </row>
    <row r="558">
      <c r="D558" s="73"/>
      <c r="E558" s="73"/>
    </row>
    <row r="559">
      <c r="D559" s="73"/>
      <c r="E559" s="73"/>
    </row>
    <row r="560">
      <c r="D560" s="73"/>
      <c r="E560" s="73"/>
    </row>
    <row r="561">
      <c r="D561" s="73"/>
      <c r="E561" s="73"/>
    </row>
    <row r="562">
      <c r="D562" s="73"/>
      <c r="E562" s="73"/>
    </row>
    <row r="563">
      <c r="D563" s="73"/>
      <c r="E563" s="73"/>
    </row>
    <row r="564">
      <c r="D564" s="73"/>
      <c r="E564" s="73"/>
    </row>
    <row r="565">
      <c r="D565" s="73"/>
      <c r="E565" s="73"/>
    </row>
    <row r="566">
      <c r="D566" s="73"/>
      <c r="E566" s="73"/>
    </row>
    <row r="567">
      <c r="D567" s="73"/>
      <c r="E567" s="73"/>
    </row>
    <row r="568">
      <c r="D568" s="73"/>
      <c r="E568" s="73"/>
    </row>
    <row r="569">
      <c r="D569" s="73"/>
      <c r="E569" s="73"/>
    </row>
    <row r="570">
      <c r="D570" s="73"/>
      <c r="E570" s="73"/>
    </row>
    <row r="571">
      <c r="D571" s="73"/>
      <c r="E571" s="73"/>
    </row>
    <row r="572">
      <c r="D572" s="73"/>
      <c r="E572" s="73"/>
    </row>
    <row r="573">
      <c r="D573" s="73"/>
      <c r="E573" s="73"/>
    </row>
    <row r="574">
      <c r="D574" s="73"/>
      <c r="E574" s="73"/>
    </row>
    <row r="575">
      <c r="D575" s="73"/>
      <c r="E575" s="73"/>
    </row>
    <row r="576">
      <c r="D576" s="73"/>
      <c r="E576" s="73"/>
    </row>
    <row r="577">
      <c r="D577" s="73"/>
      <c r="E577" s="73"/>
    </row>
    <row r="578">
      <c r="D578" s="73"/>
      <c r="E578" s="73"/>
    </row>
    <row r="579">
      <c r="D579" s="73"/>
      <c r="E579" s="73"/>
    </row>
    <row r="580">
      <c r="D580" s="73"/>
      <c r="E580" s="73"/>
    </row>
    <row r="581">
      <c r="D581" s="73"/>
      <c r="E581" s="73"/>
    </row>
    <row r="582">
      <c r="D582" s="73"/>
      <c r="E582" s="73"/>
    </row>
    <row r="583">
      <c r="D583" s="73"/>
      <c r="E583" s="73"/>
    </row>
    <row r="584">
      <c r="D584" s="73"/>
      <c r="E584" s="73"/>
    </row>
    <row r="585">
      <c r="D585" s="73"/>
      <c r="E585" s="73"/>
    </row>
    <row r="586">
      <c r="D586" s="73"/>
      <c r="E586" s="73"/>
    </row>
    <row r="587">
      <c r="D587" s="73"/>
      <c r="E587" s="73"/>
    </row>
    <row r="588">
      <c r="D588" s="73"/>
      <c r="E588" s="73"/>
    </row>
    <row r="589">
      <c r="D589" s="73"/>
      <c r="E589" s="73"/>
    </row>
    <row r="590">
      <c r="D590" s="73"/>
      <c r="E590" s="73"/>
    </row>
    <row r="591">
      <c r="D591" s="73"/>
      <c r="E591" s="73"/>
    </row>
    <row r="592">
      <c r="D592" s="73"/>
      <c r="E592" s="73"/>
    </row>
    <row r="593">
      <c r="D593" s="73"/>
      <c r="E593" s="73"/>
    </row>
    <row r="594">
      <c r="D594" s="73"/>
      <c r="E594" s="73"/>
    </row>
    <row r="595">
      <c r="D595" s="73"/>
      <c r="E595" s="73"/>
    </row>
    <row r="596">
      <c r="D596" s="73"/>
      <c r="E596" s="73"/>
    </row>
    <row r="597">
      <c r="D597" s="73"/>
      <c r="E597" s="73"/>
    </row>
    <row r="598">
      <c r="D598" s="73"/>
      <c r="E598" s="73"/>
    </row>
    <row r="599">
      <c r="D599" s="73"/>
      <c r="E599" s="73"/>
    </row>
    <row r="600">
      <c r="D600" s="73"/>
      <c r="E600" s="73"/>
    </row>
    <row r="601">
      <c r="D601" s="73"/>
      <c r="E601" s="73"/>
    </row>
    <row r="602">
      <c r="D602" s="73"/>
      <c r="E602" s="73"/>
    </row>
    <row r="603">
      <c r="D603" s="73"/>
      <c r="E603" s="73"/>
    </row>
    <row r="604">
      <c r="D604" s="73"/>
      <c r="E604" s="73"/>
    </row>
    <row r="605">
      <c r="D605" s="73"/>
      <c r="E605" s="73"/>
    </row>
    <row r="606">
      <c r="D606" s="73"/>
      <c r="E606" s="73"/>
    </row>
    <row r="607">
      <c r="D607" s="73"/>
      <c r="E607" s="73"/>
    </row>
    <row r="608">
      <c r="D608" s="73"/>
      <c r="E608" s="73"/>
    </row>
    <row r="609">
      <c r="D609" s="73"/>
      <c r="E609" s="73"/>
    </row>
    <row r="610">
      <c r="D610" s="73"/>
      <c r="E610" s="73"/>
    </row>
    <row r="611">
      <c r="D611" s="73"/>
      <c r="E611" s="73"/>
    </row>
    <row r="612">
      <c r="D612" s="73"/>
      <c r="E612" s="73"/>
    </row>
    <row r="613">
      <c r="D613" s="73"/>
      <c r="E613" s="73"/>
    </row>
    <row r="614">
      <c r="D614" s="73"/>
      <c r="E614" s="73"/>
    </row>
    <row r="615">
      <c r="D615" s="73"/>
      <c r="E615" s="73"/>
    </row>
    <row r="616">
      <c r="D616" s="73"/>
      <c r="E616" s="73"/>
    </row>
    <row r="617">
      <c r="D617" s="73"/>
      <c r="E617" s="73"/>
    </row>
    <row r="618">
      <c r="D618" s="73"/>
      <c r="E618" s="73"/>
    </row>
    <row r="619">
      <c r="D619" s="73"/>
      <c r="E619" s="73"/>
    </row>
    <row r="620">
      <c r="D620" s="73"/>
      <c r="E620" s="73"/>
    </row>
    <row r="621">
      <c r="D621" s="73"/>
      <c r="E621" s="73"/>
    </row>
    <row r="622">
      <c r="D622" s="73"/>
      <c r="E622" s="73"/>
    </row>
    <row r="623">
      <c r="D623" s="73"/>
      <c r="E623" s="73"/>
    </row>
    <row r="624">
      <c r="D624" s="73"/>
      <c r="E624" s="73"/>
    </row>
    <row r="625">
      <c r="D625" s="73"/>
      <c r="E625" s="73"/>
    </row>
    <row r="626">
      <c r="D626" s="73"/>
      <c r="E626" s="73"/>
    </row>
    <row r="627">
      <c r="D627" s="73"/>
      <c r="E627" s="73"/>
    </row>
    <row r="628">
      <c r="D628" s="73"/>
      <c r="E628" s="73"/>
    </row>
    <row r="629">
      <c r="D629" s="73"/>
      <c r="E629" s="73"/>
    </row>
    <row r="630">
      <c r="D630" s="73"/>
      <c r="E630" s="73"/>
    </row>
    <row r="631">
      <c r="D631" s="73"/>
      <c r="E631" s="73"/>
    </row>
    <row r="632">
      <c r="D632" s="73"/>
      <c r="E632" s="73"/>
    </row>
    <row r="633">
      <c r="D633" s="73"/>
      <c r="E633" s="73"/>
    </row>
    <row r="634">
      <c r="D634" s="73"/>
      <c r="E634" s="73"/>
    </row>
    <row r="635">
      <c r="D635" s="73"/>
      <c r="E635" s="73"/>
    </row>
    <row r="636">
      <c r="D636" s="73"/>
      <c r="E636" s="73"/>
    </row>
    <row r="637">
      <c r="D637" s="73"/>
      <c r="E637" s="73"/>
    </row>
    <row r="638">
      <c r="D638" s="73"/>
      <c r="E638" s="73"/>
    </row>
    <row r="639">
      <c r="D639" s="73"/>
      <c r="E639" s="73"/>
    </row>
    <row r="640">
      <c r="D640" s="73"/>
      <c r="E640" s="73"/>
    </row>
    <row r="641">
      <c r="D641" s="73"/>
      <c r="E641" s="73"/>
    </row>
    <row r="642">
      <c r="D642" s="73"/>
      <c r="E642" s="73"/>
    </row>
    <row r="643">
      <c r="D643" s="73"/>
      <c r="E643" s="73"/>
    </row>
    <row r="644">
      <c r="D644" s="73"/>
      <c r="E644" s="73"/>
    </row>
    <row r="645">
      <c r="D645" s="73"/>
      <c r="E645" s="73"/>
    </row>
    <row r="646">
      <c r="D646" s="73"/>
      <c r="E646" s="73"/>
    </row>
    <row r="647">
      <c r="D647" s="73"/>
      <c r="E647" s="73"/>
    </row>
    <row r="648">
      <c r="D648" s="73"/>
      <c r="E648" s="73"/>
    </row>
    <row r="649">
      <c r="D649" s="73"/>
      <c r="E649" s="73"/>
    </row>
    <row r="650">
      <c r="D650" s="73"/>
      <c r="E650" s="73"/>
    </row>
    <row r="651">
      <c r="D651" s="73"/>
      <c r="E651" s="73"/>
    </row>
    <row r="652">
      <c r="D652" s="73"/>
      <c r="E652" s="73"/>
    </row>
    <row r="653">
      <c r="D653" s="73"/>
      <c r="E653" s="73"/>
    </row>
    <row r="654">
      <c r="D654" s="73"/>
      <c r="E654" s="73"/>
    </row>
    <row r="655">
      <c r="D655" s="73"/>
      <c r="E655" s="73"/>
    </row>
    <row r="656">
      <c r="D656" s="73"/>
      <c r="E656" s="73"/>
    </row>
    <row r="657">
      <c r="D657" s="73"/>
      <c r="E657" s="73"/>
    </row>
    <row r="658">
      <c r="D658" s="73"/>
      <c r="E658" s="73"/>
    </row>
    <row r="659">
      <c r="D659" s="73"/>
      <c r="E659" s="73"/>
    </row>
    <row r="660">
      <c r="D660" s="73"/>
      <c r="E660" s="73"/>
    </row>
    <row r="661">
      <c r="D661" s="73"/>
      <c r="E661" s="73"/>
    </row>
    <row r="662">
      <c r="D662" s="73"/>
      <c r="E662" s="73"/>
    </row>
    <row r="663">
      <c r="D663" s="73"/>
      <c r="E663" s="73"/>
    </row>
    <row r="664">
      <c r="D664" s="73"/>
      <c r="E664" s="73"/>
    </row>
    <row r="665">
      <c r="D665" s="73"/>
      <c r="E665" s="73"/>
    </row>
    <row r="666">
      <c r="D666" s="73"/>
      <c r="E666" s="73"/>
    </row>
    <row r="667">
      <c r="D667" s="73"/>
      <c r="E667" s="73"/>
    </row>
    <row r="668">
      <c r="D668" s="73"/>
      <c r="E668" s="73"/>
    </row>
    <row r="669">
      <c r="D669" s="73"/>
      <c r="E669" s="73"/>
    </row>
    <row r="670">
      <c r="D670" s="73"/>
      <c r="E670" s="73"/>
    </row>
    <row r="671">
      <c r="D671" s="73"/>
      <c r="E671" s="73"/>
    </row>
    <row r="672">
      <c r="D672" s="73"/>
      <c r="E672" s="73"/>
    </row>
    <row r="673">
      <c r="D673" s="73"/>
      <c r="E673" s="73"/>
    </row>
    <row r="674">
      <c r="D674" s="73"/>
      <c r="E674" s="73"/>
    </row>
    <row r="675">
      <c r="D675" s="73"/>
      <c r="E675" s="73"/>
    </row>
    <row r="676">
      <c r="D676" s="73"/>
      <c r="E676" s="73"/>
    </row>
    <row r="677">
      <c r="D677" s="73"/>
      <c r="E677" s="73"/>
    </row>
    <row r="678">
      <c r="D678" s="73"/>
      <c r="E678" s="73"/>
    </row>
    <row r="679">
      <c r="D679" s="73"/>
      <c r="E679" s="73"/>
    </row>
    <row r="680">
      <c r="D680" s="73"/>
      <c r="E680" s="73"/>
    </row>
    <row r="681">
      <c r="D681" s="73"/>
      <c r="E681" s="73"/>
    </row>
    <row r="682">
      <c r="D682" s="73"/>
      <c r="E682" s="73"/>
    </row>
    <row r="683">
      <c r="D683" s="73"/>
      <c r="E683" s="73"/>
    </row>
    <row r="684">
      <c r="D684" s="73"/>
      <c r="E684" s="73"/>
    </row>
    <row r="685">
      <c r="D685" s="73"/>
      <c r="E685" s="73"/>
    </row>
    <row r="686">
      <c r="D686" s="73"/>
      <c r="E686" s="73"/>
    </row>
    <row r="687">
      <c r="D687" s="73"/>
      <c r="E687" s="73"/>
    </row>
    <row r="688">
      <c r="D688" s="73"/>
      <c r="E688" s="73"/>
    </row>
    <row r="689">
      <c r="D689" s="73"/>
      <c r="E689" s="73"/>
    </row>
    <row r="690">
      <c r="D690" s="73"/>
      <c r="E690" s="73"/>
    </row>
    <row r="691">
      <c r="D691" s="73"/>
      <c r="E691" s="73"/>
    </row>
    <row r="692">
      <c r="D692" s="73"/>
      <c r="E692" s="73"/>
    </row>
    <row r="693">
      <c r="D693" s="73"/>
      <c r="E693" s="73"/>
    </row>
    <row r="694">
      <c r="D694" s="73"/>
      <c r="E694" s="73"/>
    </row>
    <row r="695">
      <c r="D695" s="73"/>
      <c r="E695" s="73"/>
    </row>
    <row r="696">
      <c r="D696" s="73"/>
      <c r="E696" s="73"/>
    </row>
    <row r="697">
      <c r="D697" s="73"/>
      <c r="E697" s="73"/>
    </row>
    <row r="698">
      <c r="D698" s="73"/>
      <c r="E698" s="73"/>
    </row>
    <row r="699">
      <c r="D699" s="73"/>
      <c r="E699" s="73"/>
    </row>
    <row r="700">
      <c r="D700" s="73"/>
      <c r="E700" s="73"/>
    </row>
    <row r="701">
      <c r="D701" s="73"/>
      <c r="E701" s="73"/>
    </row>
    <row r="702">
      <c r="D702" s="73"/>
      <c r="E702" s="73"/>
    </row>
    <row r="703">
      <c r="D703" s="73"/>
      <c r="E703" s="73"/>
    </row>
    <row r="704">
      <c r="D704" s="73"/>
      <c r="E704" s="73"/>
    </row>
    <row r="705">
      <c r="D705" s="73"/>
      <c r="E705" s="73"/>
    </row>
    <row r="706">
      <c r="D706" s="73"/>
      <c r="E706" s="73"/>
    </row>
    <row r="707">
      <c r="D707" s="73"/>
      <c r="E707" s="73"/>
    </row>
    <row r="708">
      <c r="D708" s="73"/>
      <c r="E708" s="73"/>
    </row>
    <row r="709">
      <c r="D709" s="73"/>
      <c r="E709" s="73"/>
    </row>
    <row r="710">
      <c r="D710" s="73"/>
      <c r="E710" s="73"/>
    </row>
    <row r="711">
      <c r="D711" s="73"/>
      <c r="E711" s="73"/>
    </row>
    <row r="712">
      <c r="D712" s="73"/>
      <c r="E712" s="73"/>
    </row>
    <row r="713">
      <c r="D713" s="73"/>
      <c r="E713" s="73"/>
    </row>
    <row r="714">
      <c r="D714" s="73"/>
      <c r="E714" s="73"/>
    </row>
    <row r="715">
      <c r="D715" s="73"/>
      <c r="E715" s="73"/>
    </row>
    <row r="716">
      <c r="D716" s="73"/>
      <c r="E716" s="73"/>
    </row>
    <row r="717">
      <c r="D717" s="73"/>
      <c r="E717" s="73"/>
    </row>
    <row r="718">
      <c r="D718" s="73"/>
      <c r="E718" s="73"/>
    </row>
    <row r="719">
      <c r="D719" s="73"/>
      <c r="E719" s="73"/>
    </row>
    <row r="720">
      <c r="D720" s="73"/>
      <c r="E720" s="73"/>
    </row>
    <row r="721">
      <c r="D721" s="73"/>
      <c r="E721" s="73"/>
    </row>
    <row r="722">
      <c r="D722" s="73"/>
      <c r="E722" s="73"/>
    </row>
    <row r="723">
      <c r="D723" s="73"/>
      <c r="E723" s="73"/>
    </row>
    <row r="724">
      <c r="D724" s="73"/>
      <c r="E724" s="73"/>
    </row>
    <row r="725">
      <c r="D725" s="73"/>
      <c r="E725" s="73"/>
    </row>
    <row r="726">
      <c r="D726" s="73"/>
      <c r="E726" s="73"/>
    </row>
    <row r="727">
      <c r="D727" s="73"/>
      <c r="E727" s="73"/>
    </row>
    <row r="728">
      <c r="D728" s="73"/>
      <c r="E728" s="73"/>
    </row>
    <row r="729">
      <c r="D729" s="73"/>
      <c r="E729" s="73"/>
    </row>
    <row r="730">
      <c r="D730" s="73"/>
      <c r="E730" s="73"/>
    </row>
    <row r="731">
      <c r="D731" s="73"/>
      <c r="E731" s="73"/>
    </row>
    <row r="732">
      <c r="D732" s="73"/>
      <c r="E732" s="73"/>
    </row>
    <row r="733">
      <c r="D733" s="73"/>
      <c r="E733" s="73"/>
    </row>
    <row r="734">
      <c r="D734" s="73"/>
      <c r="E734" s="73"/>
    </row>
    <row r="735">
      <c r="D735" s="73"/>
      <c r="E735" s="73"/>
    </row>
    <row r="736">
      <c r="D736" s="73"/>
      <c r="E736" s="73"/>
    </row>
    <row r="737">
      <c r="D737" s="73"/>
      <c r="E737" s="73"/>
    </row>
    <row r="738">
      <c r="D738" s="73"/>
      <c r="E738" s="73"/>
    </row>
    <row r="739">
      <c r="D739" s="73"/>
      <c r="E739" s="73"/>
    </row>
    <row r="740">
      <c r="D740" s="73"/>
      <c r="E740" s="73"/>
    </row>
    <row r="741">
      <c r="D741" s="73"/>
      <c r="E741" s="73"/>
    </row>
    <row r="742">
      <c r="D742" s="73"/>
      <c r="E742" s="73"/>
    </row>
    <row r="743">
      <c r="D743" s="73"/>
      <c r="E743" s="73"/>
    </row>
    <row r="744">
      <c r="D744" s="73"/>
      <c r="E744" s="73"/>
    </row>
    <row r="745">
      <c r="D745" s="73"/>
      <c r="E745" s="73"/>
    </row>
    <row r="746">
      <c r="D746" s="73"/>
      <c r="E746" s="73"/>
    </row>
    <row r="747">
      <c r="D747" s="73"/>
      <c r="E747" s="73"/>
    </row>
    <row r="748">
      <c r="D748" s="73"/>
      <c r="E748" s="73"/>
    </row>
    <row r="749">
      <c r="D749" s="73"/>
      <c r="E749" s="73"/>
    </row>
    <row r="750">
      <c r="D750" s="73"/>
      <c r="E750" s="73"/>
    </row>
    <row r="751">
      <c r="D751" s="73"/>
      <c r="E751" s="73"/>
    </row>
    <row r="752">
      <c r="D752" s="73"/>
      <c r="E752" s="73"/>
    </row>
    <row r="753">
      <c r="D753" s="73"/>
      <c r="E753" s="73"/>
    </row>
    <row r="754">
      <c r="D754" s="73"/>
      <c r="E754" s="73"/>
    </row>
    <row r="755">
      <c r="D755" s="73"/>
      <c r="E755" s="73"/>
    </row>
    <row r="756">
      <c r="D756" s="73"/>
      <c r="E756" s="73"/>
    </row>
    <row r="757">
      <c r="D757" s="73"/>
      <c r="E757" s="73"/>
    </row>
    <row r="758">
      <c r="D758" s="73"/>
      <c r="E758" s="73"/>
    </row>
    <row r="759">
      <c r="D759" s="73"/>
      <c r="E759" s="73"/>
    </row>
    <row r="760">
      <c r="D760" s="73"/>
      <c r="E760" s="73"/>
    </row>
    <row r="761">
      <c r="D761" s="73"/>
      <c r="E761" s="73"/>
    </row>
    <row r="762">
      <c r="D762" s="73"/>
      <c r="E762" s="73"/>
    </row>
    <row r="763">
      <c r="D763" s="73"/>
      <c r="E763" s="73"/>
    </row>
    <row r="764">
      <c r="D764" s="73"/>
      <c r="E764" s="73"/>
    </row>
    <row r="765">
      <c r="D765" s="73"/>
      <c r="E765" s="73"/>
    </row>
    <row r="766">
      <c r="D766" s="73"/>
      <c r="E766" s="73"/>
    </row>
    <row r="767">
      <c r="D767" s="73"/>
      <c r="E767" s="73"/>
    </row>
    <row r="768">
      <c r="D768" s="73"/>
      <c r="E768" s="73"/>
    </row>
    <row r="769">
      <c r="D769" s="73"/>
      <c r="E769" s="73"/>
    </row>
    <row r="770">
      <c r="D770" s="73"/>
      <c r="E770" s="73"/>
    </row>
    <row r="771">
      <c r="D771" s="73"/>
      <c r="E771" s="73"/>
    </row>
    <row r="772">
      <c r="D772" s="73"/>
      <c r="E772" s="73"/>
    </row>
    <row r="773">
      <c r="D773" s="73"/>
      <c r="E773" s="73"/>
    </row>
    <row r="774">
      <c r="D774" s="73"/>
      <c r="E774" s="73"/>
    </row>
    <row r="775">
      <c r="D775" s="73"/>
      <c r="E775" s="73"/>
    </row>
    <row r="776">
      <c r="D776" s="73"/>
      <c r="E776" s="73"/>
    </row>
    <row r="777">
      <c r="D777" s="73"/>
      <c r="E777" s="73"/>
    </row>
    <row r="778">
      <c r="D778" s="73"/>
      <c r="E778" s="73"/>
    </row>
    <row r="779">
      <c r="D779" s="73"/>
      <c r="E779" s="73"/>
    </row>
    <row r="780">
      <c r="D780" s="73"/>
      <c r="E780" s="73"/>
    </row>
    <row r="781">
      <c r="D781" s="73"/>
      <c r="E781" s="73"/>
    </row>
    <row r="782">
      <c r="D782" s="73"/>
      <c r="E782" s="73"/>
    </row>
    <row r="783">
      <c r="D783" s="73"/>
      <c r="E783" s="73"/>
    </row>
    <row r="784">
      <c r="D784" s="73"/>
      <c r="E784" s="73"/>
    </row>
    <row r="785">
      <c r="D785" s="73"/>
      <c r="E785" s="73"/>
    </row>
    <row r="786">
      <c r="D786" s="73"/>
      <c r="E786" s="73"/>
    </row>
    <row r="787">
      <c r="D787" s="73"/>
      <c r="E787" s="73"/>
    </row>
    <row r="788">
      <c r="D788" s="73"/>
      <c r="E788" s="73"/>
    </row>
    <row r="789">
      <c r="D789" s="73"/>
      <c r="E789" s="73"/>
    </row>
    <row r="790">
      <c r="D790" s="73"/>
      <c r="E790" s="73"/>
    </row>
    <row r="791">
      <c r="D791" s="73"/>
      <c r="E791" s="73"/>
    </row>
    <row r="792">
      <c r="D792" s="73"/>
      <c r="E792" s="73"/>
    </row>
    <row r="793">
      <c r="D793" s="73"/>
      <c r="E793" s="73"/>
    </row>
    <row r="794">
      <c r="D794" s="73"/>
      <c r="E794" s="73"/>
    </row>
    <row r="795">
      <c r="D795" s="73"/>
      <c r="E795" s="73"/>
    </row>
    <row r="796">
      <c r="D796" s="73"/>
      <c r="E796" s="73"/>
    </row>
    <row r="797">
      <c r="D797" s="73"/>
      <c r="E797" s="73"/>
    </row>
    <row r="798">
      <c r="D798" s="73"/>
      <c r="E798" s="73"/>
    </row>
    <row r="799">
      <c r="D799" s="73"/>
      <c r="E799" s="73"/>
    </row>
    <row r="800">
      <c r="D800" s="73"/>
      <c r="E800" s="73"/>
    </row>
    <row r="801">
      <c r="D801" s="73"/>
      <c r="E801" s="73"/>
    </row>
    <row r="802">
      <c r="D802" s="73"/>
      <c r="E802" s="73"/>
    </row>
    <row r="803">
      <c r="D803" s="73"/>
      <c r="E803" s="73"/>
    </row>
    <row r="804">
      <c r="D804" s="73"/>
      <c r="E804" s="73"/>
    </row>
    <row r="805">
      <c r="D805" s="73"/>
      <c r="E805" s="73"/>
    </row>
    <row r="806">
      <c r="D806" s="73"/>
      <c r="E806" s="73"/>
    </row>
    <row r="807">
      <c r="D807" s="73"/>
      <c r="E807" s="73"/>
    </row>
    <row r="808">
      <c r="D808" s="73"/>
      <c r="E808" s="73"/>
    </row>
    <row r="809">
      <c r="D809" s="73"/>
      <c r="E809" s="73"/>
    </row>
    <row r="810">
      <c r="D810" s="73"/>
      <c r="E810" s="73"/>
    </row>
    <row r="811">
      <c r="D811" s="73"/>
      <c r="E811" s="73"/>
    </row>
    <row r="812">
      <c r="D812" s="73"/>
      <c r="E812" s="73"/>
    </row>
    <row r="813">
      <c r="D813" s="73"/>
      <c r="E813" s="73"/>
    </row>
    <row r="814">
      <c r="D814" s="73"/>
      <c r="E814" s="73"/>
    </row>
    <row r="815">
      <c r="D815" s="73"/>
      <c r="E815" s="73"/>
    </row>
    <row r="816">
      <c r="D816" s="73"/>
      <c r="E816" s="73"/>
    </row>
    <row r="817">
      <c r="D817" s="73"/>
      <c r="E817" s="73"/>
    </row>
    <row r="818">
      <c r="D818" s="73"/>
      <c r="E818" s="73"/>
    </row>
    <row r="819">
      <c r="D819" s="73"/>
      <c r="E819" s="73"/>
    </row>
    <row r="820">
      <c r="D820" s="73"/>
      <c r="E820" s="73"/>
    </row>
    <row r="821">
      <c r="D821" s="73"/>
      <c r="E821" s="73"/>
    </row>
    <row r="822">
      <c r="D822" s="73"/>
      <c r="E822" s="73"/>
    </row>
    <row r="823">
      <c r="D823" s="73"/>
      <c r="E823" s="73"/>
    </row>
    <row r="824">
      <c r="D824" s="73"/>
      <c r="E824" s="73"/>
    </row>
    <row r="825">
      <c r="D825" s="73"/>
      <c r="E825" s="73"/>
    </row>
    <row r="826">
      <c r="D826" s="73"/>
      <c r="E826" s="73"/>
    </row>
    <row r="827">
      <c r="D827" s="73"/>
      <c r="E827" s="73"/>
    </row>
    <row r="828">
      <c r="D828" s="73"/>
      <c r="E828" s="73"/>
    </row>
    <row r="829">
      <c r="D829" s="73"/>
      <c r="E829" s="73"/>
    </row>
    <row r="830">
      <c r="D830" s="73"/>
      <c r="E830" s="73"/>
    </row>
    <row r="831">
      <c r="D831" s="73"/>
      <c r="E831" s="73"/>
    </row>
    <row r="832">
      <c r="D832" s="73"/>
      <c r="E832" s="73"/>
    </row>
    <row r="833">
      <c r="D833" s="73"/>
      <c r="E833" s="73"/>
    </row>
    <row r="834">
      <c r="D834" s="73"/>
      <c r="E834" s="73"/>
    </row>
    <row r="835">
      <c r="D835" s="73"/>
      <c r="E835" s="73"/>
    </row>
    <row r="836">
      <c r="D836" s="73"/>
      <c r="E836" s="73"/>
    </row>
    <row r="837">
      <c r="D837" s="73"/>
      <c r="E837" s="73"/>
    </row>
    <row r="838">
      <c r="D838" s="73"/>
      <c r="E838" s="73"/>
    </row>
    <row r="839">
      <c r="D839" s="73"/>
      <c r="E839" s="73"/>
    </row>
    <row r="840">
      <c r="D840" s="73"/>
      <c r="E840" s="73"/>
    </row>
    <row r="841">
      <c r="D841" s="73"/>
      <c r="E841" s="73"/>
    </row>
    <row r="842">
      <c r="D842" s="73"/>
      <c r="E842" s="73"/>
    </row>
    <row r="843">
      <c r="D843" s="73"/>
      <c r="E843" s="73"/>
    </row>
    <row r="844">
      <c r="D844" s="73"/>
      <c r="E844" s="73"/>
    </row>
    <row r="845">
      <c r="D845" s="73"/>
      <c r="E845" s="73"/>
    </row>
    <row r="846">
      <c r="D846" s="73"/>
      <c r="E846" s="73"/>
    </row>
    <row r="847">
      <c r="D847" s="73"/>
      <c r="E847" s="73"/>
    </row>
    <row r="848">
      <c r="D848" s="73"/>
      <c r="E848" s="73"/>
    </row>
    <row r="849">
      <c r="D849" s="73"/>
      <c r="E849" s="73"/>
    </row>
    <row r="850">
      <c r="D850" s="73"/>
      <c r="E850" s="73"/>
    </row>
    <row r="851">
      <c r="D851" s="73"/>
      <c r="E851" s="73"/>
    </row>
    <row r="852">
      <c r="D852" s="73"/>
      <c r="E852" s="73"/>
    </row>
    <row r="853">
      <c r="D853" s="73"/>
      <c r="E853" s="73"/>
    </row>
    <row r="854">
      <c r="D854" s="73"/>
      <c r="E854" s="73"/>
    </row>
    <row r="855">
      <c r="D855" s="73"/>
      <c r="E855" s="73"/>
    </row>
    <row r="856">
      <c r="D856" s="73"/>
      <c r="E856" s="73"/>
    </row>
    <row r="857">
      <c r="D857" s="73"/>
      <c r="E857" s="73"/>
    </row>
    <row r="858">
      <c r="D858" s="73"/>
      <c r="E858" s="73"/>
    </row>
    <row r="859">
      <c r="D859" s="73"/>
      <c r="E859" s="73"/>
    </row>
    <row r="860">
      <c r="D860" s="73"/>
      <c r="E860" s="73"/>
    </row>
    <row r="861">
      <c r="D861" s="73"/>
      <c r="E861" s="73"/>
    </row>
    <row r="862">
      <c r="D862" s="73"/>
      <c r="E862" s="73"/>
    </row>
    <row r="863">
      <c r="D863" s="73"/>
      <c r="E863" s="73"/>
    </row>
    <row r="864">
      <c r="D864" s="73"/>
      <c r="E864" s="73"/>
    </row>
    <row r="865">
      <c r="D865" s="73"/>
      <c r="E865" s="73"/>
    </row>
    <row r="866">
      <c r="D866" s="73"/>
      <c r="E866" s="73"/>
    </row>
    <row r="867">
      <c r="D867" s="73"/>
      <c r="E867" s="73"/>
    </row>
    <row r="868">
      <c r="D868" s="73"/>
      <c r="E868" s="73"/>
    </row>
    <row r="869">
      <c r="D869" s="73"/>
      <c r="E869" s="73"/>
    </row>
    <row r="870">
      <c r="D870" s="73"/>
      <c r="E870" s="73"/>
    </row>
    <row r="871">
      <c r="D871" s="73"/>
      <c r="E871" s="73"/>
    </row>
    <row r="872">
      <c r="D872" s="73"/>
      <c r="E872" s="73"/>
    </row>
    <row r="873">
      <c r="D873" s="73"/>
      <c r="E873" s="73"/>
    </row>
    <row r="874">
      <c r="D874" s="73"/>
      <c r="E874" s="73"/>
    </row>
    <row r="875">
      <c r="D875" s="73"/>
      <c r="E875" s="73"/>
    </row>
    <row r="876">
      <c r="D876" s="73"/>
      <c r="E876" s="73"/>
    </row>
    <row r="877">
      <c r="D877" s="73"/>
      <c r="E877" s="73"/>
    </row>
    <row r="878">
      <c r="D878" s="73"/>
      <c r="E878" s="73"/>
    </row>
    <row r="879">
      <c r="D879" s="73"/>
      <c r="E879" s="73"/>
    </row>
    <row r="880">
      <c r="D880" s="73"/>
      <c r="E880" s="73"/>
    </row>
    <row r="881">
      <c r="D881" s="73"/>
      <c r="E881" s="73"/>
    </row>
    <row r="882">
      <c r="D882" s="73"/>
      <c r="E882" s="73"/>
    </row>
    <row r="883">
      <c r="D883" s="73"/>
      <c r="E883" s="73"/>
    </row>
    <row r="884">
      <c r="D884" s="73"/>
      <c r="E884" s="73"/>
    </row>
    <row r="885">
      <c r="D885" s="73"/>
      <c r="E885" s="73"/>
    </row>
    <row r="886">
      <c r="D886" s="73"/>
      <c r="E886" s="73"/>
    </row>
    <row r="887">
      <c r="D887" s="73"/>
      <c r="E887" s="73"/>
    </row>
    <row r="888">
      <c r="D888" s="73"/>
      <c r="E888" s="73"/>
    </row>
    <row r="889">
      <c r="D889" s="73"/>
      <c r="E889" s="73"/>
    </row>
    <row r="890">
      <c r="D890" s="73"/>
      <c r="E890" s="73"/>
    </row>
    <row r="891">
      <c r="D891" s="73"/>
      <c r="E891" s="73"/>
    </row>
    <row r="892">
      <c r="D892" s="73"/>
      <c r="E892" s="73"/>
    </row>
    <row r="893">
      <c r="D893" s="73"/>
      <c r="E893" s="73"/>
    </row>
    <row r="894">
      <c r="D894" s="73"/>
      <c r="E894" s="73"/>
    </row>
    <row r="895">
      <c r="D895" s="73"/>
      <c r="E895" s="73"/>
    </row>
    <row r="896">
      <c r="D896" s="73"/>
      <c r="E896" s="73"/>
    </row>
    <row r="897">
      <c r="D897" s="73"/>
      <c r="E897" s="73"/>
    </row>
    <row r="898">
      <c r="D898" s="73"/>
      <c r="E898" s="73"/>
    </row>
    <row r="899">
      <c r="D899" s="73"/>
      <c r="E899" s="73"/>
    </row>
    <row r="900">
      <c r="D900" s="73"/>
      <c r="E900" s="73"/>
    </row>
    <row r="901">
      <c r="D901" s="73"/>
      <c r="E901" s="73"/>
    </row>
    <row r="902">
      <c r="D902" s="73"/>
      <c r="E902" s="73"/>
    </row>
    <row r="903">
      <c r="D903" s="73"/>
      <c r="E903" s="73"/>
    </row>
    <row r="904">
      <c r="D904" s="73"/>
      <c r="E904" s="73"/>
    </row>
    <row r="905">
      <c r="D905" s="73"/>
      <c r="E905" s="73"/>
    </row>
    <row r="906">
      <c r="D906" s="73"/>
      <c r="E906" s="73"/>
    </row>
    <row r="907">
      <c r="D907" s="73"/>
      <c r="E907" s="73"/>
    </row>
    <row r="908">
      <c r="D908" s="73"/>
      <c r="E908" s="73"/>
    </row>
    <row r="909">
      <c r="D909" s="73"/>
      <c r="E909" s="73"/>
    </row>
    <row r="910">
      <c r="D910" s="73"/>
      <c r="E910" s="73"/>
    </row>
    <row r="911">
      <c r="D911" s="73"/>
      <c r="E911" s="73"/>
    </row>
    <row r="912">
      <c r="D912" s="73"/>
      <c r="E912" s="73"/>
    </row>
    <row r="913">
      <c r="D913" s="73"/>
      <c r="E913" s="73"/>
    </row>
    <row r="914">
      <c r="D914" s="73"/>
      <c r="E914" s="73"/>
    </row>
    <row r="915">
      <c r="D915" s="73"/>
      <c r="E915" s="73"/>
    </row>
    <row r="916">
      <c r="D916" s="73"/>
      <c r="E916" s="73"/>
    </row>
    <row r="917">
      <c r="D917" s="73"/>
      <c r="E917" s="73"/>
    </row>
    <row r="918">
      <c r="D918" s="73"/>
      <c r="E918" s="73"/>
    </row>
    <row r="919">
      <c r="D919" s="73"/>
      <c r="E919" s="73"/>
    </row>
    <row r="920">
      <c r="D920" s="73"/>
      <c r="E920" s="73"/>
    </row>
    <row r="921">
      <c r="D921" s="73"/>
      <c r="E921" s="73"/>
    </row>
    <row r="922">
      <c r="D922" s="73"/>
      <c r="E922" s="73"/>
    </row>
    <row r="923">
      <c r="D923" s="73"/>
      <c r="E923" s="73"/>
    </row>
    <row r="924">
      <c r="D924" s="73"/>
      <c r="E924" s="73"/>
    </row>
    <row r="925">
      <c r="D925" s="73"/>
      <c r="E925" s="73"/>
    </row>
    <row r="926">
      <c r="D926" s="73"/>
      <c r="E926" s="73"/>
    </row>
    <row r="927">
      <c r="D927" s="73"/>
      <c r="E927" s="73"/>
    </row>
    <row r="928">
      <c r="D928" s="73"/>
      <c r="E928" s="73"/>
    </row>
    <row r="929">
      <c r="D929" s="73"/>
      <c r="E929" s="73"/>
    </row>
    <row r="930">
      <c r="D930" s="73"/>
      <c r="E930" s="73"/>
    </row>
    <row r="931">
      <c r="D931" s="73"/>
      <c r="E931" s="73"/>
    </row>
    <row r="932">
      <c r="D932" s="73"/>
      <c r="E932" s="73"/>
    </row>
    <row r="933">
      <c r="D933" s="73"/>
      <c r="E933" s="73"/>
    </row>
    <row r="934">
      <c r="D934" s="73"/>
      <c r="E934" s="73"/>
    </row>
    <row r="935">
      <c r="D935" s="73"/>
      <c r="E935" s="73"/>
    </row>
    <row r="936">
      <c r="D936" s="73"/>
      <c r="E936" s="73"/>
    </row>
    <row r="937">
      <c r="D937" s="73"/>
      <c r="E937" s="73"/>
    </row>
    <row r="938">
      <c r="D938" s="73"/>
      <c r="E938" s="73"/>
    </row>
    <row r="939">
      <c r="D939" s="73"/>
      <c r="E939" s="73"/>
    </row>
    <row r="940">
      <c r="D940" s="73"/>
      <c r="E940" s="73"/>
    </row>
    <row r="941">
      <c r="D941" s="73"/>
      <c r="E941" s="73"/>
    </row>
    <row r="942">
      <c r="D942" s="73"/>
      <c r="E942" s="73"/>
    </row>
    <row r="943">
      <c r="D943" s="73"/>
      <c r="E943" s="73"/>
    </row>
    <row r="944">
      <c r="D944" s="73"/>
      <c r="E944" s="73"/>
    </row>
    <row r="945">
      <c r="D945" s="73"/>
      <c r="E945" s="73"/>
    </row>
    <row r="946">
      <c r="D946" s="73"/>
      <c r="E946" s="73"/>
    </row>
    <row r="947">
      <c r="D947" s="73"/>
      <c r="E947" s="73"/>
    </row>
    <row r="948">
      <c r="D948" s="73"/>
      <c r="E948" s="73"/>
    </row>
    <row r="949">
      <c r="D949" s="73"/>
      <c r="E949" s="73"/>
    </row>
    <row r="950">
      <c r="D950" s="73"/>
      <c r="E950" s="73"/>
    </row>
    <row r="951">
      <c r="D951" s="73"/>
      <c r="E951" s="73"/>
    </row>
    <row r="952">
      <c r="D952" s="73"/>
      <c r="E952" s="73"/>
    </row>
    <row r="953">
      <c r="D953" s="73"/>
      <c r="E953" s="73"/>
    </row>
    <row r="954">
      <c r="D954" s="73"/>
      <c r="E954" s="73"/>
    </row>
    <row r="955">
      <c r="D955" s="73"/>
      <c r="E955" s="73"/>
    </row>
    <row r="956">
      <c r="D956" s="73"/>
      <c r="E956" s="73"/>
    </row>
    <row r="957">
      <c r="D957" s="73"/>
      <c r="E957" s="73"/>
    </row>
    <row r="958">
      <c r="D958" s="73"/>
      <c r="E958" s="73"/>
    </row>
    <row r="959">
      <c r="D959" s="73"/>
      <c r="E959" s="73"/>
    </row>
    <row r="960">
      <c r="D960" s="73"/>
      <c r="E960" s="73"/>
    </row>
    <row r="961">
      <c r="D961" s="73"/>
      <c r="E961" s="73"/>
    </row>
    <row r="962">
      <c r="D962" s="73"/>
      <c r="E962" s="73"/>
    </row>
    <row r="963">
      <c r="D963" s="73"/>
      <c r="E963" s="73"/>
    </row>
    <row r="964">
      <c r="D964" s="73"/>
      <c r="E964" s="73"/>
    </row>
    <row r="965">
      <c r="D965" s="73"/>
      <c r="E965" s="73"/>
    </row>
    <row r="966">
      <c r="D966" s="73"/>
      <c r="E966" s="73"/>
    </row>
    <row r="967">
      <c r="D967" s="73"/>
      <c r="E967" s="73"/>
    </row>
    <row r="968">
      <c r="D968" s="73"/>
      <c r="E968" s="73"/>
    </row>
    <row r="969">
      <c r="D969" s="73"/>
      <c r="E969" s="73"/>
    </row>
    <row r="970">
      <c r="D970" s="73"/>
      <c r="E970" s="73"/>
    </row>
    <row r="971">
      <c r="D971" s="73"/>
      <c r="E971" s="73"/>
    </row>
    <row r="972">
      <c r="D972" s="73"/>
      <c r="E972" s="73"/>
    </row>
    <row r="973">
      <c r="D973" s="73"/>
      <c r="E973" s="73"/>
    </row>
    <row r="974">
      <c r="D974" s="73"/>
      <c r="E974" s="73"/>
    </row>
    <row r="975">
      <c r="D975" s="73"/>
      <c r="E975" s="73"/>
    </row>
    <row r="976">
      <c r="D976" s="73"/>
      <c r="E976" s="73"/>
    </row>
    <row r="977">
      <c r="D977" s="73"/>
      <c r="E977" s="73"/>
    </row>
    <row r="978">
      <c r="D978" s="73"/>
      <c r="E978" s="73"/>
    </row>
    <row r="979">
      <c r="D979" s="73"/>
      <c r="E979" s="73"/>
    </row>
    <row r="980">
      <c r="D980" s="73"/>
      <c r="E980" s="73"/>
    </row>
    <row r="981">
      <c r="D981" s="73"/>
      <c r="E981" s="73"/>
    </row>
    <row r="982">
      <c r="D982" s="73"/>
      <c r="E982" s="73"/>
    </row>
    <row r="983">
      <c r="D983" s="73"/>
      <c r="E983" s="73"/>
    </row>
    <row r="984">
      <c r="D984" s="73"/>
      <c r="E984" s="73"/>
    </row>
    <row r="985">
      <c r="D985" s="73"/>
      <c r="E985" s="73"/>
    </row>
    <row r="986">
      <c r="D986" s="73"/>
      <c r="E986" s="73"/>
    </row>
    <row r="987">
      <c r="D987" s="73"/>
      <c r="E987" s="73"/>
    </row>
    <row r="988">
      <c r="D988" s="73"/>
      <c r="E988" s="73"/>
    </row>
    <row r="989">
      <c r="D989" s="73"/>
      <c r="E989" s="73"/>
    </row>
    <row r="990">
      <c r="D990" s="73"/>
      <c r="E990" s="73"/>
    </row>
    <row r="991">
      <c r="D991" s="73"/>
      <c r="E991" s="73"/>
    </row>
    <row r="992">
      <c r="D992" s="73"/>
      <c r="E992" s="73"/>
    </row>
    <row r="993">
      <c r="D993" s="73"/>
      <c r="E993" s="73"/>
    </row>
    <row r="994">
      <c r="D994" s="73"/>
      <c r="E994" s="73"/>
    </row>
    <row r="995">
      <c r="D995" s="73"/>
      <c r="E995" s="73"/>
    </row>
    <row r="996">
      <c r="D996" s="73"/>
      <c r="E996" s="73"/>
    </row>
    <row r="997">
      <c r="D997" s="73"/>
      <c r="E997" s="73"/>
    </row>
  </sheetData>
  <dataValidations>
    <dataValidation type="list" allowBlank="1" sqref="B2:B197">
      <formula1>Lookups!$A$1:$A$6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6.13"/>
    <col customWidth="1" min="4" max="4" width="16.75"/>
    <col customWidth="1" min="5" max="5" width="14.0"/>
    <col customWidth="1" min="6" max="6" width="39.75"/>
  </cols>
  <sheetData>
    <row r="1">
      <c r="A1" s="1" t="s">
        <v>0</v>
      </c>
      <c r="B1" s="2" t="s">
        <v>1</v>
      </c>
      <c r="C1" s="68" t="s">
        <v>2</v>
      </c>
      <c r="D1" s="1" t="s">
        <v>3</v>
      </c>
      <c r="E1" s="77" t="s">
        <v>4</v>
      </c>
      <c r="F1" s="2" t="s">
        <v>5</v>
      </c>
      <c r="G1" s="6" t="s">
        <v>1199</v>
      </c>
      <c r="H1" s="7" t="s">
        <v>7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7" t="s">
        <v>8</v>
      </c>
      <c r="B2" s="7" t="s">
        <v>1056</v>
      </c>
      <c r="C2" s="71" t="s">
        <v>10</v>
      </c>
      <c r="D2" s="78">
        <f>IFERROR(__xludf.DUMMYFUNCTION("SPLIT(C2,"","")"),57.0482555)</f>
        <v>57.0482555</v>
      </c>
      <c r="E2" s="79">
        <f>IFERROR(__xludf.DUMMYFUNCTION("""COMPUTED_VALUE"""),9.913457)</f>
        <v>9.913457</v>
      </c>
      <c r="F2" s="80" t="s">
        <v>11</v>
      </c>
      <c r="G2" s="7">
        <v>3.0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3" t="s">
        <v>1200</v>
      </c>
      <c r="B3" s="13" t="s">
        <v>1056</v>
      </c>
      <c r="C3" s="63" t="s">
        <v>1201</v>
      </c>
      <c r="D3" s="79">
        <f>IFERROR(__xludf.DUMMYFUNCTION("SPLIT(C3,"","")"),56.4657089539835)</f>
        <v>56.46570895</v>
      </c>
      <c r="E3" s="81">
        <f>IFERROR(__xludf.DUMMYFUNCTION("""COMPUTED_VALUE"""),10.0094855585397)</f>
        <v>10.00948556</v>
      </c>
      <c r="F3" s="13" t="s">
        <v>1202</v>
      </c>
      <c r="G3" s="13">
        <v>5.0</v>
      </c>
    </row>
    <row r="4">
      <c r="A4" s="13" t="s">
        <v>1203</v>
      </c>
      <c r="B4" s="13" t="s">
        <v>1056</v>
      </c>
      <c r="C4" s="63" t="s">
        <v>1204</v>
      </c>
      <c r="D4" s="79">
        <f>IFERROR(__xludf.DUMMYFUNCTION("SPLIT(C4,"","")"),56.1727164)</f>
        <v>56.1727164</v>
      </c>
      <c r="E4" s="82">
        <f>IFERROR(__xludf.DUMMYFUNCTION("""COMPUTED_VALUE"""),10.2061572)</f>
        <v>10.2061572</v>
      </c>
      <c r="F4" s="13" t="s">
        <v>1205</v>
      </c>
      <c r="G4" s="13">
        <v>5.0</v>
      </c>
    </row>
    <row r="5">
      <c r="A5" s="13" t="s">
        <v>1206</v>
      </c>
      <c r="B5" s="13" t="s">
        <v>43</v>
      </c>
      <c r="C5" s="63" t="s">
        <v>1207</v>
      </c>
      <c r="D5" s="79">
        <f>IFERROR(__xludf.DUMMYFUNCTION("SPLIT(C5,"","")"),55.998047)</f>
        <v>55.998047</v>
      </c>
      <c r="E5" s="81">
        <f>IFERROR(__xludf.DUMMYFUNCTION("""COMPUTED_VALUE"""),8.4682353)</f>
        <v>8.4682353</v>
      </c>
      <c r="F5" s="13" t="s">
        <v>1208</v>
      </c>
      <c r="G5" s="13">
        <v>5.0</v>
      </c>
    </row>
    <row r="6">
      <c r="A6" s="13" t="s">
        <v>1209</v>
      </c>
      <c r="B6" s="13" t="s">
        <v>43</v>
      </c>
      <c r="C6" s="63" t="s">
        <v>1210</v>
      </c>
      <c r="D6" s="79">
        <f>IFERROR(__xludf.DUMMYFUNCTION("SPLIT(C6,"","")"),57.0436161)</f>
        <v>57.0436161</v>
      </c>
      <c r="E6" s="83">
        <f>IFERROR(__xludf.DUMMYFUNCTION("""COMPUTED_VALUE"""),9.8756756)</f>
        <v>9.8756756</v>
      </c>
      <c r="F6" s="13" t="s">
        <v>1211</v>
      </c>
      <c r="G6" s="13">
        <v>3.0</v>
      </c>
    </row>
    <row r="7">
      <c r="A7" s="13" t="s">
        <v>76</v>
      </c>
      <c r="B7" s="13" t="s">
        <v>1056</v>
      </c>
      <c r="C7" s="63" t="s">
        <v>1212</v>
      </c>
      <c r="D7" s="79">
        <f>IFERROR(__xludf.DUMMYFUNCTION("SPLIT(C7,"","")"),55.6779618)</f>
        <v>55.6779618</v>
      </c>
      <c r="E7" s="82">
        <f>IFERROR(__xludf.DUMMYFUNCTION("""COMPUTED_VALUE"""),12.5876764)</f>
        <v>12.5876764</v>
      </c>
      <c r="F7" s="13" t="s">
        <v>1213</v>
      </c>
    </row>
    <row r="8">
      <c r="A8" s="13" t="s">
        <v>1214</v>
      </c>
      <c r="B8" s="13" t="s">
        <v>43</v>
      </c>
      <c r="C8" s="63" t="s">
        <v>1215</v>
      </c>
      <c r="D8" s="79">
        <f>IFERROR(__xludf.DUMMYFUNCTION("SPLIT(C8,"","")"),56.1230061)</f>
        <v>56.1230061</v>
      </c>
      <c r="E8" s="82">
        <f>IFERROR(__xludf.DUMMYFUNCTION("""COMPUTED_VALUE"""),9.6101629)</f>
        <v>9.6101629</v>
      </c>
      <c r="F8" s="13" t="s">
        <v>1216</v>
      </c>
    </row>
    <row r="9">
      <c r="A9" s="13" t="s">
        <v>1217</v>
      </c>
      <c r="B9" s="13" t="s">
        <v>43</v>
      </c>
      <c r="C9" s="63" t="s">
        <v>1218</v>
      </c>
      <c r="D9" s="79">
        <f>IFERROR(__xludf.DUMMYFUNCTION("SPLIT(C9,"","")"),56.979914117853)</f>
        <v>56.97991412</v>
      </c>
      <c r="E9" s="81">
        <f>IFERROR(__xludf.DUMMYFUNCTION("""COMPUTED_VALUE"""),8.40949173120194)</f>
        <v>8.409491731</v>
      </c>
      <c r="F9" s="13" t="s">
        <v>1219</v>
      </c>
      <c r="G9" s="13">
        <v>5.0</v>
      </c>
    </row>
    <row r="10">
      <c r="A10" s="13" t="s">
        <v>1220</v>
      </c>
      <c r="B10" s="13" t="s">
        <v>43</v>
      </c>
      <c r="C10" s="63" t="s">
        <v>1221</v>
      </c>
      <c r="D10" s="79">
        <f>IFERROR(__xludf.DUMMYFUNCTION("SPLIT(C10,"","")"),57.7436103)</f>
        <v>57.7436103</v>
      </c>
      <c r="E10" s="81">
        <f>IFERROR(__xludf.DUMMYFUNCTION("""COMPUTED_VALUE"""),10.6365231)</f>
        <v>10.6365231</v>
      </c>
      <c r="F10" s="13" t="s">
        <v>1222</v>
      </c>
      <c r="G10" s="13">
        <v>5.0</v>
      </c>
    </row>
    <row r="11">
      <c r="A11" s="84" t="s">
        <v>1223</v>
      </c>
      <c r="B11" s="13" t="s">
        <v>43</v>
      </c>
      <c r="C11" s="63" t="s">
        <v>1224</v>
      </c>
      <c r="D11" s="79">
        <f>IFERROR(__xludf.DUMMYFUNCTION("SPLIT(C11,"","")"),56.12041)</f>
        <v>56.12041</v>
      </c>
      <c r="E11" s="82">
        <f>IFERROR(__xludf.DUMMYFUNCTION("""COMPUTED_VALUE"""),10.2177093)</f>
        <v>10.2177093</v>
      </c>
      <c r="F11" s="13" t="s">
        <v>1225</v>
      </c>
      <c r="G11" s="13">
        <v>2.0</v>
      </c>
    </row>
    <row r="12">
      <c r="A12" s="13" t="s">
        <v>209</v>
      </c>
      <c r="B12" s="13" t="s">
        <v>43</v>
      </c>
      <c r="C12" s="85" t="s">
        <v>1226</v>
      </c>
      <c r="D12" s="79">
        <f>IFERROR(__xludf.DUMMYFUNCTION("SPLIT(C12,"","")"),55.68901)</f>
        <v>55.68901</v>
      </c>
      <c r="E12" s="86">
        <f>IFERROR(__xludf.DUMMYFUNCTION("""COMPUTED_VALUE"""),12.579734)</f>
        <v>12.579734</v>
      </c>
      <c r="F12" s="13" t="s">
        <v>1227</v>
      </c>
    </row>
    <row r="13">
      <c r="A13" s="13" t="s">
        <v>1220</v>
      </c>
      <c r="B13" s="13" t="s">
        <v>1056</v>
      </c>
      <c r="C13" s="63" t="s">
        <v>1228</v>
      </c>
      <c r="D13" s="79">
        <f>IFERROR(__xludf.DUMMYFUNCTION("SPLIT(C13,"","")"),57.7436103)</f>
        <v>57.7436103</v>
      </c>
      <c r="E13" s="81">
        <f>IFERROR(__xludf.DUMMYFUNCTION("""COMPUTED_VALUE"""),10.6365232)</f>
        <v>10.6365232</v>
      </c>
      <c r="F13" s="13" t="s">
        <v>1229</v>
      </c>
    </row>
    <row r="14">
      <c r="A14" s="13" t="s">
        <v>1230</v>
      </c>
      <c r="B14" s="13" t="s">
        <v>1231</v>
      </c>
      <c r="C14" s="84" t="s">
        <v>1232</v>
      </c>
      <c r="D14" s="79">
        <f>IFERROR(__xludf.DUMMYFUNCTION("SPLIT(C14,"","")"),55.024103)</f>
        <v>55.024103</v>
      </c>
      <c r="E14" s="87">
        <f>IFERROR(__xludf.DUMMYFUNCTION("""COMPUTED_VALUE"""),15.116195)</f>
        <v>15.116195</v>
      </c>
      <c r="F14" s="13" t="s">
        <v>1233</v>
      </c>
    </row>
    <row r="15">
      <c r="A15" s="13" t="s">
        <v>1234</v>
      </c>
      <c r="B15" s="13" t="s">
        <v>43</v>
      </c>
      <c r="C15" s="63" t="s">
        <v>1235</v>
      </c>
      <c r="D15" s="79">
        <f>IFERROR(__xludf.DUMMYFUNCTION("SPLIT(C15,"","")"),56.1827476)</f>
        <v>56.1827476</v>
      </c>
      <c r="E15" s="83">
        <f>IFERROR(__xludf.DUMMYFUNCTION("""COMPUTED_VALUE"""),9.4256895)</f>
        <v>9.4256895</v>
      </c>
      <c r="F15" s="13" t="s">
        <v>1236</v>
      </c>
    </row>
    <row r="16">
      <c r="A16" s="13" t="s">
        <v>1237</v>
      </c>
      <c r="B16" s="13" t="s">
        <v>1056</v>
      </c>
      <c r="C16" s="63" t="s">
        <v>1238</v>
      </c>
      <c r="D16" s="79">
        <f>IFERROR(__xludf.DUMMYFUNCTION("SPLIT(C16,"","")"),55.672983)</f>
        <v>55.672983</v>
      </c>
      <c r="E16" s="83">
        <f>IFERROR(__xludf.DUMMYFUNCTION("""COMPUTED_VALUE"""),12.5703543)</f>
        <v>12.5703543</v>
      </c>
      <c r="F16" s="13" t="s">
        <v>1239</v>
      </c>
    </row>
    <row r="17">
      <c r="A17" s="13" t="s">
        <v>1240</v>
      </c>
      <c r="B17" s="13" t="s">
        <v>1231</v>
      </c>
      <c r="C17" s="63" t="s">
        <v>1241</v>
      </c>
      <c r="D17" s="79">
        <f>IFERROR(__xludf.DUMMYFUNCTION("SPLIT(C17,"","")"),56.1546656)</f>
        <v>56.1546656</v>
      </c>
      <c r="E17" s="83">
        <f>IFERROR(__xludf.DUMMYFUNCTION("""COMPUTED_VALUE"""),10.1953078)</f>
        <v>10.1953078</v>
      </c>
      <c r="F17" s="13" t="s">
        <v>1242</v>
      </c>
      <c r="G17" s="13">
        <v>1.3</v>
      </c>
    </row>
    <row r="18">
      <c r="A18" s="13" t="s">
        <v>1243</v>
      </c>
      <c r="B18" s="13" t="s">
        <v>1231</v>
      </c>
      <c r="C18" s="63" t="s">
        <v>1244</v>
      </c>
      <c r="D18" s="79">
        <f>IFERROR(__xludf.DUMMYFUNCTION("SPLIT(C18,"","")"),56.0485137)</f>
        <v>56.0485137</v>
      </c>
      <c r="E18" s="81">
        <f>IFERROR(__xludf.DUMMYFUNCTION("""COMPUTED_VALUE"""),9.6609709)</f>
        <v>9.6609709</v>
      </c>
      <c r="F18" s="13" t="s">
        <v>1245</v>
      </c>
      <c r="G18" s="13">
        <v>4.9</v>
      </c>
    </row>
    <row r="19">
      <c r="A19" s="13" t="s">
        <v>1246</v>
      </c>
      <c r="B19" s="13" t="s">
        <v>1056</v>
      </c>
      <c r="C19" s="63" t="s">
        <v>1247</v>
      </c>
      <c r="D19" s="79">
        <f>IFERROR(__xludf.DUMMYFUNCTION("SPLIT(C19,"","")"),55.6426377)</f>
        <v>55.6426377</v>
      </c>
      <c r="E19" s="82">
        <f>IFERROR(__xludf.DUMMYFUNCTION("""COMPUTED_VALUE"""),12.0782604)</f>
        <v>12.0782604</v>
      </c>
      <c r="F19" s="13" t="s">
        <v>1248</v>
      </c>
      <c r="G19" s="13">
        <v>5.0</v>
      </c>
    </row>
    <row r="20">
      <c r="A20" s="13" t="s">
        <v>130</v>
      </c>
      <c r="B20" s="13" t="s">
        <v>43</v>
      </c>
      <c r="C20" s="63" t="s">
        <v>1249</v>
      </c>
      <c r="D20" s="79">
        <f>IFERROR(__xludf.DUMMYFUNCTION("SPLIT(C20,"","")"),56.2151424)</f>
        <v>56.2151424</v>
      </c>
      <c r="E20" s="83">
        <f>IFERROR(__xludf.DUMMYFUNCTION("""COMPUTED_VALUE"""),10.5368877)</f>
        <v>10.5368877</v>
      </c>
      <c r="F20" s="13" t="s">
        <v>1250</v>
      </c>
    </row>
    <row r="21">
      <c r="A21" s="13" t="s">
        <v>1251</v>
      </c>
      <c r="B21" s="13" t="s">
        <v>1056</v>
      </c>
      <c r="C21" s="63" t="s">
        <v>1252</v>
      </c>
      <c r="D21" s="79">
        <f>IFERROR(__xludf.DUMMYFUNCTION("SPLIT(C21,"","")"),55.7333775)</f>
        <v>55.7333775</v>
      </c>
      <c r="E21" s="82">
        <f>IFERROR(__xludf.DUMMYFUNCTION("""COMPUTED_VALUE"""),9.1249593)</f>
        <v>9.1249593</v>
      </c>
      <c r="F21" s="13" t="s">
        <v>1253</v>
      </c>
      <c r="G21" s="13">
        <v>5.0</v>
      </c>
    </row>
    <row r="22">
      <c r="A22" s="13" t="s">
        <v>1254</v>
      </c>
      <c r="B22" s="13" t="s">
        <v>1056</v>
      </c>
      <c r="C22" s="63" t="s">
        <v>1255</v>
      </c>
      <c r="D22" s="79">
        <f>IFERROR(__xludf.DUMMYFUNCTION("SPLIT(C22,"","")"),56.1724346)</f>
        <v>56.1724346</v>
      </c>
      <c r="E22" s="83">
        <f>IFERROR(__xludf.DUMMYFUNCTION("""COMPUTED_VALUE"""),10.2033486)</f>
        <v>10.2033486</v>
      </c>
      <c r="F22" s="13" t="s">
        <v>1256</v>
      </c>
    </row>
    <row r="23">
      <c r="A23" s="13" t="s">
        <v>343</v>
      </c>
      <c r="B23" s="13" t="s">
        <v>43</v>
      </c>
      <c r="C23" s="63" t="s">
        <v>1257</v>
      </c>
      <c r="D23" s="79">
        <f>IFERROR(__xludf.DUMMYFUNCTION("SPLIT(C23,"","")"),57.6963487)</f>
        <v>57.6963487</v>
      </c>
      <c r="E23" s="83">
        <f>IFERROR(__xludf.DUMMYFUNCTION("""COMPUTED_VALUE"""),10.3581323)</f>
        <v>10.3581323</v>
      </c>
      <c r="F23" s="13" t="s">
        <v>1258</v>
      </c>
    </row>
    <row r="24">
      <c r="A24" s="13" t="s">
        <v>320</v>
      </c>
      <c r="B24" s="13" t="s">
        <v>43</v>
      </c>
      <c r="C24" s="63" t="s">
        <v>1259</v>
      </c>
      <c r="D24" s="79">
        <f>IFERROR(__xludf.DUMMYFUNCTION("SPLIT(C24,"","")"),54.984129)</f>
        <v>54.984129</v>
      </c>
      <c r="E24" s="83">
        <f>IFERROR(__xludf.DUMMYFUNCTION("""COMPUTED_VALUE"""),12.5437017)</f>
        <v>12.5437017</v>
      </c>
      <c r="F24" s="13" t="s">
        <v>1260</v>
      </c>
    </row>
    <row r="25">
      <c r="A25" s="13" t="s">
        <v>396</v>
      </c>
      <c r="B25" s="13" t="s">
        <v>1056</v>
      </c>
      <c r="C25" s="63" t="s">
        <v>1261</v>
      </c>
      <c r="D25" s="79">
        <f>IFERROR(__xludf.DUMMYFUNCTION("SPLIT(C25,"","")"),56.153922)</f>
        <v>56.153922</v>
      </c>
      <c r="E25" s="82">
        <f>IFERROR(__xludf.DUMMYFUNCTION("""COMPUTED_VALUE"""),10.1975273)</f>
        <v>10.1975273</v>
      </c>
      <c r="F25" s="13" t="s">
        <v>187</v>
      </c>
    </row>
    <row r="26">
      <c r="A26" s="13" t="s">
        <v>1262</v>
      </c>
      <c r="B26" s="13" t="s">
        <v>43</v>
      </c>
      <c r="C26" s="85" t="s">
        <v>1263</v>
      </c>
      <c r="D26" s="79">
        <f>IFERROR(__xludf.DUMMYFUNCTION("SPLIT(C26,"","")"),55.0307997)</f>
        <v>55.0307997</v>
      </c>
      <c r="E26" s="81">
        <f>IFERROR(__xludf.DUMMYFUNCTION("""COMPUTED_VALUE"""),15.1000274)</f>
        <v>15.1000274</v>
      </c>
      <c r="F26" s="13" t="s">
        <v>1264</v>
      </c>
    </row>
    <row r="27">
      <c r="A27" s="13" t="s">
        <v>1265</v>
      </c>
      <c r="B27" s="13" t="s">
        <v>1056</v>
      </c>
      <c r="C27" s="63" t="s">
        <v>1266</v>
      </c>
      <c r="D27" s="79">
        <f>IFERROR(__xludf.DUMMYFUNCTION("SPLIT(C27,"","")"),56.1168488)</f>
        <v>56.1168488</v>
      </c>
      <c r="E27" s="81">
        <f>IFERROR(__xludf.DUMMYFUNCTION("""COMPUTED_VALUE"""),8.9495426)</f>
        <v>8.9495426</v>
      </c>
      <c r="F27" s="13" t="s">
        <v>1267</v>
      </c>
      <c r="G27" s="13">
        <v>5.0</v>
      </c>
    </row>
    <row r="28">
      <c r="A28" s="13" t="s">
        <v>1268</v>
      </c>
      <c r="B28" s="13" t="s">
        <v>1056</v>
      </c>
      <c r="C28" s="63" t="s">
        <v>1269</v>
      </c>
      <c r="D28" s="79">
        <f>IFERROR(__xludf.DUMMYFUNCTION("SPLIT(C28,"","")"),57.0488889)</f>
        <v>57.0488889</v>
      </c>
      <c r="E28" s="83">
        <f>IFERROR(__xludf.DUMMYFUNCTION("""COMPUTED_VALUE"""),9.9136446)</f>
        <v>9.9136446</v>
      </c>
      <c r="F28" s="13" t="s">
        <v>1270</v>
      </c>
      <c r="G28" s="13">
        <v>5.0</v>
      </c>
    </row>
    <row r="29">
      <c r="A29" s="13" t="s">
        <v>764</v>
      </c>
      <c r="B29" s="13" t="s">
        <v>43</v>
      </c>
      <c r="C29" s="63" t="s">
        <v>1271</v>
      </c>
      <c r="D29" s="79">
        <f>IFERROR(__xludf.DUMMYFUNCTION("SPLIT(C29,"","")"),56.0951306336473)</f>
        <v>56.09513063</v>
      </c>
      <c r="E29" s="83">
        <f>IFERROR(__xludf.DUMMYFUNCTION("""COMPUTED_VALUE"""),10.51281752102)</f>
        <v>10.51281752</v>
      </c>
      <c r="F29" s="13" t="s">
        <v>1272</v>
      </c>
    </row>
    <row r="30">
      <c r="A30" s="13" t="s">
        <v>1273</v>
      </c>
      <c r="B30" s="13" t="s">
        <v>1056</v>
      </c>
      <c r="C30" s="63" t="s">
        <v>1274</v>
      </c>
      <c r="D30" s="79">
        <f>IFERROR(__xludf.DUMMYFUNCTION("SPLIT(C30,"","")"),55.641487)</f>
        <v>55.641487</v>
      </c>
      <c r="E30" s="82">
        <f>IFERROR(__xludf.DUMMYFUNCTION("""COMPUTED_VALUE"""),12.0788073)</f>
        <v>12.0788073</v>
      </c>
      <c r="F30" s="13" t="s">
        <v>1275</v>
      </c>
      <c r="G30" s="13">
        <v>4.0</v>
      </c>
    </row>
    <row r="31">
      <c r="A31" s="13" t="s">
        <v>1276</v>
      </c>
      <c r="B31" s="13" t="s">
        <v>43</v>
      </c>
      <c r="C31" s="88" t="s">
        <v>1277</v>
      </c>
      <c r="D31" s="79">
        <f>IFERROR(__xludf.DUMMYFUNCTION("SPLIT(C31,"","")"),56.2285446)</f>
        <v>56.2285446</v>
      </c>
      <c r="E31" s="83">
        <f>IFERROR(__xludf.DUMMYFUNCTION("""COMPUTED_VALUE"""),10.5296579)</f>
        <v>10.5296579</v>
      </c>
      <c r="F31" s="13" t="s">
        <v>1278</v>
      </c>
      <c r="G31" s="13">
        <v>4.0</v>
      </c>
    </row>
    <row r="32">
      <c r="A32" s="13" t="s">
        <v>1279</v>
      </c>
      <c r="B32" s="13" t="s">
        <v>43</v>
      </c>
      <c r="C32" s="63" t="s">
        <v>1280</v>
      </c>
      <c r="D32" s="79">
        <f>IFERROR(__xludf.DUMMYFUNCTION("SPLIT(C32,"","")"),56.1246662)</f>
        <v>56.1246662</v>
      </c>
      <c r="E32" s="83">
        <f>IFERROR(__xludf.DUMMYFUNCTION("""COMPUTED_VALUE"""),10.2161462)</f>
        <v>10.2161462</v>
      </c>
      <c r="F32" s="13" t="s">
        <v>1281</v>
      </c>
      <c r="G32" s="13">
        <v>3.5</v>
      </c>
    </row>
    <row r="33">
      <c r="A33" s="13" t="s">
        <v>1282</v>
      </c>
      <c r="B33" s="13" t="s">
        <v>1056</v>
      </c>
      <c r="C33" s="63" t="s">
        <v>1283</v>
      </c>
      <c r="D33" s="79">
        <f>IFERROR(__xludf.DUMMYFUNCTION("SPLIT(C33,"","")"),56.1864053)</f>
        <v>56.1864053</v>
      </c>
      <c r="E33" s="83">
        <f>IFERROR(__xludf.DUMMYFUNCTION("""COMPUTED_VALUE"""),10.5658076)</f>
        <v>10.5658076</v>
      </c>
      <c r="F33" s="13" t="s">
        <v>1284</v>
      </c>
    </row>
    <row r="34">
      <c r="A34" s="13" t="s">
        <v>1285</v>
      </c>
      <c r="B34" s="13" t="s">
        <v>1056</v>
      </c>
      <c r="C34" s="63" t="s">
        <v>1286</v>
      </c>
      <c r="D34" s="79">
        <f>IFERROR(__xludf.DUMMYFUNCTION("SPLIT(C34,"","")"),56.4252157)</f>
        <v>56.4252157</v>
      </c>
      <c r="E34" s="83">
        <f>IFERROR(__xludf.DUMMYFUNCTION("""COMPUTED_VALUE"""),10.5487792)</f>
        <v>10.5487792</v>
      </c>
      <c r="F34" s="13" t="s">
        <v>1287</v>
      </c>
      <c r="G34" s="13">
        <v>5.0</v>
      </c>
    </row>
    <row r="35">
      <c r="A35" s="13" t="s">
        <v>1288</v>
      </c>
      <c r="B35" s="13" t="s">
        <v>1056</v>
      </c>
      <c r="C35" s="63" t="s">
        <v>1289</v>
      </c>
      <c r="D35" s="79">
        <f>IFERROR(__xludf.DUMMYFUNCTION("SPLIT(C35,"","")"),55.3908292)</f>
        <v>55.3908292</v>
      </c>
      <c r="E35" s="83">
        <f>IFERROR(__xludf.DUMMYFUNCTION("""COMPUTED_VALUE"""),10.3860613)</f>
        <v>10.3860613</v>
      </c>
      <c r="F35" s="13" t="s">
        <v>1290</v>
      </c>
      <c r="G35" s="13">
        <v>5.0</v>
      </c>
    </row>
    <row r="36">
      <c r="A36" s="13" t="s">
        <v>433</v>
      </c>
      <c r="B36" s="13" t="s">
        <v>1056</v>
      </c>
      <c r="C36" s="63" t="s">
        <v>1291</v>
      </c>
      <c r="D36" s="79">
        <f>IFERROR(__xludf.DUMMYFUNCTION("SPLIT(C36,"","")"),55.463252)</f>
        <v>55.463252</v>
      </c>
      <c r="E36" s="89">
        <f>IFERROR(__xludf.DUMMYFUNCTION("""COMPUTED_VALUE"""),11.721498)</f>
        <v>11.721498</v>
      </c>
      <c r="F36" s="13" t="s">
        <v>1292</v>
      </c>
      <c r="G36" s="13">
        <v>4.2</v>
      </c>
    </row>
    <row r="37">
      <c r="A37" s="13" t="s">
        <v>1293</v>
      </c>
      <c r="B37" s="13" t="s">
        <v>43</v>
      </c>
      <c r="C37" s="63" t="s">
        <v>1294</v>
      </c>
      <c r="D37" s="79">
        <f>IFERROR(__xludf.DUMMYFUNCTION("SPLIT(C37,"","")"),56.1621736)</f>
        <v>56.1621736</v>
      </c>
      <c r="E37" s="82">
        <f>IFERROR(__xludf.DUMMYFUNCTION("""COMPUTED_VALUE"""),10.1872971)</f>
        <v>10.1872971</v>
      </c>
      <c r="F37" s="13" t="s">
        <v>1295</v>
      </c>
      <c r="G37" s="13">
        <v>3.0</v>
      </c>
    </row>
    <row r="38">
      <c r="A38" s="13" t="s">
        <v>1296</v>
      </c>
      <c r="B38" s="13" t="s">
        <v>1056</v>
      </c>
      <c r="C38" s="63" t="s">
        <v>1297</v>
      </c>
      <c r="D38" s="79">
        <f>IFERROR(__xludf.DUMMYFUNCTION("SPLIT(C38,"","")"),56.1666311)</f>
        <v>56.1666311</v>
      </c>
      <c r="E38" s="90">
        <f>IFERROR(__xludf.DUMMYFUNCTION("""COMPUTED_VALUE"""),10.2002604)</f>
        <v>10.2002604</v>
      </c>
      <c r="F38" s="13" t="s">
        <v>1298</v>
      </c>
      <c r="G38" s="13">
        <v>4.5</v>
      </c>
    </row>
    <row r="39">
      <c r="A39" s="13" t="s">
        <v>1299</v>
      </c>
      <c r="B39" s="15"/>
      <c r="C39" s="63" t="s">
        <v>1300</v>
      </c>
      <c r="D39" s="79">
        <f>IFERROR(__xludf.DUMMYFUNCTION("SPLIT(C39,"","")"),56.117121761626)</f>
        <v>56.11712176</v>
      </c>
      <c r="E39" s="83">
        <f>IFERROR(__xludf.DUMMYFUNCTION("""COMPUTED_VALUE"""),9.71161138965562)</f>
        <v>9.71161139</v>
      </c>
      <c r="F39" s="13" t="s">
        <v>1301</v>
      </c>
      <c r="G39" s="13">
        <v>5.0</v>
      </c>
    </row>
    <row r="40">
      <c r="B40" s="15"/>
      <c r="C40" s="91"/>
      <c r="E40" s="89"/>
    </row>
    <row r="41">
      <c r="B41" s="15"/>
      <c r="C41" s="91"/>
      <c r="E41" s="89"/>
    </row>
    <row r="42">
      <c r="B42" s="15"/>
      <c r="C42" s="91"/>
      <c r="E42" s="89"/>
    </row>
    <row r="43">
      <c r="B43" s="15"/>
      <c r="C43" s="91"/>
      <c r="E43" s="89"/>
    </row>
    <row r="44">
      <c r="B44" s="15"/>
      <c r="C44" s="91"/>
      <c r="E44" s="89"/>
    </row>
    <row r="45">
      <c r="B45" s="15"/>
      <c r="C45" s="91"/>
      <c r="E45" s="89"/>
    </row>
    <row r="46">
      <c r="B46" s="15"/>
      <c r="C46" s="91"/>
      <c r="E46" s="89"/>
    </row>
    <row r="47">
      <c r="B47" s="15"/>
      <c r="C47" s="91"/>
      <c r="E47" s="89"/>
    </row>
    <row r="48">
      <c r="B48" s="15"/>
      <c r="C48" s="91"/>
      <c r="E48" s="89"/>
    </row>
    <row r="49">
      <c r="B49" s="15"/>
      <c r="C49" s="91"/>
      <c r="E49" s="89"/>
    </row>
    <row r="50">
      <c r="B50" s="15"/>
      <c r="C50" s="91"/>
      <c r="E50" s="89"/>
    </row>
    <row r="51">
      <c r="B51" s="15"/>
      <c r="C51" s="91"/>
      <c r="E51" s="89"/>
    </row>
    <row r="52">
      <c r="B52" s="15"/>
      <c r="C52" s="91"/>
      <c r="E52" s="89"/>
    </row>
    <row r="53">
      <c r="B53" s="15"/>
      <c r="C53" s="91"/>
      <c r="E53" s="89"/>
    </row>
    <row r="54">
      <c r="B54" s="15"/>
      <c r="C54" s="91"/>
      <c r="E54" s="89"/>
    </row>
    <row r="55">
      <c r="B55" s="15"/>
      <c r="C55" s="91"/>
      <c r="E55" s="89"/>
    </row>
    <row r="56">
      <c r="B56" s="15"/>
      <c r="C56" s="91"/>
      <c r="E56" s="89"/>
    </row>
    <row r="57">
      <c r="B57" s="15"/>
      <c r="C57" s="91"/>
      <c r="E57" s="89"/>
    </row>
    <row r="58">
      <c r="B58" s="15"/>
      <c r="C58" s="91"/>
      <c r="E58" s="89"/>
    </row>
    <row r="59">
      <c r="B59" s="15"/>
      <c r="C59" s="91"/>
      <c r="E59" s="89"/>
    </row>
    <row r="60">
      <c r="B60" s="15"/>
      <c r="C60" s="91"/>
      <c r="E60" s="89"/>
    </row>
    <row r="61">
      <c r="B61" s="15"/>
      <c r="C61" s="91"/>
      <c r="E61" s="89"/>
    </row>
    <row r="62">
      <c r="B62" s="15"/>
      <c r="C62" s="91"/>
      <c r="E62" s="89"/>
    </row>
    <row r="63">
      <c r="B63" s="15"/>
      <c r="C63" s="91"/>
      <c r="E63" s="89"/>
    </row>
    <row r="64">
      <c r="B64" s="15"/>
      <c r="C64" s="91"/>
      <c r="E64" s="89"/>
    </row>
    <row r="65">
      <c r="B65" s="15"/>
      <c r="C65" s="91"/>
      <c r="E65" s="89"/>
    </row>
    <row r="66">
      <c r="B66" s="15"/>
      <c r="C66" s="91"/>
      <c r="E66" s="89"/>
    </row>
    <row r="67">
      <c r="B67" s="15"/>
      <c r="C67" s="91"/>
      <c r="E67" s="89"/>
    </row>
    <row r="68">
      <c r="B68" s="15"/>
      <c r="C68" s="91"/>
      <c r="E68" s="89"/>
    </row>
    <row r="69">
      <c r="B69" s="15"/>
      <c r="C69" s="91"/>
      <c r="E69" s="89"/>
    </row>
    <row r="70">
      <c r="B70" s="15"/>
      <c r="C70" s="91"/>
      <c r="E70" s="89"/>
    </row>
    <row r="71">
      <c r="B71" s="15"/>
      <c r="C71" s="91"/>
      <c r="E71" s="89"/>
    </row>
    <row r="72">
      <c r="B72" s="15"/>
      <c r="C72" s="91"/>
      <c r="E72" s="89"/>
    </row>
    <row r="73">
      <c r="B73" s="15"/>
      <c r="C73" s="91"/>
      <c r="E73" s="89"/>
    </row>
    <row r="74">
      <c r="B74" s="15"/>
      <c r="C74" s="91"/>
      <c r="E74" s="89"/>
    </row>
    <row r="75">
      <c r="B75" s="15"/>
      <c r="C75" s="91"/>
      <c r="E75" s="89"/>
    </row>
    <row r="76">
      <c r="B76" s="15"/>
      <c r="C76" s="91"/>
      <c r="E76" s="89"/>
    </row>
    <row r="77">
      <c r="B77" s="15"/>
      <c r="C77" s="91"/>
      <c r="E77" s="89"/>
    </row>
    <row r="78">
      <c r="B78" s="15"/>
      <c r="C78" s="91"/>
      <c r="E78" s="89"/>
    </row>
    <row r="79">
      <c r="B79" s="15"/>
      <c r="C79" s="91"/>
      <c r="E79" s="89"/>
    </row>
    <row r="80">
      <c r="B80" s="15"/>
      <c r="C80" s="91"/>
      <c r="E80" s="89"/>
    </row>
    <row r="81">
      <c r="B81" s="15"/>
      <c r="C81" s="91"/>
      <c r="E81" s="89"/>
    </row>
    <row r="82">
      <c r="B82" s="15"/>
      <c r="C82" s="91"/>
      <c r="E82" s="89"/>
    </row>
    <row r="83">
      <c r="B83" s="15"/>
      <c r="C83" s="91"/>
      <c r="E83" s="89"/>
    </row>
    <row r="84">
      <c r="B84" s="15"/>
      <c r="C84" s="91"/>
      <c r="E84" s="89"/>
    </row>
    <row r="85">
      <c r="B85" s="15"/>
      <c r="C85" s="91"/>
      <c r="E85" s="89"/>
    </row>
    <row r="86">
      <c r="B86" s="15"/>
      <c r="C86" s="91"/>
      <c r="E86" s="89"/>
    </row>
    <row r="87">
      <c r="B87" s="15"/>
      <c r="C87" s="91"/>
      <c r="E87" s="89"/>
    </row>
    <row r="88">
      <c r="B88" s="15"/>
      <c r="C88" s="91"/>
      <c r="E88" s="89"/>
    </row>
    <row r="89">
      <c r="B89" s="15"/>
      <c r="C89" s="91"/>
      <c r="E89" s="89"/>
    </row>
    <row r="90">
      <c r="B90" s="15"/>
      <c r="C90" s="91"/>
      <c r="E90" s="89"/>
    </row>
    <row r="91">
      <c r="B91" s="15"/>
      <c r="C91" s="91"/>
      <c r="E91" s="89"/>
    </row>
    <row r="92">
      <c r="B92" s="15"/>
      <c r="C92" s="91"/>
      <c r="E92" s="89"/>
    </row>
    <row r="93">
      <c r="B93" s="15"/>
      <c r="C93" s="91"/>
      <c r="E93" s="89"/>
    </row>
    <row r="94">
      <c r="B94" s="15"/>
      <c r="C94" s="91"/>
      <c r="E94" s="89"/>
    </row>
    <row r="95">
      <c r="B95" s="15"/>
      <c r="C95" s="91"/>
      <c r="E95" s="89"/>
    </row>
    <row r="96">
      <c r="B96" s="15"/>
      <c r="C96" s="91"/>
      <c r="E96" s="89"/>
    </row>
    <row r="97">
      <c r="B97" s="15"/>
      <c r="C97" s="91"/>
      <c r="E97" s="89"/>
    </row>
    <row r="98">
      <c r="B98" s="15"/>
      <c r="C98" s="91"/>
      <c r="E98" s="89"/>
    </row>
    <row r="99">
      <c r="B99" s="15"/>
      <c r="C99" s="91"/>
      <c r="E99" s="89"/>
    </row>
    <row r="100">
      <c r="B100" s="15"/>
      <c r="C100" s="91"/>
      <c r="E100" s="89"/>
    </row>
    <row r="101">
      <c r="B101" s="15"/>
      <c r="C101" s="91"/>
      <c r="E101" s="89"/>
    </row>
    <row r="102">
      <c r="B102" s="15"/>
      <c r="C102" s="91"/>
      <c r="E102" s="89"/>
    </row>
    <row r="103">
      <c r="B103" s="15"/>
      <c r="C103" s="91"/>
      <c r="E103" s="89"/>
    </row>
    <row r="104">
      <c r="B104" s="15"/>
      <c r="C104" s="91"/>
      <c r="E104" s="89"/>
    </row>
    <row r="105">
      <c r="B105" s="15"/>
      <c r="C105" s="91"/>
      <c r="E105" s="89"/>
    </row>
    <row r="106">
      <c r="B106" s="15"/>
      <c r="C106" s="91"/>
      <c r="E106" s="89"/>
    </row>
    <row r="107">
      <c r="B107" s="15"/>
      <c r="C107" s="91"/>
      <c r="E107" s="89"/>
    </row>
    <row r="108">
      <c r="B108" s="15"/>
      <c r="C108" s="91"/>
      <c r="E108" s="89"/>
    </row>
    <row r="109">
      <c r="B109" s="15"/>
      <c r="C109" s="91"/>
      <c r="E109" s="89"/>
    </row>
    <row r="110">
      <c r="B110" s="15"/>
      <c r="C110" s="91"/>
      <c r="E110" s="89"/>
    </row>
    <row r="111">
      <c r="B111" s="15"/>
      <c r="C111" s="91"/>
      <c r="E111" s="89"/>
    </row>
    <row r="112">
      <c r="B112" s="15"/>
      <c r="C112" s="91"/>
      <c r="E112" s="89"/>
    </row>
    <row r="113">
      <c r="B113" s="15"/>
      <c r="C113" s="91"/>
      <c r="E113" s="89"/>
    </row>
    <row r="114">
      <c r="B114" s="15"/>
      <c r="C114" s="91"/>
      <c r="E114" s="89"/>
    </row>
    <row r="115">
      <c r="B115" s="15"/>
      <c r="C115" s="91"/>
      <c r="E115" s="89"/>
    </row>
    <row r="116">
      <c r="B116" s="15"/>
      <c r="C116" s="91"/>
      <c r="E116" s="89"/>
    </row>
    <row r="117">
      <c r="B117" s="15"/>
      <c r="C117" s="91"/>
      <c r="E117" s="89"/>
    </row>
    <row r="118">
      <c r="B118" s="15"/>
      <c r="C118" s="91"/>
      <c r="E118" s="89"/>
    </row>
    <row r="119">
      <c r="B119" s="15"/>
      <c r="C119" s="91"/>
      <c r="E119" s="89"/>
    </row>
    <row r="120">
      <c r="B120" s="15"/>
      <c r="C120" s="91"/>
      <c r="E120" s="89"/>
    </row>
    <row r="121">
      <c r="B121" s="15"/>
      <c r="C121" s="91"/>
      <c r="E121" s="89"/>
    </row>
    <row r="122">
      <c r="B122" s="15"/>
      <c r="C122" s="91"/>
      <c r="E122" s="89"/>
    </row>
    <row r="123">
      <c r="B123" s="15"/>
      <c r="C123" s="91"/>
      <c r="E123" s="89"/>
    </row>
    <row r="124">
      <c r="B124" s="15"/>
      <c r="C124" s="91"/>
      <c r="E124" s="89"/>
    </row>
    <row r="125">
      <c r="B125" s="15"/>
      <c r="C125" s="91"/>
      <c r="E125" s="89"/>
    </row>
    <row r="126">
      <c r="B126" s="15"/>
      <c r="C126" s="91"/>
      <c r="E126" s="89"/>
    </row>
    <row r="127">
      <c r="B127" s="15"/>
      <c r="C127" s="91"/>
      <c r="E127" s="89"/>
    </row>
    <row r="128">
      <c r="B128" s="15"/>
      <c r="C128" s="91"/>
      <c r="E128" s="89"/>
    </row>
    <row r="129">
      <c r="B129" s="15"/>
      <c r="C129" s="91"/>
      <c r="E129" s="89"/>
    </row>
    <row r="130">
      <c r="B130" s="15"/>
      <c r="C130" s="91"/>
      <c r="E130" s="89"/>
    </row>
    <row r="131">
      <c r="B131" s="15"/>
      <c r="C131" s="91"/>
      <c r="E131" s="89"/>
    </row>
    <row r="132">
      <c r="B132" s="15"/>
      <c r="C132" s="91"/>
      <c r="E132" s="89"/>
    </row>
    <row r="133">
      <c r="B133" s="15"/>
      <c r="C133" s="91"/>
      <c r="E133" s="89"/>
    </row>
    <row r="134">
      <c r="B134" s="15"/>
      <c r="C134" s="91"/>
      <c r="E134" s="89"/>
    </row>
    <row r="135">
      <c r="B135" s="15"/>
      <c r="C135" s="91"/>
      <c r="E135" s="89"/>
    </row>
    <row r="136">
      <c r="B136" s="15"/>
      <c r="C136" s="91"/>
      <c r="E136" s="89"/>
    </row>
    <row r="137">
      <c r="B137" s="15"/>
      <c r="C137" s="91"/>
      <c r="E137" s="89"/>
    </row>
    <row r="138">
      <c r="B138" s="15"/>
      <c r="C138" s="91"/>
      <c r="E138" s="89"/>
    </row>
    <row r="139">
      <c r="B139" s="15"/>
      <c r="C139" s="91"/>
      <c r="E139" s="89"/>
    </row>
    <row r="140">
      <c r="B140" s="15"/>
      <c r="C140" s="91"/>
      <c r="E140" s="89"/>
    </row>
    <row r="141">
      <c r="B141" s="15"/>
      <c r="C141" s="91"/>
      <c r="E141" s="89"/>
    </row>
    <row r="142">
      <c r="B142" s="15"/>
      <c r="C142" s="91"/>
      <c r="E142" s="89"/>
    </row>
    <row r="143">
      <c r="B143" s="15"/>
      <c r="C143" s="91"/>
      <c r="E143" s="89"/>
    </row>
    <row r="144">
      <c r="B144" s="15"/>
      <c r="C144" s="91"/>
      <c r="E144" s="89"/>
    </row>
    <row r="145">
      <c r="B145" s="15"/>
      <c r="C145" s="91"/>
      <c r="E145" s="89"/>
    </row>
    <row r="146">
      <c r="B146" s="15"/>
      <c r="C146" s="91"/>
      <c r="E146" s="89"/>
    </row>
    <row r="147">
      <c r="B147" s="15"/>
      <c r="C147" s="91"/>
      <c r="E147" s="89"/>
    </row>
    <row r="148">
      <c r="C148" s="91"/>
      <c r="E148" s="89"/>
    </row>
    <row r="149">
      <c r="C149" s="91"/>
      <c r="E149" s="89"/>
    </row>
    <row r="150">
      <c r="C150" s="91"/>
      <c r="E150" s="89"/>
    </row>
    <row r="151">
      <c r="C151" s="91"/>
      <c r="E151" s="89"/>
    </row>
    <row r="152">
      <c r="C152" s="91"/>
      <c r="E152" s="89"/>
    </row>
    <row r="153">
      <c r="C153" s="91"/>
      <c r="E153" s="89"/>
    </row>
    <row r="154">
      <c r="C154" s="91"/>
      <c r="E154" s="89"/>
    </row>
    <row r="155">
      <c r="C155" s="91"/>
      <c r="E155" s="89"/>
    </row>
    <row r="156">
      <c r="C156" s="91"/>
      <c r="E156" s="89"/>
    </row>
    <row r="157">
      <c r="C157" s="91"/>
      <c r="E157" s="89"/>
    </row>
    <row r="158">
      <c r="C158" s="91"/>
      <c r="E158" s="89"/>
    </row>
    <row r="159">
      <c r="C159" s="91"/>
      <c r="E159" s="89"/>
    </row>
    <row r="160">
      <c r="C160" s="91"/>
      <c r="E160" s="89"/>
    </row>
    <row r="161">
      <c r="C161" s="91"/>
      <c r="E161" s="89"/>
    </row>
    <row r="162">
      <c r="C162" s="91"/>
      <c r="E162" s="89"/>
    </row>
    <row r="163">
      <c r="C163" s="91"/>
      <c r="E163" s="89"/>
    </row>
    <row r="164">
      <c r="C164" s="91"/>
      <c r="E164" s="89"/>
    </row>
    <row r="165">
      <c r="C165" s="91"/>
      <c r="E165" s="89"/>
    </row>
    <row r="166">
      <c r="C166" s="91"/>
      <c r="E166" s="89"/>
    </row>
    <row r="167">
      <c r="C167" s="91"/>
      <c r="E167" s="89"/>
    </row>
    <row r="168">
      <c r="C168" s="91"/>
      <c r="E168" s="89"/>
    </row>
    <row r="169">
      <c r="C169" s="91"/>
      <c r="E169" s="89"/>
    </row>
    <row r="170">
      <c r="C170" s="91"/>
      <c r="E170" s="89"/>
    </row>
    <row r="171">
      <c r="C171" s="91"/>
      <c r="E171" s="89"/>
    </row>
    <row r="172">
      <c r="C172" s="91"/>
      <c r="E172" s="89"/>
    </row>
    <row r="173">
      <c r="C173" s="91"/>
      <c r="E173" s="89"/>
    </row>
    <row r="174">
      <c r="C174" s="91"/>
      <c r="E174" s="89"/>
    </row>
    <row r="175">
      <c r="C175" s="91"/>
      <c r="E175" s="89"/>
    </row>
    <row r="176">
      <c r="C176" s="91"/>
      <c r="E176" s="89"/>
    </row>
    <row r="177">
      <c r="C177" s="91"/>
      <c r="E177" s="89"/>
    </row>
    <row r="178">
      <c r="C178" s="91"/>
      <c r="E178" s="89"/>
    </row>
    <row r="179">
      <c r="C179" s="91"/>
      <c r="E179" s="89"/>
    </row>
    <row r="180">
      <c r="C180" s="91"/>
      <c r="E180" s="89"/>
    </row>
    <row r="181">
      <c r="C181" s="91"/>
      <c r="E181" s="89"/>
    </row>
    <row r="182">
      <c r="C182" s="91"/>
      <c r="E182" s="89"/>
    </row>
    <row r="183">
      <c r="C183" s="91"/>
      <c r="E183" s="89"/>
    </row>
    <row r="184">
      <c r="C184" s="91"/>
      <c r="E184" s="89"/>
    </row>
    <row r="185">
      <c r="C185" s="91"/>
      <c r="E185" s="89"/>
    </row>
    <row r="186">
      <c r="C186" s="91"/>
      <c r="E186" s="89"/>
    </row>
    <row r="187">
      <c r="C187" s="91"/>
      <c r="E187" s="89"/>
    </row>
    <row r="188">
      <c r="C188" s="91"/>
      <c r="E188" s="89"/>
    </row>
    <row r="189">
      <c r="C189" s="91"/>
      <c r="E189" s="89"/>
    </row>
    <row r="190">
      <c r="C190" s="91"/>
      <c r="E190" s="89"/>
    </row>
    <row r="191">
      <c r="C191" s="91"/>
      <c r="E191" s="89"/>
    </row>
    <row r="192">
      <c r="C192" s="91"/>
      <c r="E192" s="89"/>
    </row>
    <row r="193">
      <c r="C193" s="91"/>
      <c r="E193" s="89"/>
    </row>
    <row r="194">
      <c r="C194" s="91"/>
      <c r="E194" s="89"/>
    </row>
    <row r="195">
      <c r="C195" s="91"/>
      <c r="E195" s="89"/>
    </row>
    <row r="196">
      <c r="C196" s="91"/>
      <c r="E196" s="89"/>
    </row>
    <row r="197">
      <c r="C197" s="91"/>
      <c r="E197" s="89"/>
    </row>
    <row r="198">
      <c r="C198" s="91"/>
      <c r="E198" s="89"/>
    </row>
    <row r="199">
      <c r="C199" s="91"/>
      <c r="E199" s="89"/>
    </row>
    <row r="200">
      <c r="C200" s="91"/>
      <c r="E200" s="89"/>
    </row>
    <row r="201">
      <c r="C201" s="91"/>
      <c r="E201" s="89"/>
    </row>
    <row r="202">
      <c r="C202" s="91"/>
      <c r="E202" s="89"/>
    </row>
    <row r="203">
      <c r="C203" s="91"/>
      <c r="E203" s="89"/>
    </row>
    <row r="204">
      <c r="C204" s="91"/>
      <c r="E204" s="89"/>
    </row>
    <row r="205">
      <c r="C205" s="91"/>
      <c r="E205" s="89"/>
    </row>
    <row r="206">
      <c r="C206" s="91"/>
      <c r="E206" s="89"/>
    </row>
    <row r="207">
      <c r="C207" s="91"/>
      <c r="E207" s="89"/>
    </row>
    <row r="208">
      <c r="C208" s="91"/>
      <c r="E208" s="89"/>
    </row>
    <row r="209">
      <c r="C209" s="91"/>
      <c r="E209" s="89"/>
    </row>
    <row r="210">
      <c r="C210" s="91"/>
      <c r="E210" s="89"/>
    </row>
    <row r="211">
      <c r="C211" s="91"/>
      <c r="E211" s="89"/>
    </row>
    <row r="212">
      <c r="C212" s="91"/>
      <c r="E212" s="89"/>
    </row>
    <row r="213">
      <c r="C213" s="91"/>
      <c r="E213" s="89"/>
    </row>
    <row r="214">
      <c r="C214" s="91"/>
      <c r="E214" s="89"/>
    </row>
    <row r="215">
      <c r="C215" s="91"/>
      <c r="E215" s="89"/>
    </row>
    <row r="216">
      <c r="C216" s="91"/>
      <c r="E216" s="89"/>
    </row>
    <row r="217">
      <c r="C217" s="91"/>
      <c r="E217" s="89"/>
    </row>
    <row r="218">
      <c r="C218" s="91"/>
      <c r="E218" s="89"/>
    </row>
    <row r="219">
      <c r="C219" s="91"/>
      <c r="E219" s="89"/>
    </row>
    <row r="220">
      <c r="C220" s="91"/>
      <c r="E220" s="89"/>
    </row>
    <row r="221">
      <c r="C221" s="91"/>
      <c r="E221" s="89"/>
    </row>
    <row r="222">
      <c r="C222" s="91"/>
      <c r="E222" s="89"/>
    </row>
    <row r="223">
      <c r="C223" s="91"/>
      <c r="E223" s="89"/>
    </row>
    <row r="224">
      <c r="C224" s="91"/>
      <c r="E224" s="89"/>
    </row>
    <row r="225">
      <c r="C225" s="91"/>
      <c r="E225" s="89"/>
    </row>
    <row r="226">
      <c r="C226" s="91"/>
      <c r="E226" s="89"/>
    </row>
    <row r="227">
      <c r="C227" s="91"/>
      <c r="E227" s="89"/>
    </row>
    <row r="228">
      <c r="C228" s="91"/>
      <c r="E228" s="89"/>
    </row>
    <row r="229">
      <c r="C229" s="91"/>
      <c r="E229" s="89"/>
    </row>
    <row r="230">
      <c r="C230" s="91"/>
      <c r="E230" s="89"/>
    </row>
    <row r="231">
      <c r="C231" s="91"/>
      <c r="E231" s="89"/>
    </row>
    <row r="232">
      <c r="C232" s="91"/>
      <c r="E232" s="89"/>
    </row>
    <row r="233">
      <c r="C233" s="91"/>
      <c r="E233" s="89"/>
    </row>
    <row r="234">
      <c r="C234" s="91"/>
      <c r="E234" s="89"/>
    </row>
    <row r="235">
      <c r="C235" s="91"/>
      <c r="E235" s="89"/>
    </row>
    <row r="236">
      <c r="C236" s="91"/>
      <c r="E236" s="89"/>
    </row>
    <row r="237">
      <c r="C237" s="91"/>
      <c r="E237" s="89"/>
    </row>
    <row r="238">
      <c r="C238" s="91"/>
      <c r="E238" s="89"/>
    </row>
    <row r="239">
      <c r="C239" s="91"/>
      <c r="E239" s="89"/>
    </row>
    <row r="240">
      <c r="C240" s="91"/>
      <c r="E240" s="89"/>
    </row>
    <row r="241">
      <c r="C241" s="91"/>
      <c r="E241" s="89"/>
    </row>
    <row r="242">
      <c r="C242" s="91"/>
      <c r="E242" s="89"/>
    </row>
    <row r="243">
      <c r="C243" s="91"/>
      <c r="E243" s="89"/>
    </row>
    <row r="244">
      <c r="C244" s="91"/>
      <c r="E244" s="89"/>
    </row>
    <row r="245">
      <c r="C245" s="91"/>
      <c r="E245" s="89"/>
    </row>
    <row r="246">
      <c r="C246" s="91"/>
      <c r="E246" s="89"/>
    </row>
    <row r="247">
      <c r="C247" s="91"/>
      <c r="E247" s="89"/>
    </row>
    <row r="248">
      <c r="C248" s="91"/>
      <c r="E248" s="89"/>
    </row>
    <row r="249">
      <c r="C249" s="91"/>
      <c r="E249" s="89"/>
    </row>
    <row r="250">
      <c r="C250" s="91"/>
      <c r="E250" s="89"/>
    </row>
    <row r="251">
      <c r="C251" s="91"/>
      <c r="E251" s="89"/>
    </row>
    <row r="252">
      <c r="C252" s="91"/>
      <c r="E252" s="89"/>
    </row>
    <row r="253">
      <c r="C253" s="91"/>
      <c r="E253" s="89"/>
    </row>
    <row r="254">
      <c r="C254" s="91"/>
      <c r="E254" s="89"/>
    </row>
    <row r="255">
      <c r="C255" s="91"/>
      <c r="E255" s="89"/>
    </row>
    <row r="256">
      <c r="C256" s="91"/>
      <c r="E256" s="89"/>
    </row>
    <row r="257">
      <c r="C257" s="91"/>
      <c r="E257" s="89"/>
    </row>
    <row r="258">
      <c r="C258" s="91"/>
      <c r="E258" s="89"/>
    </row>
    <row r="259">
      <c r="C259" s="91"/>
      <c r="E259" s="89"/>
    </row>
    <row r="260">
      <c r="C260" s="91"/>
      <c r="E260" s="89"/>
    </row>
    <row r="261">
      <c r="C261" s="91"/>
      <c r="E261" s="89"/>
    </row>
    <row r="262">
      <c r="C262" s="91"/>
      <c r="E262" s="89"/>
    </row>
    <row r="263">
      <c r="C263" s="91"/>
      <c r="E263" s="89"/>
    </row>
    <row r="264">
      <c r="C264" s="91"/>
      <c r="E264" s="89"/>
    </row>
    <row r="265">
      <c r="C265" s="91"/>
      <c r="E265" s="89"/>
    </row>
    <row r="266">
      <c r="C266" s="91"/>
      <c r="E266" s="89"/>
    </row>
    <row r="267">
      <c r="C267" s="91"/>
      <c r="E267" s="89"/>
    </row>
    <row r="268">
      <c r="C268" s="91"/>
      <c r="E268" s="89"/>
    </row>
    <row r="269">
      <c r="C269" s="91"/>
      <c r="E269" s="89"/>
    </row>
    <row r="270">
      <c r="C270" s="91"/>
      <c r="E270" s="89"/>
    </row>
    <row r="271">
      <c r="C271" s="91"/>
      <c r="E271" s="89"/>
    </row>
    <row r="272">
      <c r="C272" s="91"/>
      <c r="E272" s="89"/>
    </row>
    <row r="273">
      <c r="C273" s="91"/>
      <c r="E273" s="89"/>
    </row>
    <row r="274">
      <c r="C274" s="91"/>
      <c r="E274" s="89"/>
    </row>
    <row r="275">
      <c r="C275" s="91"/>
      <c r="E275" s="89"/>
    </row>
    <row r="276">
      <c r="C276" s="91"/>
      <c r="E276" s="89"/>
    </row>
    <row r="277">
      <c r="C277" s="91"/>
      <c r="E277" s="89"/>
    </row>
    <row r="278">
      <c r="C278" s="91"/>
      <c r="E278" s="89"/>
    </row>
    <row r="279">
      <c r="C279" s="91"/>
      <c r="E279" s="89"/>
    </row>
    <row r="280">
      <c r="C280" s="91"/>
      <c r="E280" s="89"/>
    </row>
    <row r="281">
      <c r="C281" s="91"/>
      <c r="E281" s="89"/>
    </row>
    <row r="282">
      <c r="C282" s="91"/>
      <c r="E282" s="89"/>
    </row>
    <row r="283">
      <c r="C283" s="91"/>
      <c r="E283" s="89"/>
    </row>
    <row r="284">
      <c r="C284" s="91"/>
      <c r="E284" s="89"/>
    </row>
    <row r="285">
      <c r="C285" s="91"/>
      <c r="E285" s="89"/>
    </row>
    <row r="286">
      <c r="C286" s="91"/>
      <c r="E286" s="89"/>
    </row>
    <row r="287">
      <c r="C287" s="91"/>
      <c r="E287" s="89"/>
    </row>
    <row r="288">
      <c r="C288" s="91"/>
      <c r="E288" s="89"/>
    </row>
    <row r="289">
      <c r="C289" s="91"/>
      <c r="E289" s="89"/>
    </row>
    <row r="290">
      <c r="C290" s="91"/>
      <c r="E290" s="89"/>
    </row>
    <row r="291">
      <c r="C291" s="91"/>
      <c r="E291" s="89"/>
    </row>
    <row r="292">
      <c r="C292" s="91"/>
      <c r="E292" s="89"/>
    </row>
    <row r="293">
      <c r="C293" s="91"/>
      <c r="E293" s="89"/>
    </row>
    <row r="294">
      <c r="C294" s="91"/>
      <c r="E294" s="89"/>
    </row>
    <row r="295">
      <c r="C295" s="91"/>
      <c r="E295" s="89"/>
    </row>
    <row r="296">
      <c r="C296" s="91"/>
      <c r="E296" s="89"/>
    </row>
    <row r="297">
      <c r="C297" s="91"/>
      <c r="E297" s="89"/>
    </row>
    <row r="298">
      <c r="C298" s="91"/>
      <c r="E298" s="89"/>
    </row>
    <row r="299">
      <c r="C299" s="91"/>
      <c r="E299" s="89"/>
    </row>
    <row r="300">
      <c r="C300" s="91"/>
      <c r="E300" s="89"/>
    </row>
    <row r="301">
      <c r="C301" s="91"/>
      <c r="E301" s="89"/>
    </row>
    <row r="302">
      <c r="C302" s="91"/>
      <c r="E302" s="89"/>
    </row>
    <row r="303">
      <c r="C303" s="91"/>
      <c r="E303" s="89"/>
    </row>
    <row r="304">
      <c r="C304" s="91"/>
      <c r="E304" s="89"/>
    </row>
    <row r="305">
      <c r="C305" s="91"/>
      <c r="E305" s="89"/>
    </row>
    <row r="306">
      <c r="C306" s="91"/>
      <c r="E306" s="89"/>
    </row>
    <row r="307">
      <c r="C307" s="91"/>
      <c r="E307" s="89"/>
    </row>
    <row r="308">
      <c r="C308" s="91"/>
      <c r="E308" s="89"/>
    </row>
    <row r="309">
      <c r="C309" s="91"/>
      <c r="E309" s="89"/>
    </row>
    <row r="310">
      <c r="C310" s="91"/>
      <c r="E310" s="89"/>
    </row>
    <row r="311">
      <c r="C311" s="91"/>
      <c r="E311" s="89"/>
    </row>
    <row r="312">
      <c r="C312" s="91"/>
      <c r="E312" s="89"/>
    </row>
    <row r="313">
      <c r="C313" s="91"/>
      <c r="E313" s="89"/>
    </row>
    <row r="314">
      <c r="C314" s="91"/>
      <c r="E314" s="89"/>
    </row>
    <row r="315">
      <c r="C315" s="91"/>
      <c r="E315" s="89"/>
    </row>
    <row r="316">
      <c r="C316" s="91"/>
      <c r="E316" s="89"/>
    </row>
    <row r="317">
      <c r="C317" s="91"/>
      <c r="E317" s="89"/>
    </row>
    <row r="318">
      <c r="C318" s="91"/>
      <c r="E318" s="89"/>
    </row>
    <row r="319">
      <c r="C319" s="91"/>
      <c r="E319" s="89"/>
    </row>
    <row r="320">
      <c r="C320" s="91"/>
      <c r="E320" s="89"/>
    </row>
    <row r="321">
      <c r="C321" s="91"/>
      <c r="E321" s="89"/>
    </row>
    <row r="322">
      <c r="C322" s="91"/>
      <c r="E322" s="89"/>
    </row>
    <row r="323">
      <c r="C323" s="91"/>
      <c r="E323" s="89"/>
    </row>
    <row r="324">
      <c r="C324" s="91"/>
      <c r="E324" s="89"/>
    </row>
    <row r="325">
      <c r="C325" s="91"/>
      <c r="E325" s="89"/>
    </row>
    <row r="326">
      <c r="C326" s="91"/>
      <c r="E326" s="89"/>
    </row>
    <row r="327">
      <c r="C327" s="91"/>
      <c r="E327" s="89"/>
    </row>
    <row r="328">
      <c r="C328" s="91"/>
      <c r="E328" s="89"/>
    </row>
    <row r="329">
      <c r="C329" s="91"/>
      <c r="E329" s="89"/>
    </row>
    <row r="330">
      <c r="C330" s="91"/>
      <c r="E330" s="89"/>
    </row>
    <row r="331">
      <c r="C331" s="91"/>
      <c r="E331" s="89"/>
    </row>
    <row r="332">
      <c r="C332" s="91"/>
      <c r="E332" s="89"/>
    </row>
    <row r="333">
      <c r="C333" s="91"/>
      <c r="E333" s="89"/>
    </row>
    <row r="334">
      <c r="C334" s="91"/>
      <c r="E334" s="89"/>
    </row>
    <row r="335">
      <c r="C335" s="91"/>
      <c r="E335" s="89"/>
    </row>
    <row r="336">
      <c r="C336" s="91"/>
      <c r="E336" s="89"/>
    </row>
    <row r="337">
      <c r="C337" s="91"/>
      <c r="E337" s="89"/>
    </row>
    <row r="338">
      <c r="C338" s="91"/>
      <c r="E338" s="89"/>
    </row>
    <row r="339">
      <c r="C339" s="91"/>
      <c r="E339" s="89"/>
    </row>
    <row r="340">
      <c r="C340" s="91"/>
      <c r="E340" s="89"/>
    </row>
    <row r="341">
      <c r="C341" s="91"/>
      <c r="E341" s="89"/>
    </row>
    <row r="342">
      <c r="C342" s="91"/>
      <c r="E342" s="89"/>
    </row>
    <row r="343">
      <c r="C343" s="91"/>
      <c r="E343" s="89"/>
    </row>
    <row r="344">
      <c r="C344" s="91"/>
      <c r="E344" s="89"/>
    </row>
    <row r="345">
      <c r="C345" s="91"/>
      <c r="E345" s="89"/>
    </row>
    <row r="346">
      <c r="C346" s="91"/>
      <c r="E346" s="89"/>
    </row>
    <row r="347">
      <c r="C347" s="91"/>
      <c r="E347" s="89"/>
    </row>
    <row r="348">
      <c r="C348" s="91"/>
      <c r="E348" s="89"/>
    </row>
    <row r="349">
      <c r="C349" s="91"/>
      <c r="E349" s="89"/>
    </row>
    <row r="350">
      <c r="C350" s="91"/>
      <c r="E350" s="89"/>
    </row>
    <row r="351">
      <c r="C351" s="91"/>
      <c r="E351" s="89"/>
    </row>
    <row r="352">
      <c r="C352" s="91"/>
      <c r="E352" s="89"/>
    </row>
    <row r="353">
      <c r="C353" s="91"/>
      <c r="E353" s="89"/>
    </row>
    <row r="354">
      <c r="C354" s="91"/>
      <c r="E354" s="89"/>
    </row>
    <row r="355">
      <c r="C355" s="91"/>
      <c r="E355" s="89"/>
    </row>
    <row r="356">
      <c r="C356" s="91"/>
      <c r="E356" s="89"/>
    </row>
    <row r="357">
      <c r="C357" s="91"/>
      <c r="E357" s="89"/>
    </row>
    <row r="358">
      <c r="C358" s="91"/>
      <c r="E358" s="89"/>
    </row>
    <row r="359">
      <c r="C359" s="91"/>
      <c r="E359" s="89"/>
    </row>
    <row r="360">
      <c r="C360" s="91"/>
      <c r="E360" s="89"/>
    </row>
    <row r="361">
      <c r="C361" s="91"/>
      <c r="E361" s="89"/>
    </row>
    <row r="362">
      <c r="C362" s="91"/>
      <c r="E362" s="89"/>
    </row>
    <row r="363">
      <c r="C363" s="91"/>
      <c r="E363" s="89"/>
    </row>
    <row r="364">
      <c r="C364" s="91"/>
      <c r="E364" s="89"/>
    </row>
    <row r="365">
      <c r="C365" s="91"/>
      <c r="E365" s="89"/>
    </row>
    <row r="366">
      <c r="C366" s="91"/>
      <c r="E366" s="89"/>
    </row>
    <row r="367">
      <c r="C367" s="91"/>
      <c r="E367" s="89"/>
    </row>
    <row r="368">
      <c r="C368" s="91"/>
      <c r="E368" s="89"/>
    </row>
    <row r="369">
      <c r="C369" s="91"/>
      <c r="E369" s="89"/>
    </row>
    <row r="370">
      <c r="C370" s="91"/>
      <c r="E370" s="89"/>
    </row>
    <row r="371">
      <c r="C371" s="91"/>
      <c r="E371" s="89"/>
    </row>
    <row r="372">
      <c r="C372" s="91"/>
      <c r="E372" s="89"/>
    </row>
    <row r="373">
      <c r="C373" s="91"/>
      <c r="E373" s="89"/>
    </row>
    <row r="374">
      <c r="C374" s="91"/>
      <c r="E374" s="89"/>
    </row>
    <row r="375">
      <c r="C375" s="91"/>
      <c r="E375" s="89"/>
    </row>
    <row r="376">
      <c r="C376" s="91"/>
      <c r="E376" s="89"/>
    </row>
    <row r="377">
      <c r="C377" s="91"/>
      <c r="E377" s="89"/>
    </row>
    <row r="378">
      <c r="C378" s="91"/>
      <c r="E378" s="89"/>
    </row>
    <row r="379">
      <c r="C379" s="91"/>
      <c r="E379" s="89"/>
    </row>
    <row r="380">
      <c r="C380" s="91"/>
      <c r="E380" s="89"/>
    </row>
    <row r="381">
      <c r="C381" s="91"/>
      <c r="E381" s="89"/>
    </row>
    <row r="382">
      <c r="C382" s="91"/>
      <c r="E382" s="89"/>
    </row>
    <row r="383">
      <c r="C383" s="91"/>
      <c r="E383" s="89"/>
    </row>
    <row r="384">
      <c r="C384" s="91"/>
      <c r="E384" s="89"/>
    </row>
    <row r="385">
      <c r="C385" s="91"/>
      <c r="E385" s="89"/>
    </row>
    <row r="386">
      <c r="C386" s="91"/>
      <c r="E386" s="89"/>
    </row>
    <row r="387">
      <c r="C387" s="91"/>
      <c r="E387" s="89"/>
    </row>
    <row r="388">
      <c r="C388" s="91"/>
      <c r="E388" s="89"/>
    </row>
    <row r="389">
      <c r="C389" s="91"/>
      <c r="E389" s="89"/>
    </row>
    <row r="390">
      <c r="C390" s="91"/>
      <c r="E390" s="89"/>
    </row>
    <row r="391">
      <c r="C391" s="91"/>
      <c r="E391" s="89"/>
    </row>
    <row r="392">
      <c r="C392" s="91"/>
      <c r="E392" s="89"/>
    </row>
    <row r="393">
      <c r="C393" s="91"/>
      <c r="E393" s="89"/>
    </row>
    <row r="394">
      <c r="C394" s="91"/>
      <c r="E394" s="89"/>
    </row>
    <row r="395">
      <c r="C395" s="91"/>
      <c r="E395" s="89"/>
    </row>
    <row r="396">
      <c r="C396" s="91"/>
      <c r="E396" s="89"/>
    </row>
    <row r="397">
      <c r="C397" s="91"/>
      <c r="E397" s="89"/>
    </row>
    <row r="398">
      <c r="C398" s="91"/>
      <c r="E398" s="89"/>
    </row>
    <row r="399">
      <c r="C399" s="91"/>
      <c r="E399" s="89"/>
    </row>
    <row r="400">
      <c r="C400" s="91"/>
      <c r="E400" s="89"/>
    </row>
    <row r="401">
      <c r="C401" s="91"/>
      <c r="E401" s="89"/>
    </row>
    <row r="402">
      <c r="C402" s="91"/>
      <c r="E402" s="89"/>
    </row>
    <row r="403">
      <c r="C403" s="91"/>
      <c r="E403" s="89"/>
    </row>
    <row r="404">
      <c r="C404" s="91"/>
      <c r="E404" s="89"/>
    </row>
    <row r="405">
      <c r="C405" s="91"/>
      <c r="E405" s="89"/>
    </row>
    <row r="406">
      <c r="C406" s="91"/>
      <c r="E406" s="89"/>
    </row>
    <row r="407">
      <c r="C407" s="91"/>
      <c r="E407" s="89"/>
    </row>
    <row r="408">
      <c r="C408" s="91"/>
      <c r="E408" s="89"/>
    </row>
    <row r="409">
      <c r="C409" s="91"/>
      <c r="E409" s="89"/>
    </row>
    <row r="410">
      <c r="C410" s="91"/>
      <c r="E410" s="89"/>
    </row>
    <row r="411">
      <c r="C411" s="91"/>
      <c r="E411" s="89"/>
    </row>
    <row r="412">
      <c r="C412" s="91"/>
      <c r="E412" s="89"/>
    </row>
    <row r="413">
      <c r="C413" s="91"/>
      <c r="E413" s="89"/>
    </row>
    <row r="414">
      <c r="C414" s="91"/>
      <c r="E414" s="89"/>
    </row>
    <row r="415">
      <c r="C415" s="91"/>
      <c r="E415" s="89"/>
    </row>
    <row r="416">
      <c r="C416" s="91"/>
      <c r="E416" s="89"/>
    </row>
    <row r="417">
      <c r="C417" s="91"/>
      <c r="E417" s="89"/>
    </row>
    <row r="418">
      <c r="C418" s="91"/>
      <c r="E418" s="89"/>
    </row>
    <row r="419">
      <c r="C419" s="91"/>
      <c r="E419" s="89"/>
    </row>
    <row r="420">
      <c r="C420" s="91"/>
      <c r="E420" s="89"/>
    </row>
    <row r="421">
      <c r="C421" s="91"/>
      <c r="E421" s="89"/>
    </row>
    <row r="422">
      <c r="C422" s="91"/>
      <c r="E422" s="89"/>
    </row>
    <row r="423">
      <c r="C423" s="91"/>
      <c r="E423" s="89"/>
    </row>
    <row r="424">
      <c r="C424" s="91"/>
      <c r="E424" s="89"/>
    </row>
    <row r="425">
      <c r="C425" s="91"/>
      <c r="E425" s="89"/>
    </row>
    <row r="426">
      <c r="C426" s="91"/>
      <c r="E426" s="89"/>
    </row>
    <row r="427">
      <c r="C427" s="91"/>
      <c r="E427" s="89"/>
    </row>
    <row r="428">
      <c r="C428" s="91"/>
      <c r="E428" s="89"/>
    </row>
    <row r="429">
      <c r="C429" s="91"/>
      <c r="E429" s="89"/>
    </row>
    <row r="430">
      <c r="C430" s="91"/>
      <c r="E430" s="89"/>
    </row>
    <row r="431">
      <c r="C431" s="91"/>
      <c r="E431" s="89"/>
    </row>
    <row r="432">
      <c r="C432" s="91"/>
      <c r="E432" s="89"/>
    </row>
    <row r="433">
      <c r="C433" s="91"/>
      <c r="E433" s="89"/>
    </row>
    <row r="434">
      <c r="C434" s="91"/>
      <c r="E434" s="89"/>
    </row>
    <row r="435">
      <c r="C435" s="91"/>
      <c r="E435" s="89"/>
    </row>
    <row r="436">
      <c r="C436" s="91"/>
      <c r="E436" s="89"/>
    </row>
    <row r="437">
      <c r="C437" s="91"/>
      <c r="E437" s="89"/>
    </row>
    <row r="438">
      <c r="C438" s="91"/>
      <c r="E438" s="89"/>
    </row>
    <row r="439">
      <c r="C439" s="91"/>
      <c r="E439" s="89"/>
    </row>
    <row r="440">
      <c r="C440" s="91"/>
      <c r="E440" s="89"/>
    </row>
    <row r="441">
      <c r="C441" s="91"/>
      <c r="E441" s="89"/>
    </row>
    <row r="442">
      <c r="C442" s="91"/>
      <c r="E442" s="89"/>
    </row>
    <row r="443">
      <c r="C443" s="91"/>
      <c r="E443" s="89"/>
    </row>
    <row r="444">
      <c r="C444" s="91"/>
      <c r="E444" s="89"/>
    </row>
    <row r="445">
      <c r="C445" s="91"/>
      <c r="E445" s="89"/>
    </row>
    <row r="446">
      <c r="C446" s="91"/>
      <c r="E446" s="89"/>
    </row>
    <row r="447">
      <c r="C447" s="91"/>
      <c r="E447" s="89"/>
    </row>
    <row r="448">
      <c r="C448" s="91"/>
      <c r="E448" s="89"/>
    </row>
    <row r="449">
      <c r="C449" s="91"/>
      <c r="E449" s="89"/>
    </row>
    <row r="450">
      <c r="C450" s="91"/>
      <c r="E450" s="89"/>
    </row>
    <row r="451">
      <c r="C451" s="91"/>
      <c r="E451" s="89"/>
    </row>
    <row r="452">
      <c r="C452" s="91"/>
      <c r="E452" s="89"/>
    </row>
    <row r="453">
      <c r="C453" s="91"/>
      <c r="E453" s="89"/>
    </row>
    <row r="454">
      <c r="C454" s="91"/>
      <c r="E454" s="89"/>
    </row>
    <row r="455">
      <c r="C455" s="91"/>
      <c r="E455" s="89"/>
    </row>
    <row r="456">
      <c r="C456" s="91"/>
      <c r="E456" s="89"/>
    </row>
    <row r="457">
      <c r="C457" s="91"/>
      <c r="E457" s="89"/>
    </row>
    <row r="458">
      <c r="C458" s="91"/>
      <c r="E458" s="89"/>
    </row>
    <row r="459">
      <c r="C459" s="91"/>
      <c r="E459" s="89"/>
    </row>
    <row r="460">
      <c r="C460" s="91"/>
      <c r="E460" s="89"/>
    </row>
    <row r="461">
      <c r="C461" s="91"/>
      <c r="E461" s="89"/>
    </row>
    <row r="462">
      <c r="C462" s="91"/>
      <c r="E462" s="89"/>
    </row>
    <row r="463">
      <c r="C463" s="91"/>
      <c r="E463" s="89"/>
    </row>
    <row r="464">
      <c r="C464" s="91"/>
      <c r="E464" s="89"/>
    </row>
    <row r="465">
      <c r="C465" s="91"/>
      <c r="E465" s="89"/>
    </row>
    <row r="466">
      <c r="C466" s="91"/>
      <c r="E466" s="89"/>
    </row>
    <row r="467">
      <c r="C467" s="91"/>
      <c r="E467" s="89"/>
    </row>
    <row r="468">
      <c r="C468" s="91"/>
      <c r="E468" s="89"/>
    </row>
    <row r="469">
      <c r="C469" s="91"/>
      <c r="E469" s="89"/>
    </row>
    <row r="470">
      <c r="C470" s="91"/>
      <c r="E470" s="89"/>
    </row>
    <row r="471">
      <c r="C471" s="91"/>
      <c r="E471" s="89"/>
    </row>
    <row r="472">
      <c r="C472" s="91"/>
      <c r="E472" s="89"/>
    </row>
    <row r="473">
      <c r="C473" s="91"/>
      <c r="E473" s="89"/>
    </row>
    <row r="474">
      <c r="C474" s="91"/>
      <c r="E474" s="89"/>
    </row>
    <row r="475">
      <c r="C475" s="91"/>
      <c r="E475" s="89"/>
    </row>
    <row r="476">
      <c r="C476" s="91"/>
      <c r="E476" s="89"/>
    </row>
    <row r="477">
      <c r="C477" s="91"/>
      <c r="E477" s="89"/>
    </row>
    <row r="478">
      <c r="C478" s="91"/>
      <c r="E478" s="89"/>
    </row>
    <row r="479">
      <c r="C479" s="91"/>
      <c r="E479" s="89"/>
    </row>
    <row r="480">
      <c r="C480" s="91"/>
      <c r="E480" s="89"/>
    </row>
    <row r="481">
      <c r="C481" s="91"/>
      <c r="E481" s="89"/>
    </row>
    <row r="482">
      <c r="C482" s="91"/>
      <c r="E482" s="89"/>
    </row>
    <row r="483">
      <c r="C483" s="91"/>
      <c r="E483" s="89"/>
    </row>
    <row r="484">
      <c r="C484" s="91"/>
      <c r="E484" s="89"/>
    </row>
    <row r="485">
      <c r="C485" s="91"/>
      <c r="E485" s="89"/>
    </row>
    <row r="486">
      <c r="C486" s="91"/>
      <c r="E486" s="89"/>
    </row>
    <row r="487">
      <c r="C487" s="91"/>
      <c r="E487" s="89"/>
    </row>
    <row r="488">
      <c r="C488" s="91"/>
      <c r="E488" s="89"/>
    </row>
    <row r="489">
      <c r="C489" s="91"/>
      <c r="E489" s="89"/>
    </row>
    <row r="490">
      <c r="C490" s="91"/>
      <c r="E490" s="89"/>
    </row>
    <row r="491">
      <c r="C491" s="91"/>
      <c r="E491" s="89"/>
    </row>
    <row r="492">
      <c r="C492" s="91"/>
      <c r="E492" s="89"/>
    </row>
    <row r="493">
      <c r="C493" s="91"/>
      <c r="E493" s="89"/>
    </row>
    <row r="494">
      <c r="C494" s="91"/>
      <c r="E494" s="89"/>
    </row>
    <row r="495">
      <c r="C495" s="91"/>
      <c r="E495" s="89"/>
    </row>
    <row r="496">
      <c r="C496" s="91"/>
      <c r="E496" s="89"/>
    </row>
    <row r="497">
      <c r="C497" s="91"/>
      <c r="E497" s="89"/>
    </row>
    <row r="498">
      <c r="C498" s="91"/>
      <c r="E498" s="89"/>
    </row>
    <row r="499">
      <c r="C499" s="91"/>
      <c r="E499" s="89"/>
    </row>
    <row r="500">
      <c r="C500" s="91"/>
      <c r="E500" s="89"/>
    </row>
    <row r="501">
      <c r="C501" s="91"/>
      <c r="E501" s="89"/>
    </row>
    <row r="502">
      <c r="C502" s="91"/>
      <c r="E502" s="89"/>
    </row>
    <row r="503">
      <c r="C503" s="91"/>
      <c r="E503" s="89"/>
    </row>
    <row r="504">
      <c r="C504" s="91"/>
      <c r="E504" s="89"/>
    </row>
    <row r="505">
      <c r="C505" s="91"/>
      <c r="E505" s="89"/>
    </row>
    <row r="506">
      <c r="C506" s="91"/>
      <c r="E506" s="89"/>
    </row>
    <row r="507">
      <c r="C507" s="91"/>
      <c r="E507" s="89"/>
    </row>
    <row r="508">
      <c r="C508" s="91"/>
      <c r="E508" s="89"/>
    </row>
    <row r="509">
      <c r="C509" s="91"/>
      <c r="E509" s="89"/>
    </row>
    <row r="510">
      <c r="C510" s="91"/>
      <c r="E510" s="89"/>
    </row>
    <row r="511">
      <c r="C511" s="91"/>
      <c r="E511" s="89"/>
    </row>
    <row r="512">
      <c r="C512" s="91"/>
      <c r="E512" s="89"/>
    </row>
    <row r="513">
      <c r="C513" s="91"/>
      <c r="E513" s="89"/>
    </row>
    <row r="514">
      <c r="C514" s="91"/>
      <c r="E514" s="89"/>
    </row>
    <row r="515">
      <c r="C515" s="91"/>
      <c r="E515" s="89"/>
    </row>
    <row r="516">
      <c r="C516" s="91"/>
      <c r="E516" s="89"/>
    </row>
    <row r="517">
      <c r="C517" s="91"/>
      <c r="E517" s="89"/>
    </row>
    <row r="518">
      <c r="C518" s="91"/>
      <c r="E518" s="89"/>
    </row>
    <row r="519">
      <c r="C519" s="91"/>
      <c r="E519" s="89"/>
    </row>
    <row r="520">
      <c r="C520" s="91"/>
      <c r="E520" s="89"/>
    </row>
    <row r="521">
      <c r="C521" s="91"/>
      <c r="E521" s="89"/>
    </row>
    <row r="522">
      <c r="C522" s="91"/>
      <c r="E522" s="89"/>
    </row>
    <row r="523">
      <c r="C523" s="91"/>
      <c r="E523" s="89"/>
    </row>
    <row r="524">
      <c r="C524" s="91"/>
      <c r="E524" s="89"/>
    </row>
    <row r="525">
      <c r="C525" s="91"/>
      <c r="E525" s="89"/>
    </row>
    <row r="526">
      <c r="C526" s="91"/>
      <c r="E526" s="89"/>
    </row>
    <row r="527">
      <c r="C527" s="91"/>
      <c r="E527" s="89"/>
    </row>
    <row r="528">
      <c r="C528" s="91"/>
      <c r="E528" s="89"/>
    </row>
    <row r="529">
      <c r="C529" s="91"/>
      <c r="E529" s="89"/>
    </row>
    <row r="530">
      <c r="C530" s="91"/>
      <c r="E530" s="89"/>
    </row>
    <row r="531">
      <c r="C531" s="91"/>
      <c r="E531" s="89"/>
    </row>
    <row r="532">
      <c r="C532" s="91"/>
      <c r="E532" s="89"/>
    </row>
    <row r="533">
      <c r="C533" s="91"/>
      <c r="E533" s="89"/>
    </row>
    <row r="534">
      <c r="C534" s="91"/>
      <c r="E534" s="89"/>
    </row>
    <row r="535">
      <c r="C535" s="91"/>
      <c r="E535" s="89"/>
    </row>
    <row r="536">
      <c r="C536" s="91"/>
      <c r="E536" s="89"/>
    </row>
    <row r="537">
      <c r="C537" s="91"/>
      <c r="E537" s="89"/>
    </row>
    <row r="538">
      <c r="C538" s="91"/>
      <c r="E538" s="89"/>
    </row>
    <row r="539">
      <c r="C539" s="91"/>
      <c r="E539" s="89"/>
    </row>
    <row r="540">
      <c r="C540" s="91"/>
      <c r="E540" s="89"/>
    </row>
    <row r="541">
      <c r="C541" s="91"/>
      <c r="E541" s="89"/>
    </row>
    <row r="542">
      <c r="C542" s="91"/>
      <c r="E542" s="89"/>
    </row>
    <row r="543">
      <c r="C543" s="91"/>
      <c r="E543" s="89"/>
    </row>
    <row r="544">
      <c r="C544" s="91"/>
      <c r="E544" s="89"/>
    </row>
    <row r="545">
      <c r="C545" s="91"/>
      <c r="E545" s="89"/>
    </row>
    <row r="546">
      <c r="C546" s="91"/>
      <c r="E546" s="89"/>
    </row>
    <row r="547">
      <c r="C547" s="91"/>
      <c r="E547" s="89"/>
    </row>
    <row r="548">
      <c r="C548" s="91"/>
      <c r="E548" s="89"/>
    </row>
    <row r="549">
      <c r="C549" s="91"/>
      <c r="E549" s="89"/>
    </row>
    <row r="550">
      <c r="C550" s="91"/>
      <c r="E550" s="89"/>
    </row>
    <row r="551">
      <c r="C551" s="91"/>
      <c r="E551" s="89"/>
    </row>
    <row r="552">
      <c r="C552" s="91"/>
      <c r="E552" s="89"/>
    </row>
    <row r="553">
      <c r="C553" s="91"/>
      <c r="E553" s="89"/>
    </row>
    <row r="554">
      <c r="C554" s="91"/>
      <c r="E554" s="89"/>
    </row>
    <row r="555">
      <c r="C555" s="91"/>
      <c r="E555" s="89"/>
    </row>
    <row r="556">
      <c r="C556" s="91"/>
      <c r="E556" s="89"/>
    </row>
    <row r="557">
      <c r="C557" s="91"/>
      <c r="E557" s="89"/>
    </row>
    <row r="558">
      <c r="C558" s="91"/>
      <c r="E558" s="89"/>
    </row>
    <row r="559">
      <c r="C559" s="91"/>
      <c r="E559" s="89"/>
    </row>
    <row r="560">
      <c r="C560" s="91"/>
      <c r="E560" s="89"/>
    </row>
    <row r="561">
      <c r="C561" s="91"/>
      <c r="E561" s="89"/>
    </row>
    <row r="562">
      <c r="C562" s="91"/>
      <c r="E562" s="89"/>
    </row>
    <row r="563">
      <c r="C563" s="91"/>
      <c r="E563" s="89"/>
    </row>
    <row r="564">
      <c r="C564" s="91"/>
      <c r="E564" s="89"/>
    </row>
    <row r="565">
      <c r="C565" s="91"/>
      <c r="E565" s="89"/>
    </row>
    <row r="566">
      <c r="C566" s="91"/>
      <c r="E566" s="89"/>
    </row>
    <row r="567">
      <c r="C567" s="91"/>
      <c r="E567" s="89"/>
    </row>
    <row r="568">
      <c r="C568" s="91"/>
      <c r="E568" s="89"/>
    </row>
    <row r="569">
      <c r="C569" s="91"/>
      <c r="E569" s="89"/>
    </row>
    <row r="570">
      <c r="C570" s="91"/>
      <c r="E570" s="89"/>
    </row>
    <row r="571">
      <c r="C571" s="91"/>
      <c r="E571" s="89"/>
    </row>
    <row r="572">
      <c r="C572" s="91"/>
      <c r="E572" s="89"/>
    </row>
    <row r="573">
      <c r="C573" s="91"/>
      <c r="E573" s="89"/>
    </row>
    <row r="574">
      <c r="C574" s="91"/>
      <c r="E574" s="89"/>
    </row>
    <row r="575">
      <c r="C575" s="91"/>
      <c r="E575" s="89"/>
    </row>
    <row r="576">
      <c r="C576" s="91"/>
      <c r="E576" s="89"/>
    </row>
    <row r="577">
      <c r="C577" s="91"/>
      <c r="E577" s="89"/>
    </row>
    <row r="578">
      <c r="C578" s="91"/>
      <c r="E578" s="89"/>
    </row>
    <row r="579">
      <c r="C579" s="91"/>
      <c r="E579" s="89"/>
    </row>
    <row r="580">
      <c r="C580" s="91"/>
      <c r="E580" s="89"/>
    </row>
    <row r="581">
      <c r="C581" s="91"/>
      <c r="E581" s="89"/>
    </row>
    <row r="582">
      <c r="C582" s="91"/>
      <c r="E582" s="89"/>
    </row>
    <row r="583">
      <c r="C583" s="91"/>
      <c r="E583" s="89"/>
    </row>
    <row r="584">
      <c r="C584" s="91"/>
      <c r="E584" s="89"/>
    </row>
    <row r="585">
      <c r="C585" s="91"/>
      <c r="E585" s="89"/>
    </row>
    <row r="586">
      <c r="C586" s="91"/>
      <c r="E586" s="89"/>
    </row>
    <row r="587">
      <c r="C587" s="91"/>
      <c r="E587" s="89"/>
    </row>
    <row r="588">
      <c r="C588" s="91"/>
      <c r="E588" s="89"/>
    </row>
    <row r="589">
      <c r="C589" s="91"/>
      <c r="E589" s="89"/>
    </row>
    <row r="590">
      <c r="C590" s="91"/>
      <c r="E590" s="89"/>
    </row>
    <row r="591">
      <c r="C591" s="91"/>
      <c r="E591" s="89"/>
    </row>
    <row r="592">
      <c r="C592" s="91"/>
      <c r="E592" s="89"/>
    </row>
    <row r="593">
      <c r="C593" s="91"/>
      <c r="E593" s="89"/>
    </row>
    <row r="594">
      <c r="C594" s="91"/>
      <c r="E594" s="89"/>
    </row>
    <row r="595">
      <c r="C595" s="91"/>
      <c r="E595" s="89"/>
    </row>
    <row r="596">
      <c r="C596" s="91"/>
      <c r="E596" s="89"/>
    </row>
    <row r="597">
      <c r="C597" s="91"/>
      <c r="E597" s="89"/>
    </row>
    <row r="598">
      <c r="C598" s="91"/>
      <c r="E598" s="89"/>
    </row>
    <row r="599">
      <c r="C599" s="91"/>
      <c r="E599" s="89"/>
    </row>
    <row r="600">
      <c r="C600" s="91"/>
      <c r="E600" s="89"/>
    </row>
    <row r="601">
      <c r="C601" s="91"/>
      <c r="E601" s="89"/>
    </row>
    <row r="602">
      <c r="C602" s="91"/>
      <c r="E602" s="89"/>
    </row>
    <row r="603">
      <c r="C603" s="91"/>
      <c r="E603" s="89"/>
    </row>
    <row r="604">
      <c r="C604" s="91"/>
      <c r="E604" s="89"/>
    </row>
    <row r="605">
      <c r="C605" s="91"/>
      <c r="E605" s="89"/>
    </row>
    <row r="606">
      <c r="C606" s="91"/>
      <c r="E606" s="89"/>
    </row>
    <row r="607">
      <c r="C607" s="91"/>
      <c r="E607" s="89"/>
    </row>
    <row r="608">
      <c r="C608" s="91"/>
      <c r="E608" s="89"/>
    </row>
    <row r="609">
      <c r="C609" s="91"/>
      <c r="E609" s="89"/>
    </row>
    <row r="610">
      <c r="C610" s="91"/>
      <c r="E610" s="89"/>
    </row>
    <row r="611">
      <c r="C611" s="91"/>
      <c r="E611" s="89"/>
    </row>
    <row r="612">
      <c r="C612" s="91"/>
      <c r="E612" s="89"/>
    </row>
    <row r="613">
      <c r="C613" s="91"/>
      <c r="E613" s="89"/>
    </row>
    <row r="614">
      <c r="C614" s="91"/>
      <c r="E614" s="89"/>
    </row>
    <row r="615">
      <c r="C615" s="91"/>
      <c r="E615" s="89"/>
    </row>
    <row r="616">
      <c r="C616" s="91"/>
      <c r="E616" s="89"/>
    </row>
    <row r="617">
      <c r="C617" s="91"/>
      <c r="E617" s="89"/>
    </row>
    <row r="618">
      <c r="C618" s="91"/>
      <c r="E618" s="89"/>
    </row>
    <row r="619">
      <c r="C619" s="91"/>
      <c r="E619" s="89"/>
    </row>
    <row r="620">
      <c r="C620" s="91"/>
      <c r="E620" s="89"/>
    </row>
    <row r="621">
      <c r="C621" s="91"/>
      <c r="E621" s="89"/>
    </row>
    <row r="622">
      <c r="C622" s="91"/>
      <c r="E622" s="89"/>
    </row>
    <row r="623">
      <c r="C623" s="91"/>
      <c r="E623" s="89"/>
    </row>
    <row r="624">
      <c r="C624" s="91"/>
      <c r="E624" s="89"/>
    </row>
    <row r="625">
      <c r="C625" s="91"/>
      <c r="E625" s="89"/>
    </row>
    <row r="626">
      <c r="C626" s="91"/>
      <c r="E626" s="89"/>
    </row>
    <row r="627">
      <c r="C627" s="91"/>
      <c r="E627" s="89"/>
    </row>
    <row r="628">
      <c r="C628" s="91"/>
      <c r="E628" s="89"/>
    </row>
    <row r="629">
      <c r="C629" s="91"/>
      <c r="E629" s="89"/>
    </row>
    <row r="630">
      <c r="C630" s="91"/>
      <c r="E630" s="89"/>
    </row>
    <row r="631">
      <c r="C631" s="91"/>
      <c r="E631" s="89"/>
    </row>
    <row r="632">
      <c r="C632" s="91"/>
      <c r="E632" s="89"/>
    </row>
    <row r="633">
      <c r="C633" s="91"/>
      <c r="E633" s="89"/>
    </row>
    <row r="634">
      <c r="C634" s="91"/>
      <c r="E634" s="89"/>
    </row>
    <row r="635">
      <c r="C635" s="91"/>
      <c r="E635" s="89"/>
    </row>
    <row r="636">
      <c r="C636" s="91"/>
      <c r="E636" s="89"/>
    </row>
    <row r="637">
      <c r="C637" s="91"/>
      <c r="E637" s="89"/>
    </row>
    <row r="638">
      <c r="C638" s="91"/>
      <c r="E638" s="89"/>
    </row>
    <row r="639">
      <c r="C639" s="91"/>
      <c r="E639" s="89"/>
    </row>
    <row r="640">
      <c r="C640" s="91"/>
      <c r="E640" s="89"/>
    </row>
    <row r="641">
      <c r="C641" s="91"/>
      <c r="E641" s="89"/>
    </row>
    <row r="642">
      <c r="C642" s="91"/>
      <c r="E642" s="89"/>
    </row>
    <row r="643">
      <c r="C643" s="91"/>
      <c r="E643" s="89"/>
    </row>
    <row r="644">
      <c r="C644" s="91"/>
      <c r="E644" s="89"/>
    </row>
    <row r="645">
      <c r="C645" s="91"/>
      <c r="E645" s="89"/>
    </row>
    <row r="646">
      <c r="C646" s="91"/>
      <c r="E646" s="89"/>
    </row>
    <row r="647">
      <c r="C647" s="91"/>
      <c r="E647" s="89"/>
    </row>
    <row r="648">
      <c r="C648" s="91"/>
      <c r="E648" s="89"/>
    </row>
    <row r="649">
      <c r="C649" s="91"/>
      <c r="E649" s="89"/>
    </row>
    <row r="650">
      <c r="C650" s="91"/>
      <c r="E650" s="89"/>
    </row>
    <row r="651">
      <c r="C651" s="91"/>
      <c r="E651" s="89"/>
    </row>
    <row r="652">
      <c r="C652" s="91"/>
      <c r="E652" s="89"/>
    </row>
    <row r="653">
      <c r="C653" s="91"/>
      <c r="E653" s="89"/>
    </row>
    <row r="654">
      <c r="C654" s="91"/>
      <c r="E654" s="89"/>
    </row>
    <row r="655">
      <c r="C655" s="91"/>
      <c r="E655" s="89"/>
    </row>
    <row r="656">
      <c r="C656" s="91"/>
      <c r="E656" s="89"/>
    </row>
    <row r="657">
      <c r="C657" s="91"/>
      <c r="E657" s="89"/>
    </row>
    <row r="658">
      <c r="C658" s="91"/>
      <c r="E658" s="89"/>
    </row>
    <row r="659">
      <c r="C659" s="91"/>
      <c r="E659" s="89"/>
    </row>
    <row r="660">
      <c r="C660" s="91"/>
      <c r="E660" s="89"/>
    </row>
    <row r="661">
      <c r="C661" s="91"/>
      <c r="E661" s="89"/>
    </row>
    <row r="662">
      <c r="C662" s="91"/>
      <c r="E662" s="89"/>
    </row>
    <row r="663">
      <c r="C663" s="91"/>
      <c r="E663" s="89"/>
    </row>
    <row r="664">
      <c r="C664" s="91"/>
      <c r="E664" s="89"/>
    </row>
    <row r="665">
      <c r="C665" s="91"/>
      <c r="E665" s="89"/>
    </row>
    <row r="666">
      <c r="C666" s="91"/>
      <c r="E666" s="89"/>
    </row>
    <row r="667">
      <c r="C667" s="91"/>
      <c r="E667" s="89"/>
    </row>
    <row r="668">
      <c r="C668" s="91"/>
      <c r="E668" s="89"/>
    </row>
    <row r="669">
      <c r="C669" s="91"/>
      <c r="E669" s="89"/>
    </row>
    <row r="670">
      <c r="C670" s="91"/>
      <c r="E670" s="89"/>
    </row>
    <row r="671">
      <c r="C671" s="91"/>
      <c r="E671" s="89"/>
    </row>
    <row r="672">
      <c r="C672" s="91"/>
      <c r="E672" s="89"/>
    </row>
    <row r="673">
      <c r="C673" s="91"/>
      <c r="E673" s="89"/>
    </row>
    <row r="674">
      <c r="C674" s="91"/>
      <c r="E674" s="89"/>
    </row>
    <row r="675">
      <c r="C675" s="91"/>
      <c r="E675" s="89"/>
    </row>
    <row r="676">
      <c r="C676" s="91"/>
      <c r="E676" s="89"/>
    </row>
    <row r="677">
      <c r="C677" s="91"/>
      <c r="E677" s="89"/>
    </row>
    <row r="678">
      <c r="C678" s="91"/>
      <c r="E678" s="89"/>
    </row>
    <row r="679">
      <c r="C679" s="91"/>
      <c r="E679" s="89"/>
    </row>
    <row r="680">
      <c r="C680" s="91"/>
      <c r="E680" s="89"/>
    </row>
    <row r="681">
      <c r="C681" s="91"/>
      <c r="E681" s="89"/>
    </row>
    <row r="682">
      <c r="C682" s="91"/>
      <c r="E682" s="89"/>
    </row>
    <row r="683">
      <c r="C683" s="91"/>
      <c r="E683" s="89"/>
    </row>
    <row r="684">
      <c r="C684" s="91"/>
      <c r="E684" s="89"/>
    </row>
    <row r="685">
      <c r="C685" s="91"/>
      <c r="E685" s="89"/>
    </row>
    <row r="686">
      <c r="C686" s="91"/>
      <c r="E686" s="89"/>
    </row>
    <row r="687">
      <c r="C687" s="91"/>
      <c r="E687" s="89"/>
    </row>
    <row r="688">
      <c r="C688" s="91"/>
      <c r="E688" s="89"/>
    </row>
    <row r="689">
      <c r="C689" s="91"/>
      <c r="E689" s="89"/>
    </row>
    <row r="690">
      <c r="C690" s="91"/>
      <c r="E690" s="89"/>
    </row>
    <row r="691">
      <c r="C691" s="91"/>
      <c r="E691" s="89"/>
    </row>
    <row r="692">
      <c r="C692" s="91"/>
      <c r="E692" s="89"/>
    </row>
    <row r="693">
      <c r="C693" s="91"/>
      <c r="E693" s="89"/>
    </row>
    <row r="694">
      <c r="C694" s="91"/>
      <c r="E694" s="89"/>
    </row>
    <row r="695">
      <c r="C695" s="91"/>
      <c r="E695" s="89"/>
    </row>
    <row r="696">
      <c r="C696" s="91"/>
      <c r="E696" s="89"/>
    </row>
    <row r="697">
      <c r="C697" s="91"/>
      <c r="E697" s="89"/>
    </row>
    <row r="698">
      <c r="C698" s="91"/>
      <c r="E698" s="89"/>
    </row>
    <row r="699">
      <c r="C699" s="91"/>
      <c r="E699" s="89"/>
    </row>
    <row r="700">
      <c r="C700" s="91"/>
      <c r="E700" s="89"/>
    </row>
    <row r="701">
      <c r="C701" s="91"/>
      <c r="E701" s="89"/>
    </row>
    <row r="702">
      <c r="C702" s="91"/>
      <c r="E702" s="89"/>
    </row>
    <row r="703">
      <c r="C703" s="91"/>
      <c r="E703" s="89"/>
    </row>
    <row r="704">
      <c r="C704" s="91"/>
      <c r="E704" s="89"/>
    </row>
    <row r="705">
      <c r="C705" s="91"/>
      <c r="E705" s="89"/>
    </row>
    <row r="706">
      <c r="C706" s="91"/>
      <c r="E706" s="89"/>
    </row>
    <row r="707">
      <c r="C707" s="91"/>
      <c r="E707" s="89"/>
    </row>
    <row r="708">
      <c r="C708" s="91"/>
      <c r="E708" s="89"/>
    </row>
    <row r="709">
      <c r="C709" s="91"/>
      <c r="E709" s="89"/>
    </row>
    <row r="710">
      <c r="C710" s="91"/>
      <c r="E710" s="89"/>
    </row>
    <row r="711">
      <c r="C711" s="91"/>
      <c r="E711" s="89"/>
    </row>
    <row r="712">
      <c r="C712" s="91"/>
      <c r="E712" s="89"/>
    </row>
    <row r="713">
      <c r="C713" s="91"/>
      <c r="E713" s="89"/>
    </row>
    <row r="714">
      <c r="C714" s="91"/>
      <c r="E714" s="89"/>
    </row>
    <row r="715">
      <c r="C715" s="91"/>
      <c r="E715" s="89"/>
    </row>
    <row r="716">
      <c r="C716" s="91"/>
      <c r="E716" s="89"/>
    </row>
    <row r="717">
      <c r="C717" s="91"/>
      <c r="E717" s="89"/>
    </row>
    <row r="718">
      <c r="C718" s="91"/>
      <c r="E718" s="89"/>
    </row>
    <row r="719">
      <c r="C719" s="91"/>
      <c r="E719" s="89"/>
    </row>
    <row r="720">
      <c r="C720" s="91"/>
      <c r="E720" s="89"/>
    </row>
    <row r="721">
      <c r="C721" s="91"/>
      <c r="E721" s="89"/>
    </row>
    <row r="722">
      <c r="C722" s="91"/>
      <c r="E722" s="89"/>
    </row>
    <row r="723">
      <c r="C723" s="91"/>
      <c r="E723" s="89"/>
    </row>
    <row r="724">
      <c r="C724" s="91"/>
      <c r="E724" s="89"/>
    </row>
    <row r="725">
      <c r="C725" s="91"/>
      <c r="E725" s="89"/>
    </row>
    <row r="726">
      <c r="C726" s="91"/>
      <c r="E726" s="89"/>
    </row>
    <row r="727">
      <c r="C727" s="91"/>
      <c r="E727" s="89"/>
    </row>
    <row r="728">
      <c r="C728" s="91"/>
      <c r="E728" s="89"/>
    </row>
    <row r="729">
      <c r="C729" s="91"/>
      <c r="E729" s="89"/>
    </row>
    <row r="730">
      <c r="C730" s="91"/>
      <c r="E730" s="89"/>
    </row>
    <row r="731">
      <c r="C731" s="91"/>
      <c r="E731" s="89"/>
    </row>
    <row r="732">
      <c r="C732" s="91"/>
      <c r="E732" s="89"/>
    </row>
    <row r="733">
      <c r="C733" s="91"/>
      <c r="E733" s="89"/>
    </row>
    <row r="734">
      <c r="C734" s="91"/>
      <c r="E734" s="89"/>
    </row>
    <row r="735">
      <c r="C735" s="91"/>
      <c r="E735" s="89"/>
    </row>
    <row r="736">
      <c r="C736" s="91"/>
      <c r="E736" s="89"/>
    </row>
    <row r="737">
      <c r="C737" s="91"/>
      <c r="E737" s="89"/>
    </row>
    <row r="738">
      <c r="C738" s="91"/>
      <c r="E738" s="89"/>
    </row>
    <row r="739">
      <c r="C739" s="91"/>
      <c r="E739" s="89"/>
    </row>
    <row r="740">
      <c r="C740" s="91"/>
      <c r="E740" s="89"/>
    </row>
    <row r="741">
      <c r="C741" s="91"/>
      <c r="E741" s="89"/>
    </row>
    <row r="742">
      <c r="C742" s="91"/>
      <c r="E742" s="89"/>
    </row>
    <row r="743">
      <c r="C743" s="91"/>
      <c r="E743" s="89"/>
    </row>
    <row r="744">
      <c r="C744" s="91"/>
      <c r="E744" s="89"/>
    </row>
    <row r="745">
      <c r="C745" s="91"/>
      <c r="E745" s="89"/>
    </row>
    <row r="746">
      <c r="C746" s="91"/>
      <c r="E746" s="89"/>
    </row>
    <row r="747">
      <c r="C747" s="91"/>
      <c r="E747" s="89"/>
    </row>
    <row r="748">
      <c r="C748" s="91"/>
      <c r="E748" s="89"/>
    </row>
    <row r="749">
      <c r="C749" s="91"/>
      <c r="E749" s="89"/>
    </row>
    <row r="750">
      <c r="C750" s="91"/>
      <c r="E750" s="89"/>
    </row>
    <row r="751">
      <c r="C751" s="91"/>
      <c r="E751" s="89"/>
    </row>
    <row r="752">
      <c r="C752" s="91"/>
      <c r="E752" s="89"/>
    </row>
    <row r="753">
      <c r="C753" s="91"/>
      <c r="E753" s="89"/>
    </row>
    <row r="754">
      <c r="C754" s="91"/>
      <c r="E754" s="89"/>
    </row>
    <row r="755">
      <c r="C755" s="91"/>
      <c r="E755" s="89"/>
    </row>
    <row r="756">
      <c r="C756" s="91"/>
      <c r="E756" s="89"/>
    </row>
    <row r="757">
      <c r="C757" s="91"/>
      <c r="E757" s="89"/>
    </row>
    <row r="758">
      <c r="C758" s="91"/>
      <c r="E758" s="89"/>
    </row>
    <row r="759">
      <c r="C759" s="91"/>
      <c r="E759" s="89"/>
    </row>
    <row r="760">
      <c r="C760" s="91"/>
      <c r="E760" s="89"/>
    </row>
    <row r="761">
      <c r="C761" s="91"/>
      <c r="E761" s="89"/>
    </row>
    <row r="762">
      <c r="C762" s="91"/>
      <c r="E762" s="89"/>
    </row>
    <row r="763">
      <c r="C763" s="91"/>
      <c r="E763" s="89"/>
    </row>
    <row r="764">
      <c r="C764" s="91"/>
      <c r="E764" s="89"/>
    </row>
    <row r="765">
      <c r="C765" s="91"/>
      <c r="E765" s="89"/>
    </row>
    <row r="766">
      <c r="C766" s="91"/>
      <c r="E766" s="89"/>
    </row>
    <row r="767">
      <c r="C767" s="91"/>
      <c r="E767" s="89"/>
    </row>
    <row r="768">
      <c r="C768" s="91"/>
      <c r="E768" s="89"/>
    </row>
    <row r="769">
      <c r="C769" s="91"/>
      <c r="E769" s="89"/>
    </row>
    <row r="770">
      <c r="C770" s="91"/>
      <c r="E770" s="89"/>
    </row>
    <row r="771">
      <c r="C771" s="91"/>
      <c r="E771" s="89"/>
    </row>
    <row r="772">
      <c r="C772" s="91"/>
      <c r="E772" s="89"/>
    </row>
    <row r="773">
      <c r="C773" s="91"/>
      <c r="E773" s="89"/>
    </row>
    <row r="774">
      <c r="C774" s="91"/>
      <c r="E774" s="89"/>
    </row>
    <row r="775">
      <c r="C775" s="91"/>
      <c r="E775" s="89"/>
    </row>
    <row r="776">
      <c r="C776" s="91"/>
      <c r="E776" s="89"/>
    </row>
    <row r="777">
      <c r="C777" s="91"/>
      <c r="E777" s="89"/>
    </row>
    <row r="778">
      <c r="C778" s="91"/>
      <c r="E778" s="89"/>
    </row>
    <row r="779">
      <c r="C779" s="91"/>
      <c r="E779" s="89"/>
    </row>
    <row r="780">
      <c r="C780" s="91"/>
      <c r="E780" s="89"/>
    </row>
    <row r="781">
      <c r="C781" s="91"/>
      <c r="E781" s="89"/>
    </row>
    <row r="782">
      <c r="C782" s="91"/>
      <c r="E782" s="89"/>
    </row>
    <row r="783">
      <c r="C783" s="91"/>
      <c r="E783" s="89"/>
    </row>
    <row r="784">
      <c r="C784" s="91"/>
      <c r="E784" s="89"/>
    </row>
    <row r="785">
      <c r="C785" s="91"/>
      <c r="E785" s="89"/>
    </row>
    <row r="786">
      <c r="C786" s="91"/>
      <c r="E786" s="89"/>
    </row>
    <row r="787">
      <c r="C787" s="91"/>
      <c r="E787" s="89"/>
    </row>
    <row r="788">
      <c r="C788" s="91"/>
      <c r="E788" s="89"/>
    </row>
    <row r="789">
      <c r="C789" s="91"/>
      <c r="E789" s="89"/>
    </row>
    <row r="790">
      <c r="C790" s="91"/>
      <c r="E790" s="89"/>
    </row>
    <row r="791">
      <c r="C791" s="91"/>
      <c r="E791" s="89"/>
    </row>
    <row r="792">
      <c r="C792" s="91"/>
      <c r="E792" s="89"/>
    </row>
    <row r="793">
      <c r="C793" s="91"/>
      <c r="E793" s="89"/>
    </row>
    <row r="794">
      <c r="C794" s="91"/>
      <c r="E794" s="89"/>
    </row>
    <row r="795">
      <c r="C795" s="91"/>
      <c r="E795" s="89"/>
    </row>
    <row r="796">
      <c r="C796" s="91"/>
      <c r="E796" s="89"/>
    </row>
    <row r="797">
      <c r="C797" s="91"/>
      <c r="E797" s="89"/>
    </row>
    <row r="798">
      <c r="C798" s="91"/>
      <c r="E798" s="89"/>
    </row>
    <row r="799">
      <c r="C799" s="91"/>
      <c r="E799" s="89"/>
    </row>
    <row r="800">
      <c r="C800" s="91"/>
      <c r="E800" s="89"/>
    </row>
    <row r="801">
      <c r="C801" s="91"/>
      <c r="E801" s="89"/>
    </row>
    <row r="802">
      <c r="C802" s="91"/>
      <c r="E802" s="89"/>
    </row>
    <row r="803">
      <c r="C803" s="91"/>
      <c r="E803" s="89"/>
    </row>
    <row r="804">
      <c r="C804" s="91"/>
      <c r="E804" s="89"/>
    </row>
    <row r="805">
      <c r="C805" s="91"/>
      <c r="E805" s="89"/>
    </row>
    <row r="806">
      <c r="C806" s="91"/>
      <c r="E806" s="89"/>
    </row>
    <row r="807">
      <c r="C807" s="91"/>
      <c r="E807" s="89"/>
    </row>
    <row r="808">
      <c r="C808" s="91"/>
      <c r="E808" s="89"/>
    </row>
    <row r="809">
      <c r="C809" s="91"/>
      <c r="E809" s="89"/>
    </row>
    <row r="810">
      <c r="C810" s="91"/>
      <c r="E810" s="89"/>
    </row>
    <row r="811">
      <c r="C811" s="91"/>
      <c r="E811" s="89"/>
    </row>
    <row r="812">
      <c r="C812" s="91"/>
      <c r="E812" s="89"/>
    </row>
    <row r="813">
      <c r="C813" s="91"/>
      <c r="E813" s="89"/>
    </row>
    <row r="814">
      <c r="C814" s="91"/>
      <c r="E814" s="89"/>
    </row>
    <row r="815">
      <c r="C815" s="91"/>
      <c r="E815" s="89"/>
    </row>
    <row r="816">
      <c r="C816" s="91"/>
      <c r="E816" s="89"/>
    </row>
    <row r="817">
      <c r="C817" s="91"/>
      <c r="E817" s="89"/>
    </row>
    <row r="818">
      <c r="C818" s="91"/>
      <c r="E818" s="89"/>
    </row>
    <row r="819">
      <c r="C819" s="91"/>
      <c r="E819" s="89"/>
    </row>
    <row r="820">
      <c r="C820" s="91"/>
      <c r="E820" s="89"/>
    </row>
    <row r="821">
      <c r="C821" s="91"/>
      <c r="E821" s="89"/>
    </row>
    <row r="822">
      <c r="C822" s="91"/>
      <c r="E822" s="89"/>
    </row>
    <row r="823">
      <c r="C823" s="91"/>
      <c r="E823" s="89"/>
    </row>
    <row r="824">
      <c r="C824" s="91"/>
      <c r="E824" s="89"/>
    </row>
    <row r="825">
      <c r="C825" s="91"/>
      <c r="E825" s="89"/>
    </row>
    <row r="826">
      <c r="C826" s="91"/>
      <c r="E826" s="89"/>
    </row>
    <row r="827">
      <c r="C827" s="91"/>
      <c r="E827" s="89"/>
    </row>
    <row r="828">
      <c r="C828" s="91"/>
      <c r="E828" s="89"/>
    </row>
    <row r="829">
      <c r="C829" s="91"/>
      <c r="E829" s="89"/>
    </row>
    <row r="830">
      <c r="C830" s="91"/>
      <c r="E830" s="89"/>
    </row>
    <row r="831">
      <c r="C831" s="91"/>
      <c r="E831" s="89"/>
    </row>
    <row r="832">
      <c r="C832" s="91"/>
      <c r="E832" s="89"/>
    </row>
    <row r="833">
      <c r="C833" s="91"/>
      <c r="E833" s="89"/>
    </row>
    <row r="834">
      <c r="C834" s="91"/>
      <c r="E834" s="89"/>
    </row>
    <row r="835">
      <c r="C835" s="91"/>
      <c r="E835" s="89"/>
    </row>
    <row r="836">
      <c r="C836" s="91"/>
      <c r="E836" s="89"/>
    </row>
    <row r="837">
      <c r="C837" s="91"/>
      <c r="E837" s="89"/>
    </row>
    <row r="838">
      <c r="C838" s="91"/>
      <c r="E838" s="89"/>
    </row>
    <row r="839">
      <c r="C839" s="91"/>
      <c r="E839" s="89"/>
    </row>
    <row r="840">
      <c r="C840" s="91"/>
      <c r="E840" s="89"/>
    </row>
    <row r="841">
      <c r="C841" s="91"/>
      <c r="E841" s="89"/>
    </row>
    <row r="842">
      <c r="C842" s="91"/>
      <c r="E842" s="89"/>
    </row>
    <row r="843">
      <c r="C843" s="91"/>
      <c r="E843" s="89"/>
    </row>
    <row r="844">
      <c r="C844" s="91"/>
      <c r="E844" s="89"/>
    </row>
    <row r="845">
      <c r="C845" s="91"/>
      <c r="E845" s="89"/>
    </row>
    <row r="846">
      <c r="C846" s="91"/>
      <c r="E846" s="89"/>
    </row>
    <row r="847">
      <c r="C847" s="91"/>
      <c r="E847" s="89"/>
    </row>
    <row r="848">
      <c r="C848" s="91"/>
      <c r="E848" s="89"/>
    </row>
    <row r="849">
      <c r="C849" s="91"/>
      <c r="E849" s="89"/>
    </row>
    <row r="850">
      <c r="C850" s="91"/>
      <c r="E850" s="89"/>
    </row>
    <row r="851">
      <c r="C851" s="91"/>
      <c r="E851" s="89"/>
    </row>
    <row r="852">
      <c r="C852" s="91"/>
      <c r="E852" s="89"/>
    </row>
    <row r="853">
      <c r="C853" s="91"/>
      <c r="E853" s="89"/>
    </row>
    <row r="854">
      <c r="C854" s="91"/>
      <c r="E854" s="89"/>
    </row>
    <row r="855">
      <c r="C855" s="91"/>
      <c r="E855" s="89"/>
    </row>
    <row r="856">
      <c r="C856" s="91"/>
      <c r="E856" s="89"/>
    </row>
    <row r="857">
      <c r="C857" s="91"/>
      <c r="E857" s="89"/>
    </row>
    <row r="858">
      <c r="C858" s="91"/>
      <c r="E858" s="89"/>
    </row>
    <row r="859">
      <c r="C859" s="91"/>
      <c r="E859" s="89"/>
    </row>
    <row r="860">
      <c r="C860" s="91"/>
      <c r="E860" s="89"/>
    </row>
    <row r="861">
      <c r="C861" s="91"/>
      <c r="E861" s="89"/>
    </row>
    <row r="862">
      <c r="C862" s="91"/>
      <c r="E862" s="89"/>
    </row>
    <row r="863">
      <c r="C863" s="91"/>
      <c r="E863" s="89"/>
    </row>
    <row r="864">
      <c r="C864" s="91"/>
      <c r="E864" s="89"/>
    </row>
    <row r="865">
      <c r="C865" s="91"/>
      <c r="E865" s="89"/>
    </row>
    <row r="866">
      <c r="C866" s="91"/>
      <c r="E866" s="89"/>
    </row>
    <row r="867">
      <c r="C867" s="91"/>
      <c r="E867" s="89"/>
    </row>
    <row r="868">
      <c r="C868" s="91"/>
      <c r="E868" s="89"/>
    </row>
    <row r="869">
      <c r="C869" s="91"/>
      <c r="E869" s="89"/>
    </row>
    <row r="870">
      <c r="C870" s="91"/>
      <c r="E870" s="89"/>
    </row>
    <row r="871">
      <c r="C871" s="91"/>
      <c r="E871" s="89"/>
    </row>
    <row r="872">
      <c r="C872" s="91"/>
      <c r="E872" s="89"/>
    </row>
    <row r="873">
      <c r="C873" s="91"/>
      <c r="E873" s="89"/>
    </row>
    <row r="874">
      <c r="C874" s="91"/>
      <c r="E874" s="89"/>
    </row>
    <row r="875">
      <c r="C875" s="91"/>
      <c r="E875" s="89"/>
    </row>
    <row r="876">
      <c r="C876" s="91"/>
      <c r="E876" s="89"/>
    </row>
    <row r="877">
      <c r="C877" s="91"/>
      <c r="E877" s="89"/>
    </row>
    <row r="878">
      <c r="C878" s="91"/>
      <c r="E878" s="89"/>
    </row>
    <row r="879">
      <c r="C879" s="91"/>
      <c r="E879" s="89"/>
    </row>
    <row r="880">
      <c r="C880" s="91"/>
      <c r="E880" s="89"/>
    </row>
    <row r="881">
      <c r="C881" s="91"/>
      <c r="E881" s="89"/>
    </row>
    <row r="882">
      <c r="C882" s="91"/>
      <c r="E882" s="89"/>
    </row>
    <row r="883">
      <c r="C883" s="91"/>
      <c r="E883" s="89"/>
    </row>
    <row r="884">
      <c r="C884" s="91"/>
      <c r="E884" s="89"/>
    </row>
    <row r="885">
      <c r="C885" s="91"/>
      <c r="E885" s="89"/>
    </row>
    <row r="886">
      <c r="C886" s="91"/>
      <c r="E886" s="89"/>
    </row>
    <row r="887">
      <c r="C887" s="91"/>
      <c r="E887" s="89"/>
    </row>
    <row r="888">
      <c r="C888" s="91"/>
      <c r="E888" s="89"/>
    </row>
    <row r="889">
      <c r="C889" s="91"/>
      <c r="E889" s="89"/>
    </row>
    <row r="890">
      <c r="C890" s="91"/>
      <c r="E890" s="89"/>
    </row>
    <row r="891">
      <c r="C891" s="91"/>
      <c r="E891" s="89"/>
    </row>
    <row r="892">
      <c r="C892" s="91"/>
      <c r="E892" s="89"/>
    </row>
    <row r="893">
      <c r="C893" s="91"/>
      <c r="E893" s="89"/>
    </row>
    <row r="894">
      <c r="C894" s="91"/>
      <c r="E894" s="89"/>
    </row>
    <row r="895">
      <c r="C895" s="91"/>
      <c r="E895" s="89"/>
    </row>
    <row r="896">
      <c r="C896" s="91"/>
      <c r="E896" s="89"/>
    </row>
    <row r="897">
      <c r="C897" s="91"/>
      <c r="E897" s="89"/>
    </row>
    <row r="898">
      <c r="C898" s="91"/>
      <c r="E898" s="89"/>
    </row>
    <row r="899">
      <c r="C899" s="91"/>
      <c r="E899" s="89"/>
    </row>
    <row r="900">
      <c r="C900" s="91"/>
      <c r="E900" s="89"/>
    </row>
    <row r="901">
      <c r="C901" s="91"/>
      <c r="E901" s="89"/>
    </row>
    <row r="902">
      <c r="C902" s="91"/>
      <c r="E902" s="89"/>
    </row>
    <row r="903">
      <c r="C903" s="91"/>
      <c r="E903" s="89"/>
    </row>
    <row r="904">
      <c r="C904" s="91"/>
      <c r="E904" s="89"/>
    </row>
    <row r="905">
      <c r="C905" s="91"/>
      <c r="E905" s="89"/>
    </row>
    <row r="906">
      <c r="C906" s="91"/>
      <c r="E906" s="89"/>
    </row>
    <row r="907">
      <c r="C907" s="91"/>
      <c r="E907" s="89"/>
    </row>
    <row r="908">
      <c r="C908" s="91"/>
      <c r="E908" s="89"/>
    </row>
    <row r="909">
      <c r="C909" s="91"/>
      <c r="E909" s="89"/>
    </row>
    <row r="910">
      <c r="C910" s="91"/>
      <c r="E910" s="89"/>
    </row>
    <row r="911">
      <c r="C911" s="91"/>
      <c r="E911" s="89"/>
    </row>
    <row r="912">
      <c r="C912" s="91"/>
      <c r="E912" s="89"/>
    </row>
    <row r="913">
      <c r="C913" s="91"/>
      <c r="E913" s="89"/>
    </row>
    <row r="914">
      <c r="C914" s="91"/>
      <c r="E914" s="89"/>
    </row>
    <row r="915">
      <c r="C915" s="91"/>
      <c r="E915" s="89"/>
    </row>
    <row r="916">
      <c r="C916" s="91"/>
      <c r="E916" s="89"/>
    </row>
    <row r="917">
      <c r="C917" s="91"/>
      <c r="E917" s="89"/>
    </row>
    <row r="918">
      <c r="C918" s="91"/>
      <c r="E918" s="89"/>
    </row>
    <row r="919">
      <c r="C919" s="91"/>
      <c r="E919" s="89"/>
    </row>
    <row r="920">
      <c r="C920" s="91"/>
      <c r="E920" s="89"/>
    </row>
    <row r="921">
      <c r="C921" s="91"/>
      <c r="E921" s="89"/>
    </row>
    <row r="922">
      <c r="C922" s="91"/>
      <c r="E922" s="89"/>
    </row>
    <row r="923">
      <c r="C923" s="91"/>
      <c r="E923" s="89"/>
    </row>
    <row r="924">
      <c r="C924" s="91"/>
      <c r="E924" s="89"/>
    </row>
    <row r="925">
      <c r="C925" s="91"/>
      <c r="E925" s="89"/>
    </row>
    <row r="926">
      <c r="C926" s="91"/>
      <c r="E926" s="89"/>
    </row>
    <row r="927">
      <c r="C927" s="91"/>
      <c r="E927" s="89"/>
    </row>
    <row r="928">
      <c r="C928" s="91"/>
      <c r="E928" s="89"/>
    </row>
    <row r="929">
      <c r="C929" s="91"/>
      <c r="E929" s="89"/>
    </row>
    <row r="930">
      <c r="C930" s="91"/>
      <c r="E930" s="89"/>
    </row>
    <row r="931">
      <c r="C931" s="91"/>
      <c r="E931" s="89"/>
    </row>
    <row r="932">
      <c r="C932" s="91"/>
      <c r="E932" s="89"/>
    </row>
    <row r="933">
      <c r="C933" s="91"/>
      <c r="E933" s="89"/>
    </row>
    <row r="934">
      <c r="C934" s="91"/>
      <c r="E934" s="89"/>
    </row>
    <row r="935">
      <c r="C935" s="91"/>
      <c r="E935" s="89"/>
    </row>
    <row r="936">
      <c r="C936" s="91"/>
      <c r="E936" s="89"/>
    </row>
    <row r="937">
      <c r="C937" s="91"/>
      <c r="E937" s="89"/>
    </row>
    <row r="938">
      <c r="C938" s="91"/>
      <c r="E938" s="89"/>
    </row>
    <row r="939">
      <c r="C939" s="91"/>
      <c r="E939" s="89"/>
    </row>
    <row r="940">
      <c r="C940" s="91"/>
      <c r="E940" s="89"/>
    </row>
    <row r="941">
      <c r="C941" s="91"/>
      <c r="E941" s="89"/>
    </row>
    <row r="942">
      <c r="C942" s="91"/>
      <c r="E942" s="89"/>
    </row>
    <row r="943">
      <c r="C943" s="91"/>
      <c r="E943" s="89"/>
    </row>
    <row r="944">
      <c r="C944" s="91"/>
      <c r="E944" s="89"/>
    </row>
    <row r="945">
      <c r="C945" s="91"/>
      <c r="E945" s="89"/>
    </row>
    <row r="946">
      <c r="C946" s="91"/>
      <c r="E946" s="89"/>
    </row>
    <row r="947">
      <c r="C947" s="91"/>
      <c r="E947" s="89"/>
    </row>
    <row r="948">
      <c r="C948" s="91"/>
      <c r="E948" s="89"/>
    </row>
    <row r="949">
      <c r="C949" s="91"/>
      <c r="E949" s="89"/>
    </row>
    <row r="950">
      <c r="C950" s="91"/>
      <c r="E950" s="89"/>
    </row>
    <row r="951">
      <c r="C951" s="91"/>
      <c r="E951" s="89"/>
    </row>
    <row r="952">
      <c r="C952" s="91"/>
      <c r="E952" s="89"/>
    </row>
    <row r="953">
      <c r="C953" s="91"/>
      <c r="E953" s="89"/>
    </row>
    <row r="954">
      <c r="C954" s="91"/>
      <c r="E954" s="89"/>
    </row>
    <row r="955">
      <c r="C955" s="91"/>
      <c r="E955" s="89"/>
    </row>
    <row r="956">
      <c r="C956" s="91"/>
      <c r="E956" s="89"/>
    </row>
    <row r="957">
      <c r="C957" s="91"/>
      <c r="E957" s="89"/>
    </row>
    <row r="958">
      <c r="C958" s="91"/>
      <c r="E958" s="89"/>
    </row>
    <row r="959">
      <c r="C959" s="91"/>
      <c r="E959" s="89"/>
    </row>
    <row r="960">
      <c r="C960" s="91"/>
      <c r="E960" s="89"/>
    </row>
    <row r="961">
      <c r="C961" s="91"/>
      <c r="E961" s="89"/>
    </row>
    <row r="962">
      <c r="C962" s="91"/>
      <c r="E962" s="89"/>
    </row>
    <row r="963">
      <c r="C963" s="91"/>
      <c r="E963" s="89"/>
    </row>
    <row r="964">
      <c r="C964" s="91"/>
      <c r="E964" s="89"/>
    </row>
    <row r="965">
      <c r="C965" s="91"/>
      <c r="E965" s="89"/>
    </row>
    <row r="966">
      <c r="C966" s="91"/>
      <c r="E966" s="89"/>
    </row>
    <row r="967">
      <c r="C967" s="91"/>
      <c r="E967" s="89"/>
    </row>
    <row r="968">
      <c r="C968" s="91"/>
      <c r="E968" s="89"/>
    </row>
    <row r="969">
      <c r="C969" s="91"/>
      <c r="E969" s="89"/>
    </row>
    <row r="970">
      <c r="C970" s="91"/>
      <c r="E970" s="89"/>
    </row>
    <row r="971">
      <c r="C971" s="91"/>
      <c r="E971" s="89"/>
    </row>
    <row r="972">
      <c r="C972" s="91"/>
      <c r="E972" s="89"/>
    </row>
    <row r="973">
      <c r="C973" s="91"/>
      <c r="E973" s="89"/>
    </row>
    <row r="974">
      <c r="C974" s="91"/>
      <c r="E974" s="89"/>
    </row>
    <row r="975">
      <c r="C975" s="91"/>
      <c r="E975" s="89"/>
    </row>
    <row r="976">
      <c r="C976" s="91"/>
      <c r="E976" s="89"/>
    </row>
    <row r="977">
      <c r="C977" s="91"/>
      <c r="E977" s="89"/>
    </row>
    <row r="978">
      <c r="C978" s="91"/>
      <c r="E978" s="89"/>
    </row>
    <row r="979">
      <c r="C979" s="91"/>
      <c r="E979" s="89"/>
    </row>
    <row r="980">
      <c r="C980" s="91"/>
      <c r="E980" s="89"/>
    </row>
    <row r="981">
      <c r="C981" s="91"/>
      <c r="E981" s="89"/>
    </row>
    <row r="982">
      <c r="C982" s="91"/>
      <c r="E982" s="89"/>
    </row>
    <row r="983">
      <c r="C983" s="91"/>
      <c r="E983" s="89"/>
    </row>
    <row r="984">
      <c r="C984" s="91"/>
      <c r="E984" s="89"/>
    </row>
    <row r="985">
      <c r="C985" s="91"/>
      <c r="E985" s="89"/>
    </row>
    <row r="986">
      <c r="C986" s="91"/>
      <c r="E986" s="89"/>
    </row>
    <row r="987">
      <c r="C987" s="91"/>
      <c r="E987" s="89"/>
    </row>
    <row r="988">
      <c r="C988" s="91"/>
      <c r="E988" s="89"/>
    </row>
    <row r="989">
      <c r="C989" s="91"/>
      <c r="E989" s="89"/>
    </row>
    <row r="990">
      <c r="C990" s="91"/>
      <c r="E990" s="89"/>
    </row>
    <row r="991">
      <c r="C991" s="91"/>
      <c r="E991" s="89"/>
    </row>
    <row r="992">
      <c r="C992" s="91"/>
      <c r="E992" s="89"/>
    </row>
    <row r="993">
      <c r="C993" s="91"/>
      <c r="E993" s="89"/>
    </row>
    <row r="994">
      <c r="C994" s="91"/>
      <c r="E994" s="89"/>
    </row>
    <row r="995">
      <c r="C995" s="91"/>
      <c r="E995" s="89"/>
    </row>
    <row r="996">
      <c r="C996" s="91"/>
      <c r="E996" s="89"/>
    </row>
    <row r="997">
      <c r="C997" s="91"/>
      <c r="E997" s="89"/>
    </row>
  </sheetData>
  <dataValidations>
    <dataValidation type="list" allowBlank="1" sqref="B2:B147">
      <formula1>Lookups!$A$1:$A$9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14.75"/>
    <col customWidth="1" hidden="1" min="3" max="3" width="22.5"/>
    <col customWidth="1" min="4" max="4" width="14.88"/>
    <col customWidth="1" min="5" max="5" width="13.63"/>
    <col customWidth="1" min="6" max="6" width="31.75"/>
    <col customWidth="1" min="7" max="7" width="8.25"/>
  </cols>
  <sheetData>
    <row r="1">
      <c r="A1" s="1" t="s">
        <v>0</v>
      </c>
      <c r="B1" s="2" t="s">
        <v>1</v>
      </c>
      <c r="C1" s="68" t="s">
        <v>2</v>
      </c>
      <c r="D1" s="4" t="s">
        <v>3</v>
      </c>
      <c r="E1" s="5" t="s">
        <v>4</v>
      </c>
      <c r="F1" s="2" t="s">
        <v>5</v>
      </c>
      <c r="G1" s="6" t="s">
        <v>6</v>
      </c>
      <c r="H1" s="7" t="s">
        <v>7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7" t="s">
        <v>8</v>
      </c>
      <c r="B2" s="7" t="s">
        <v>1056</v>
      </c>
      <c r="C2" s="71" t="s">
        <v>10</v>
      </c>
      <c r="D2" s="10">
        <f>IFERROR(__xludf.DUMMYFUNCTION("SPLIT(C2,"","")"),57.0482555)</f>
        <v>57.0482555</v>
      </c>
      <c r="E2" s="11">
        <f>IFERROR(__xludf.DUMMYFUNCTION("""COMPUTED_VALUE"""),9.913457)</f>
        <v>9.913457</v>
      </c>
      <c r="F2" s="12" t="s">
        <v>11</v>
      </c>
      <c r="G2" s="7">
        <v>3.0</v>
      </c>
      <c r="H2" s="13" t="s">
        <v>12</v>
      </c>
    </row>
    <row r="3">
      <c r="A3" s="13" t="s">
        <v>1302</v>
      </c>
      <c r="B3" s="13" t="s">
        <v>1303</v>
      </c>
      <c r="C3" s="13" t="s">
        <v>1304</v>
      </c>
      <c r="D3" s="10">
        <f>IFERROR(__xludf.DUMMYFUNCTION("SPLIT(C3,"","")"),56.328661)</f>
        <v>56.328661</v>
      </c>
      <c r="E3" s="11">
        <f>IFERROR(__xludf.DUMMYFUNCTION("""COMPUTED_VALUE"""),8.1523593)</f>
        <v>8.1523593</v>
      </c>
      <c r="F3" s="13" t="s">
        <v>1305</v>
      </c>
      <c r="G3" s="13">
        <v>5.0</v>
      </c>
    </row>
    <row r="4">
      <c r="A4" s="13" t="s">
        <v>1306</v>
      </c>
      <c r="B4" s="13" t="s">
        <v>43</v>
      </c>
      <c r="C4" s="13" t="s">
        <v>1307</v>
      </c>
      <c r="D4" s="10">
        <f>IFERROR(__xludf.DUMMYFUNCTION("SPLIT(C4,"","")"),5.9771515)</f>
        <v>5.9771515</v>
      </c>
      <c r="E4" s="11">
        <f>IFERROR(__xludf.DUMMYFUNCTION("""COMPUTED_VALUE"""),12.0414168)</f>
        <v>12.0414168</v>
      </c>
      <c r="F4" s="13" t="s">
        <v>1308</v>
      </c>
      <c r="G4" s="13">
        <v>1.0</v>
      </c>
    </row>
    <row r="5">
      <c r="A5" s="13" t="s">
        <v>1309</v>
      </c>
      <c r="B5" s="13" t="s">
        <v>1310</v>
      </c>
      <c r="C5" s="13" t="s">
        <v>1311</v>
      </c>
      <c r="D5" s="10">
        <f>IFERROR(__xludf.DUMMYFUNCTION("SPLIT(C5,"","")"),56.2258556)</f>
        <v>56.2258556</v>
      </c>
      <c r="E5" s="11">
        <f>IFERROR(__xludf.DUMMYFUNCTION("""COMPUTED_VALUE"""),10.5708117)</f>
        <v>10.5708117</v>
      </c>
      <c r="F5" s="13" t="s">
        <v>1312</v>
      </c>
      <c r="G5" s="13">
        <v>4.0</v>
      </c>
    </row>
    <row r="6">
      <c r="A6" s="13" t="s">
        <v>1313</v>
      </c>
      <c r="B6" s="13" t="s">
        <v>43</v>
      </c>
      <c r="C6" s="13" t="s">
        <v>1314</v>
      </c>
      <c r="D6" s="10">
        <f>IFERROR(__xludf.DUMMYFUNCTION("SPLIT(C6,"","")"),56.831689)</f>
        <v>56.831689</v>
      </c>
      <c r="E6" s="11">
        <f>IFERROR(__xludf.DUMMYFUNCTION("""COMPUTED_VALUE"""),9.8348412)</f>
        <v>9.8348412</v>
      </c>
    </row>
    <row r="7">
      <c r="A7" s="13" t="s">
        <v>1220</v>
      </c>
      <c r="B7" s="13" t="s">
        <v>169</v>
      </c>
      <c r="C7" s="13" t="s">
        <v>1315</v>
      </c>
      <c r="D7" s="10">
        <f>IFERROR(__xludf.DUMMYFUNCTION("SPLIT(C7,"","")"),57.7481601)</f>
        <v>57.7481601</v>
      </c>
      <c r="E7" s="11">
        <f>IFERROR(__xludf.DUMMYFUNCTION("""COMPUTED_VALUE"""),10.6322525)</f>
        <v>10.6322525</v>
      </c>
      <c r="F7" s="13" t="s">
        <v>1316</v>
      </c>
      <c r="G7" s="13">
        <v>4.0</v>
      </c>
      <c r="H7" s="13" t="s">
        <v>1317</v>
      </c>
    </row>
    <row r="8">
      <c r="A8" s="13" t="s">
        <v>1318</v>
      </c>
      <c r="B8" s="13" t="s">
        <v>169</v>
      </c>
      <c r="C8" s="13" t="s">
        <v>1319</v>
      </c>
      <c r="D8" s="10">
        <f>IFERROR(__xludf.DUMMYFUNCTION("SPLIT(C8,"","")"),55.6485444)</f>
        <v>55.6485444</v>
      </c>
      <c r="E8" s="11">
        <f>IFERROR(__xludf.DUMMYFUNCTION("""COMPUTED_VALUE"""),8.1373206)</f>
        <v>8.1373206</v>
      </c>
      <c r="F8" s="13" t="s">
        <v>1320</v>
      </c>
    </row>
    <row r="9">
      <c r="B9" s="13" t="s">
        <v>1056</v>
      </c>
      <c r="C9" s="13" t="s">
        <v>1321</v>
      </c>
      <c r="D9" s="10">
        <f>IFERROR(__xludf.DUMMYFUNCTION("SPLIT(C9,"","")"),55.6441794)</f>
        <v>55.6441794</v>
      </c>
      <c r="E9" s="11">
        <f>IFERROR(__xludf.DUMMYFUNCTION("""COMPUTED_VALUE"""),8.0874958)</f>
        <v>8.0874958</v>
      </c>
      <c r="F9" s="13" t="s">
        <v>1322</v>
      </c>
      <c r="G9" s="13">
        <v>4.0</v>
      </c>
    </row>
    <row r="10">
      <c r="A10" s="13" t="s">
        <v>1323</v>
      </c>
      <c r="B10" s="13" t="s">
        <v>43</v>
      </c>
      <c r="C10" s="13" t="s">
        <v>1324</v>
      </c>
      <c r="D10" s="10">
        <f>IFERROR(__xludf.DUMMYFUNCTION("SPLIT(C10,"","")"),56.0925452)</f>
        <v>56.0925452</v>
      </c>
      <c r="E10" s="11">
        <f>IFERROR(__xludf.DUMMYFUNCTION("""COMPUTED_VALUE"""),9.7449905)</f>
        <v>9.7449905</v>
      </c>
      <c r="F10" s="13" t="s">
        <v>1325</v>
      </c>
    </row>
    <row r="11">
      <c r="A11" s="13" t="s">
        <v>1326</v>
      </c>
      <c r="B11" s="13" t="s">
        <v>43</v>
      </c>
      <c r="C11" s="13" t="s">
        <v>1327</v>
      </c>
      <c r="D11" s="10">
        <f>IFERROR(__xludf.DUMMYFUNCTION("SPLIT(C11,"","")"),56.060939)</f>
        <v>56.060939</v>
      </c>
      <c r="E11" s="11">
        <f>IFERROR(__xludf.DUMMYFUNCTION("""COMPUTED_VALUE"""),9.7423903)</f>
        <v>9.7423903</v>
      </c>
      <c r="F11" s="13" t="s">
        <v>1328</v>
      </c>
      <c r="G11" s="13">
        <v>4.0</v>
      </c>
    </row>
    <row r="12">
      <c r="A12" s="13" t="s">
        <v>1329</v>
      </c>
      <c r="B12" s="13" t="s">
        <v>1330</v>
      </c>
      <c r="C12" s="13" t="s">
        <v>1331</v>
      </c>
      <c r="D12" s="10">
        <f>IFERROR(__xludf.DUMMYFUNCTION("SPLIT(C12,"","")"),57.4872219)</f>
        <v>57.4872219</v>
      </c>
      <c r="E12" s="11">
        <f>IFERROR(__xludf.DUMMYFUNCTION("""COMPUTED_VALUE"""),9.8339629)</f>
        <v>9.8339629</v>
      </c>
      <c r="F12" s="13" t="s">
        <v>1332</v>
      </c>
    </row>
    <row r="13">
      <c r="A13" s="13" t="s">
        <v>1333</v>
      </c>
      <c r="B13" s="13" t="s">
        <v>1334</v>
      </c>
      <c r="C13" s="13" t="s">
        <v>1335</v>
      </c>
      <c r="D13" s="10">
        <f>IFERROR(__xludf.DUMMYFUNCTION("SPLIT(C13,"","")"),57.2876291)</f>
        <v>57.2876291</v>
      </c>
      <c r="E13" s="11">
        <f>IFERROR(__xludf.DUMMYFUNCTION("""COMPUTED_VALUE"""),10.9163443)</f>
        <v>10.9163443</v>
      </c>
      <c r="F13" s="13" t="s">
        <v>1336</v>
      </c>
    </row>
    <row r="14">
      <c r="A14" s="13" t="s">
        <v>1337</v>
      </c>
      <c r="B14" s="13" t="s">
        <v>1338</v>
      </c>
      <c r="C14" s="13" t="s">
        <v>1339</v>
      </c>
      <c r="D14" s="10">
        <f>IFERROR(__xludf.DUMMYFUNCTION("SPLIT(C14,"","")"),56.1867962)</f>
        <v>56.1867962</v>
      </c>
      <c r="E14" s="11">
        <f>IFERROR(__xludf.DUMMYFUNCTION("""COMPUTED_VALUE"""),10.0937753)</f>
        <v>10.0937753</v>
      </c>
      <c r="F14" s="13" t="s">
        <v>1340</v>
      </c>
    </row>
    <row r="15">
      <c r="A15" s="13" t="s">
        <v>1341</v>
      </c>
      <c r="B15" s="13" t="s">
        <v>43</v>
      </c>
      <c r="C15" s="13" t="s">
        <v>1342</v>
      </c>
      <c r="D15" s="10">
        <f>IFERROR(__xludf.DUMMYFUNCTION("SPLIT(C15,"","")"),56.2726962)</f>
        <v>56.2726962</v>
      </c>
      <c r="E15" s="11">
        <f>IFERROR(__xludf.DUMMYFUNCTION("""COMPUTED_VALUE"""),10.3659959)</f>
        <v>10.3659959</v>
      </c>
      <c r="F15" s="13" t="s">
        <v>1343</v>
      </c>
    </row>
    <row r="16">
      <c r="A16" s="13" t="s">
        <v>1344</v>
      </c>
      <c r="B16" s="13" t="s">
        <v>169</v>
      </c>
      <c r="C16" s="13" t="s">
        <v>1345</v>
      </c>
      <c r="D16" s="10">
        <f>IFERROR(__xludf.DUMMYFUNCTION("SPLIT(C16,"","")"),55.3772588)</f>
        <v>55.3772588</v>
      </c>
      <c r="E16" s="11">
        <f>IFERROR(__xludf.DUMMYFUNCTION("""COMPUTED_VALUE"""),9.4186468)</f>
        <v>9.4186468</v>
      </c>
      <c r="F16" s="13" t="s">
        <v>1346</v>
      </c>
    </row>
    <row r="17">
      <c r="A17" s="13" t="s">
        <v>1347</v>
      </c>
      <c r="B17" s="13" t="s">
        <v>43</v>
      </c>
      <c r="C17" s="13" t="s">
        <v>1348</v>
      </c>
      <c r="D17" s="10">
        <f>IFERROR(__xludf.DUMMYFUNCTION("SPLIT(C17,"","")"),55.8257645)</f>
        <v>55.8257645</v>
      </c>
      <c r="E17" s="11">
        <f>IFERROR(__xludf.DUMMYFUNCTION("""COMPUTED_VALUE"""),10.0699034)</f>
        <v>10.0699034</v>
      </c>
      <c r="F17" s="13" t="s">
        <v>1349</v>
      </c>
    </row>
    <row r="18">
      <c r="A18" s="13" t="s">
        <v>1350</v>
      </c>
      <c r="B18" s="13" t="s">
        <v>43</v>
      </c>
      <c r="C18" s="13" t="s">
        <v>1351</v>
      </c>
      <c r="D18" s="10">
        <f>IFERROR(__xludf.DUMMYFUNCTION("SPLIT(C18,"","")"),56.8049063)</f>
        <v>56.8049063</v>
      </c>
      <c r="E18" s="11">
        <f>IFERROR(__xludf.DUMMYFUNCTION("""COMPUTED_VALUE"""),9.8580488)</f>
        <v>9.8580488</v>
      </c>
    </row>
    <row r="19">
      <c r="A19" s="13" t="s">
        <v>1352</v>
      </c>
      <c r="B19" s="13" t="s">
        <v>43</v>
      </c>
      <c r="C19" s="13" t="s">
        <v>1353</v>
      </c>
      <c r="D19" s="10">
        <f>IFERROR(__xludf.DUMMYFUNCTION("SPLIT(C19,"","")"),56.0167989)</f>
        <v>56.0167989</v>
      </c>
      <c r="E19" s="11">
        <f>IFERROR(__xludf.DUMMYFUNCTION("""COMPUTED_VALUE"""),9.8623515)</f>
        <v>9.8623515</v>
      </c>
      <c r="F19" s="13" t="s">
        <v>1354</v>
      </c>
    </row>
    <row r="20">
      <c r="A20" s="13" t="s">
        <v>1355</v>
      </c>
      <c r="B20" s="13" t="s">
        <v>1356</v>
      </c>
      <c r="C20" s="13" t="s">
        <v>1357</v>
      </c>
      <c r="D20" s="10">
        <f>IFERROR(__xludf.DUMMYFUNCTION("SPLIT(C20,"","")"),54.8236291)</f>
        <v>54.8236291</v>
      </c>
      <c r="E20" s="11">
        <f>IFERROR(__xludf.DUMMYFUNCTION("""COMPUTED_VALUE"""),9.3573904)</f>
        <v>9.3573904</v>
      </c>
      <c r="F20" s="13" t="s">
        <v>1358</v>
      </c>
      <c r="G20" s="13">
        <v>5.0</v>
      </c>
    </row>
    <row r="21">
      <c r="A21" s="13" t="s">
        <v>1359</v>
      </c>
      <c r="B21" s="13" t="s">
        <v>43</v>
      </c>
      <c r="C21" s="13" t="s">
        <v>1360</v>
      </c>
      <c r="D21" s="10">
        <f>IFERROR(__xludf.DUMMYFUNCTION("SPLIT(C21,"","")"),55.0212286)</f>
        <v>55.0212286</v>
      </c>
      <c r="E21" s="11">
        <f>IFERROR(__xludf.DUMMYFUNCTION("""COMPUTED_VALUE"""),10.6097379)</f>
        <v>10.6097379</v>
      </c>
      <c r="F21" s="13" t="s">
        <v>1361</v>
      </c>
    </row>
    <row r="22">
      <c r="A22" s="13" t="s">
        <v>1362</v>
      </c>
      <c r="B22" s="13" t="s">
        <v>169</v>
      </c>
      <c r="C22" s="13" t="s">
        <v>1363</v>
      </c>
      <c r="D22" s="10">
        <f>IFERROR(__xludf.DUMMYFUNCTION("SPLIT(C22,"","")"),55.4405113)</f>
        <v>55.4405113</v>
      </c>
      <c r="E22" s="11">
        <f>IFERROR(__xludf.DUMMYFUNCTION("""COMPUTED_VALUE"""),10.3480238)</f>
        <v>10.3480238</v>
      </c>
      <c r="F22" s="13" t="s">
        <v>1364</v>
      </c>
    </row>
    <row r="23">
      <c r="A23" s="13" t="s">
        <v>1365</v>
      </c>
      <c r="B23" s="13" t="s">
        <v>1056</v>
      </c>
      <c r="C23" s="13" t="s">
        <v>1366</v>
      </c>
      <c r="D23" s="10">
        <f>IFERROR(__xludf.DUMMYFUNCTION("SPLIT(C23,"","")"),55.7565694)</f>
        <v>55.7565694</v>
      </c>
      <c r="E23" s="11">
        <f>IFERROR(__xludf.DUMMYFUNCTION("""COMPUTED_VALUE"""),9.4173826)</f>
        <v>9.4173826</v>
      </c>
    </row>
    <row r="24">
      <c r="A24" s="13" t="s">
        <v>320</v>
      </c>
      <c r="B24" s="13" t="s">
        <v>43</v>
      </c>
      <c r="C24" s="13" t="s">
        <v>1367</v>
      </c>
      <c r="D24" s="10">
        <f>IFERROR(__xludf.DUMMYFUNCTION("SPLIT(C24,"","")"),54.9787695)</f>
        <v>54.9787695</v>
      </c>
      <c r="E24" s="11">
        <f>IFERROR(__xludf.DUMMYFUNCTION("""COMPUTED_VALUE"""),12.3883748)</f>
        <v>12.3883748</v>
      </c>
    </row>
    <row r="25">
      <c r="A25" s="13" t="s">
        <v>13</v>
      </c>
      <c r="B25" s="13" t="s">
        <v>1056</v>
      </c>
      <c r="C25" s="13" t="s">
        <v>1368</v>
      </c>
      <c r="D25" s="10">
        <f>IFERROR(__xludf.DUMMYFUNCTION("SPLIT(C25,"","")"),55.6284645)</f>
        <v>55.6284645</v>
      </c>
      <c r="E25" s="11">
        <f>IFERROR(__xludf.DUMMYFUNCTION("""COMPUTED_VALUE"""),9.2806231)</f>
        <v>9.2806231</v>
      </c>
    </row>
    <row r="26">
      <c r="A26" s="13" t="s">
        <v>1369</v>
      </c>
      <c r="B26" s="13" t="s">
        <v>1231</v>
      </c>
      <c r="C26" s="13" t="s">
        <v>1370</v>
      </c>
      <c r="D26" s="10">
        <f>IFERROR(__xludf.DUMMYFUNCTION("SPLIT(C26,"","")"),55.0094067)</f>
        <v>55.0094067</v>
      </c>
      <c r="E26" s="11">
        <f>IFERROR(__xludf.DUMMYFUNCTION("""COMPUTED_VALUE"""),10.4545604)</f>
        <v>10.4545604</v>
      </c>
      <c r="F26" s="13" t="s">
        <v>1371</v>
      </c>
    </row>
    <row r="27">
      <c r="A27" s="13" t="s">
        <v>1372</v>
      </c>
      <c r="B27" s="13" t="s">
        <v>43</v>
      </c>
      <c r="C27" s="13" t="s">
        <v>1373</v>
      </c>
      <c r="D27" s="10">
        <f>IFERROR(__xludf.DUMMYFUNCTION("SPLIT(C27,"","")"),56.2244723)</f>
        <v>56.2244723</v>
      </c>
      <c r="E27" s="11">
        <f>IFERROR(__xludf.DUMMYFUNCTION("""COMPUTED_VALUE"""),10.300058)</f>
        <v>10.300058</v>
      </c>
      <c r="F27" s="13" t="s">
        <v>1374</v>
      </c>
      <c r="G27" s="13">
        <v>3.0</v>
      </c>
    </row>
    <row r="28">
      <c r="A28" s="13" t="s">
        <v>1375</v>
      </c>
      <c r="B28" s="13" t="s">
        <v>1056</v>
      </c>
      <c r="C28" s="13" t="s">
        <v>1376</v>
      </c>
      <c r="D28" s="10">
        <f>IFERROR(__xludf.DUMMYFUNCTION("SPLIT(C28,"","")"),56.6478349)</f>
        <v>56.6478349</v>
      </c>
      <c r="E28" s="11">
        <f>IFERROR(__xludf.DUMMYFUNCTION("""COMPUTED_VALUE"""),9.9760273)</f>
        <v>9.9760273</v>
      </c>
      <c r="F28" s="13" t="s">
        <v>1377</v>
      </c>
    </row>
    <row r="29">
      <c r="B29" s="13" t="s">
        <v>17</v>
      </c>
      <c r="C29" s="13" t="s">
        <v>1378</v>
      </c>
      <c r="D29" s="10">
        <f>IFERROR(__xludf.DUMMYFUNCTION("SPLIT(C29,"","")"),56.1576105)</f>
        <v>56.1576105</v>
      </c>
      <c r="E29" s="11">
        <f>IFERROR(__xludf.DUMMYFUNCTION("""COMPUTED_VALUE"""),10.1995768)</f>
        <v>10.1995768</v>
      </c>
      <c r="F29" s="13" t="s">
        <v>1379</v>
      </c>
      <c r="G29" s="13">
        <v>5.0</v>
      </c>
    </row>
    <row r="30">
      <c r="A30" s="13" t="s">
        <v>1380</v>
      </c>
      <c r="B30" s="13" t="s">
        <v>1381</v>
      </c>
      <c r="C30" s="13" t="s">
        <v>1382</v>
      </c>
      <c r="D30" s="10">
        <f>IFERROR(__xludf.DUMMYFUNCTION("SPLIT(C30,"","")"),56.1728828)</f>
        <v>56.1728828</v>
      </c>
      <c r="E30" s="11">
        <f>IFERROR(__xludf.DUMMYFUNCTION("""COMPUTED_VALUE"""),10.2063215)</f>
        <v>10.2063215</v>
      </c>
      <c r="F30" s="13" t="s">
        <v>781</v>
      </c>
    </row>
    <row r="31">
      <c r="A31" s="13" t="s">
        <v>1383</v>
      </c>
      <c r="B31" s="13" t="s">
        <v>1056</v>
      </c>
      <c r="C31" s="13" t="s">
        <v>1384</v>
      </c>
      <c r="D31" s="10">
        <f>IFERROR(__xludf.DUMMYFUNCTION("SPLIT(C31,"","")"),56.6317638)</f>
        <v>56.6317638</v>
      </c>
      <c r="E31" s="11">
        <f>IFERROR(__xludf.DUMMYFUNCTION("""COMPUTED_VALUE"""),9.7675998)</f>
        <v>9.7675998</v>
      </c>
      <c r="F31" s="13" t="s">
        <v>1385</v>
      </c>
    </row>
    <row r="32">
      <c r="A32" s="13" t="s">
        <v>1386</v>
      </c>
      <c r="B32" s="13" t="s">
        <v>43</v>
      </c>
      <c r="C32" s="13" t="s">
        <v>1387</v>
      </c>
      <c r="D32" s="10">
        <f>IFERROR(__xludf.DUMMYFUNCTION("SPLIT(C32,"","")"),55.218412)</f>
        <v>55.218412</v>
      </c>
      <c r="E32" s="11">
        <f>IFERROR(__xludf.DUMMYFUNCTION("""COMPUTED_VALUE"""),12.0986043)</f>
        <v>12.0986043</v>
      </c>
    </row>
    <row r="33">
      <c r="A33" s="13" t="s">
        <v>1388</v>
      </c>
      <c r="B33" s="13" t="s">
        <v>43</v>
      </c>
      <c r="C33" s="13" t="s">
        <v>1389</v>
      </c>
      <c r="D33" s="10">
        <f>IFERROR(__xludf.DUMMYFUNCTION("SPLIT(C33,"","")"),55.0857232)</f>
        <v>55.0857232</v>
      </c>
      <c r="E33" s="11">
        <f>IFERROR(__xludf.DUMMYFUNCTION("""COMPUTED_VALUE"""),12.2669409)</f>
        <v>12.2669409</v>
      </c>
      <c r="F33" s="13" t="s">
        <v>1390</v>
      </c>
    </row>
    <row r="34">
      <c r="A34" s="13" t="s">
        <v>1391</v>
      </c>
      <c r="B34" s="13" t="s">
        <v>1392</v>
      </c>
      <c r="C34" s="13" t="s">
        <v>1393</v>
      </c>
      <c r="D34" s="10">
        <f>IFERROR(__xludf.DUMMYFUNCTION("SPLIT(C34,"","")"),56.1716544)</f>
        <v>56.1716544</v>
      </c>
      <c r="E34" s="11">
        <f>IFERROR(__xludf.DUMMYFUNCTION("""COMPUTED_VALUE"""),10.2166632)</f>
        <v>10.2166632</v>
      </c>
      <c r="F34" s="13" t="s">
        <v>1390</v>
      </c>
    </row>
    <row r="35">
      <c r="A35" s="13" t="s">
        <v>1394</v>
      </c>
      <c r="B35" s="13" t="s">
        <v>43</v>
      </c>
      <c r="C35" s="13" t="s">
        <v>1395</v>
      </c>
      <c r="D35" s="10">
        <f>IFERROR(__xludf.DUMMYFUNCTION("SPLIT(C35,"","")"),55.062678)</f>
        <v>55.062678</v>
      </c>
      <c r="E35" s="11">
        <f>IFERROR(__xludf.DUMMYFUNCTION("""COMPUTED_VALUE"""),10.2334107)</f>
        <v>10.2334107</v>
      </c>
    </row>
    <row r="36">
      <c r="B36" s="15"/>
      <c r="D36" s="10" t="str">
        <f>IFERROR(__xludf.DUMMYFUNCTION("SPLIT(C36,"","")"),"#VALUE!")</f>
        <v>#VALUE!</v>
      </c>
      <c r="E36" s="11"/>
    </row>
    <row r="37">
      <c r="B37" s="15"/>
      <c r="D37" s="10" t="str">
        <f>IFERROR(__xludf.DUMMYFUNCTION("SPLIT(C37,"","")"),"#VALUE!")</f>
        <v>#VALUE!</v>
      </c>
      <c r="E37" s="11"/>
    </row>
    <row r="38">
      <c r="B38" s="15"/>
      <c r="D38" s="10" t="str">
        <f>IFERROR(__xludf.DUMMYFUNCTION("SPLIT(C38,"","")"),"#VALUE!")</f>
        <v>#VALUE!</v>
      </c>
      <c r="E38" s="11"/>
    </row>
    <row r="39">
      <c r="B39" s="15"/>
      <c r="D39" s="10" t="str">
        <f>IFERROR(__xludf.DUMMYFUNCTION("SPLIT(C39,"","")"),"#VALUE!")</f>
        <v>#VALUE!</v>
      </c>
      <c r="E39" s="11"/>
    </row>
    <row r="40">
      <c r="B40" s="15"/>
      <c r="D40" s="10" t="str">
        <f>IFERROR(__xludf.DUMMYFUNCTION("SPLIT(C40,"","")"),"#VALUE!")</f>
        <v>#VALUE!</v>
      </c>
      <c r="E40" s="11"/>
    </row>
    <row r="41">
      <c r="B41" s="15"/>
      <c r="D41" s="10" t="str">
        <f>IFERROR(__xludf.DUMMYFUNCTION("SPLIT(C41,"","")"),"#VALUE!")</f>
        <v>#VALUE!</v>
      </c>
      <c r="E41" s="11"/>
    </row>
    <row r="42">
      <c r="B42" s="15"/>
      <c r="D42" s="10" t="str">
        <f>IFERROR(__xludf.DUMMYFUNCTION("SPLIT(C42,"","")"),"#VALUE!")</f>
        <v>#VALUE!</v>
      </c>
      <c r="E42" s="11"/>
    </row>
    <row r="43">
      <c r="B43" s="15"/>
      <c r="D43" s="10" t="str">
        <f>IFERROR(__xludf.DUMMYFUNCTION("SPLIT(C43,"","")"),"#VALUE!")</f>
        <v>#VALUE!</v>
      </c>
      <c r="E43" s="11"/>
    </row>
    <row r="44">
      <c r="B44" s="15"/>
      <c r="D44" s="10" t="str">
        <f>IFERROR(__xludf.DUMMYFUNCTION("SPLIT(C44,"","")"),"#VALUE!")</f>
        <v>#VALUE!</v>
      </c>
      <c r="E44" s="11"/>
    </row>
    <row r="45">
      <c r="B45" s="15"/>
      <c r="D45" s="10" t="str">
        <f>IFERROR(__xludf.DUMMYFUNCTION("SPLIT(C45,"","")"),"#VALUE!")</f>
        <v>#VALUE!</v>
      </c>
      <c r="E45" s="11"/>
    </row>
    <row r="46">
      <c r="B46" s="15"/>
      <c r="D46" s="10" t="str">
        <f>IFERROR(__xludf.DUMMYFUNCTION("SPLIT(C46,"","")"),"#VALUE!")</f>
        <v>#VALUE!</v>
      </c>
      <c r="E46" s="11"/>
    </row>
    <row r="47">
      <c r="B47" s="15"/>
      <c r="D47" s="10" t="str">
        <f>IFERROR(__xludf.DUMMYFUNCTION("SPLIT(C47,"","")"),"#VALUE!")</f>
        <v>#VALUE!</v>
      </c>
      <c r="E47" s="11"/>
    </row>
    <row r="48">
      <c r="B48" s="15"/>
      <c r="D48" s="10" t="str">
        <f>IFERROR(__xludf.DUMMYFUNCTION("SPLIT(C48,"","")"),"#VALUE!")</f>
        <v>#VALUE!</v>
      </c>
      <c r="E48" s="11"/>
    </row>
    <row r="49">
      <c r="B49" s="15"/>
      <c r="D49" s="10" t="str">
        <f>IFERROR(__xludf.DUMMYFUNCTION("SPLIT(C49,"","")"),"#VALUE!")</f>
        <v>#VALUE!</v>
      </c>
      <c r="E49" s="11"/>
    </row>
    <row r="50">
      <c r="B50" s="15"/>
      <c r="D50" s="10" t="str">
        <f>IFERROR(__xludf.DUMMYFUNCTION("SPLIT(C50,"","")"),"#VALUE!")</f>
        <v>#VALUE!</v>
      </c>
      <c r="E50" s="11"/>
    </row>
    <row r="51">
      <c r="B51" s="15"/>
      <c r="D51" s="10" t="str">
        <f>IFERROR(__xludf.DUMMYFUNCTION("SPLIT(C51,"","")"),"#VALUE!")</f>
        <v>#VALUE!</v>
      </c>
      <c r="E51" s="11"/>
    </row>
    <row r="52">
      <c r="B52" s="15"/>
      <c r="D52" s="10" t="str">
        <f>IFERROR(__xludf.DUMMYFUNCTION("SPLIT(C52,"","")"),"#VALUE!")</f>
        <v>#VALUE!</v>
      </c>
      <c r="E52" s="11"/>
    </row>
    <row r="53">
      <c r="B53" s="15"/>
      <c r="D53" s="10" t="str">
        <f>IFERROR(__xludf.DUMMYFUNCTION("SPLIT(C53,"","")"),"#VALUE!")</f>
        <v>#VALUE!</v>
      </c>
      <c r="E53" s="11"/>
    </row>
    <row r="54">
      <c r="B54" s="15"/>
      <c r="D54" s="10" t="str">
        <f>IFERROR(__xludf.DUMMYFUNCTION("SPLIT(C54,"","")"),"#VALUE!")</f>
        <v>#VALUE!</v>
      </c>
      <c r="E54" s="11"/>
    </row>
    <row r="55">
      <c r="B55" s="15"/>
      <c r="D55" s="10" t="str">
        <f>IFERROR(__xludf.DUMMYFUNCTION("SPLIT(C55,"","")"),"#VALUE!")</f>
        <v>#VALUE!</v>
      </c>
      <c r="E55" s="11"/>
    </row>
    <row r="56">
      <c r="B56" s="15"/>
      <c r="D56" s="10" t="str">
        <f>IFERROR(__xludf.DUMMYFUNCTION("SPLIT(C56,"","")"),"#VALUE!")</f>
        <v>#VALUE!</v>
      </c>
      <c r="E56" s="11"/>
    </row>
    <row r="57">
      <c r="B57" s="15"/>
      <c r="D57" s="10" t="str">
        <f>IFERROR(__xludf.DUMMYFUNCTION("SPLIT(C57,"","")"),"#VALUE!")</f>
        <v>#VALUE!</v>
      </c>
      <c r="E57" s="11"/>
    </row>
    <row r="58">
      <c r="B58" s="15"/>
      <c r="D58" s="10" t="str">
        <f>IFERROR(__xludf.DUMMYFUNCTION("SPLIT(C58,"","")"),"#VALUE!")</f>
        <v>#VALUE!</v>
      </c>
      <c r="E58" s="11"/>
    </row>
    <row r="59">
      <c r="B59" s="15"/>
      <c r="D59" s="10" t="str">
        <f>IFERROR(__xludf.DUMMYFUNCTION("SPLIT(C59,"","")"),"#VALUE!")</f>
        <v>#VALUE!</v>
      </c>
      <c r="E59" s="11"/>
    </row>
    <row r="60">
      <c r="B60" s="15"/>
      <c r="D60" s="10" t="str">
        <f>IFERROR(__xludf.DUMMYFUNCTION("SPLIT(C60,"","")"),"#VALUE!")</f>
        <v>#VALUE!</v>
      </c>
      <c r="E60" s="11"/>
    </row>
    <row r="61">
      <c r="B61" s="15"/>
      <c r="D61" s="10" t="str">
        <f>IFERROR(__xludf.DUMMYFUNCTION("SPLIT(C61,"","")"),"#VALUE!")</f>
        <v>#VALUE!</v>
      </c>
      <c r="E61" s="11"/>
    </row>
    <row r="62">
      <c r="B62" s="15"/>
      <c r="D62" s="10" t="str">
        <f>IFERROR(__xludf.DUMMYFUNCTION("SPLIT(C62,"","")"),"#VALUE!")</f>
        <v>#VALUE!</v>
      </c>
      <c r="E62" s="11"/>
    </row>
    <row r="63">
      <c r="B63" s="15"/>
      <c r="D63" s="10" t="str">
        <f>IFERROR(__xludf.DUMMYFUNCTION("SPLIT(C63,"","")"),"#VALUE!")</f>
        <v>#VALUE!</v>
      </c>
      <c r="E63" s="11"/>
    </row>
    <row r="64">
      <c r="B64" s="15"/>
      <c r="D64" s="10" t="str">
        <f>IFERROR(__xludf.DUMMYFUNCTION("SPLIT(C64,"","")"),"#VALUE!")</f>
        <v>#VALUE!</v>
      </c>
      <c r="E64" s="11"/>
    </row>
    <row r="65">
      <c r="B65" s="15"/>
      <c r="D65" s="11"/>
      <c r="E65" s="11"/>
    </row>
    <row r="66">
      <c r="B66" s="15"/>
      <c r="D66" s="11"/>
      <c r="E66" s="11"/>
    </row>
    <row r="67">
      <c r="B67" s="15"/>
      <c r="D67" s="11"/>
      <c r="E67" s="11"/>
    </row>
    <row r="68">
      <c r="B68" s="15"/>
      <c r="D68" s="11"/>
      <c r="E68" s="11"/>
    </row>
    <row r="69">
      <c r="B69" s="15"/>
      <c r="D69" s="11"/>
      <c r="E69" s="11"/>
    </row>
    <row r="70">
      <c r="B70" s="15"/>
      <c r="D70" s="11"/>
      <c r="E70" s="11"/>
    </row>
    <row r="71">
      <c r="B71" s="15"/>
      <c r="D71" s="11"/>
      <c r="E71" s="11"/>
    </row>
    <row r="72">
      <c r="B72" s="15"/>
      <c r="D72" s="11"/>
      <c r="E72" s="11"/>
    </row>
    <row r="73">
      <c r="B73" s="15"/>
      <c r="D73" s="11"/>
      <c r="E73" s="11"/>
    </row>
    <row r="74">
      <c r="B74" s="15"/>
      <c r="D74" s="11"/>
      <c r="E74" s="11"/>
    </row>
    <row r="75">
      <c r="B75" s="15"/>
      <c r="D75" s="11"/>
      <c r="E75" s="11"/>
    </row>
    <row r="76">
      <c r="B76" s="15"/>
      <c r="D76" s="11"/>
      <c r="E76" s="11"/>
    </row>
    <row r="77">
      <c r="B77" s="15"/>
      <c r="D77" s="11"/>
      <c r="E77" s="11"/>
    </row>
    <row r="78">
      <c r="B78" s="15"/>
      <c r="D78" s="11"/>
      <c r="E78" s="11"/>
    </row>
    <row r="79">
      <c r="B79" s="15"/>
      <c r="D79" s="11"/>
      <c r="E79" s="11"/>
    </row>
    <row r="80">
      <c r="B80" s="15"/>
      <c r="D80" s="11"/>
      <c r="E80" s="11"/>
    </row>
    <row r="81">
      <c r="B81" s="15"/>
      <c r="D81" s="11"/>
      <c r="E81" s="11"/>
    </row>
    <row r="82">
      <c r="B82" s="15"/>
      <c r="D82" s="11"/>
      <c r="E82" s="11"/>
    </row>
    <row r="83">
      <c r="B83" s="15"/>
      <c r="D83" s="11"/>
      <c r="E83" s="11"/>
    </row>
    <row r="84">
      <c r="B84" s="15"/>
      <c r="D84" s="11"/>
      <c r="E84" s="11"/>
    </row>
    <row r="85">
      <c r="B85" s="15"/>
      <c r="D85" s="11"/>
      <c r="E85" s="11"/>
    </row>
    <row r="86">
      <c r="B86" s="15"/>
      <c r="D86" s="11"/>
      <c r="E86" s="11"/>
    </row>
    <row r="87">
      <c r="B87" s="15"/>
      <c r="D87" s="11"/>
      <c r="E87" s="11"/>
    </row>
    <row r="88">
      <c r="B88" s="15"/>
      <c r="D88" s="11"/>
      <c r="E88" s="11"/>
    </row>
    <row r="89">
      <c r="B89" s="15"/>
      <c r="D89" s="11"/>
      <c r="E89" s="11"/>
    </row>
    <row r="90">
      <c r="B90" s="15"/>
      <c r="D90" s="11"/>
      <c r="E90" s="11"/>
    </row>
    <row r="91">
      <c r="B91" s="15"/>
      <c r="D91" s="11"/>
      <c r="E91" s="11"/>
    </row>
    <row r="92">
      <c r="B92" s="15"/>
      <c r="D92" s="11"/>
      <c r="E92" s="11"/>
    </row>
    <row r="93">
      <c r="B93" s="15"/>
      <c r="D93" s="11"/>
      <c r="E93" s="11"/>
    </row>
    <row r="94">
      <c r="B94" s="15"/>
      <c r="D94" s="11"/>
      <c r="E94" s="11"/>
    </row>
    <row r="95">
      <c r="B95" s="15"/>
      <c r="D95" s="11"/>
      <c r="E95" s="11"/>
    </row>
    <row r="96">
      <c r="B96" s="15"/>
      <c r="D96" s="11"/>
      <c r="E96" s="11"/>
    </row>
    <row r="97">
      <c r="B97" s="15"/>
      <c r="D97" s="11"/>
      <c r="E97" s="11"/>
    </row>
    <row r="98">
      <c r="B98" s="15"/>
      <c r="D98" s="11"/>
      <c r="E98" s="11"/>
    </row>
    <row r="99">
      <c r="B99" s="15"/>
      <c r="D99" s="11"/>
      <c r="E99" s="11"/>
    </row>
    <row r="100">
      <c r="B100" s="15"/>
      <c r="D100" s="11"/>
      <c r="E100" s="11"/>
    </row>
    <row r="101">
      <c r="B101" s="15"/>
      <c r="D101" s="11"/>
      <c r="E101" s="11"/>
    </row>
    <row r="102">
      <c r="B102" s="15"/>
      <c r="D102" s="11"/>
      <c r="E102" s="11"/>
    </row>
    <row r="103">
      <c r="B103" s="15"/>
      <c r="D103" s="11"/>
      <c r="E103" s="11"/>
    </row>
    <row r="104">
      <c r="B104" s="15"/>
      <c r="D104" s="11"/>
      <c r="E104" s="11"/>
    </row>
    <row r="105">
      <c r="B105" s="15"/>
      <c r="D105" s="11"/>
      <c r="E105" s="11"/>
    </row>
    <row r="106">
      <c r="B106" s="15"/>
      <c r="D106" s="11"/>
      <c r="E106" s="11"/>
    </row>
    <row r="107">
      <c r="B107" s="15"/>
      <c r="D107" s="11"/>
      <c r="E107" s="11"/>
    </row>
    <row r="108">
      <c r="B108" s="15"/>
      <c r="D108" s="11"/>
      <c r="E108" s="11"/>
    </row>
    <row r="109">
      <c r="B109" s="15"/>
      <c r="D109" s="11"/>
      <c r="E109" s="11"/>
    </row>
    <row r="110">
      <c r="B110" s="15"/>
      <c r="D110" s="11"/>
      <c r="E110" s="11"/>
    </row>
    <row r="111">
      <c r="B111" s="15"/>
      <c r="D111" s="11"/>
      <c r="E111" s="11"/>
    </row>
    <row r="112">
      <c r="B112" s="15"/>
      <c r="D112" s="11"/>
      <c r="E112" s="11"/>
    </row>
    <row r="113">
      <c r="B113" s="15"/>
      <c r="D113" s="11"/>
      <c r="E113" s="11"/>
    </row>
    <row r="114">
      <c r="B114" s="15"/>
      <c r="D114" s="11"/>
      <c r="E114" s="11"/>
    </row>
    <row r="115">
      <c r="B115" s="15"/>
      <c r="D115" s="11"/>
      <c r="E115" s="11"/>
    </row>
    <row r="116">
      <c r="B116" s="15"/>
      <c r="D116" s="11"/>
      <c r="E116" s="11"/>
    </row>
    <row r="117">
      <c r="B117" s="15"/>
      <c r="D117" s="11"/>
      <c r="E117" s="11"/>
    </row>
    <row r="118">
      <c r="B118" s="15"/>
      <c r="D118" s="11"/>
      <c r="E118" s="11"/>
    </row>
    <row r="119">
      <c r="B119" s="15"/>
      <c r="D119" s="11"/>
      <c r="E119" s="11"/>
    </row>
    <row r="120">
      <c r="B120" s="15"/>
      <c r="D120" s="11"/>
      <c r="E120" s="11"/>
    </row>
    <row r="121">
      <c r="B121" s="15"/>
      <c r="D121" s="11"/>
      <c r="E121" s="11"/>
    </row>
    <row r="122">
      <c r="B122" s="15"/>
      <c r="D122" s="11"/>
      <c r="E122" s="11"/>
    </row>
    <row r="123">
      <c r="B123" s="15"/>
      <c r="D123" s="11"/>
      <c r="E123" s="11"/>
    </row>
    <row r="124">
      <c r="B124" s="15"/>
      <c r="D124" s="11"/>
      <c r="E124" s="11"/>
    </row>
    <row r="125">
      <c r="B125" s="15"/>
      <c r="D125" s="11"/>
      <c r="E125" s="11"/>
    </row>
    <row r="126">
      <c r="B126" s="15"/>
      <c r="D126" s="11"/>
      <c r="E126" s="11"/>
    </row>
    <row r="127">
      <c r="B127" s="15"/>
      <c r="D127" s="11"/>
      <c r="E127" s="11"/>
    </row>
    <row r="128">
      <c r="B128" s="15"/>
      <c r="D128" s="11"/>
      <c r="E128" s="11"/>
    </row>
    <row r="129">
      <c r="B129" s="15"/>
      <c r="D129" s="11"/>
      <c r="E129" s="11"/>
    </row>
    <row r="130">
      <c r="B130" s="15"/>
      <c r="D130" s="11"/>
      <c r="E130" s="11"/>
    </row>
    <row r="131">
      <c r="B131" s="15"/>
      <c r="D131" s="11"/>
      <c r="E131" s="11"/>
    </row>
    <row r="132">
      <c r="B132" s="15"/>
      <c r="D132" s="11"/>
      <c r="E132" s="11"/>
    </row>
    <row r="133">
      <c r="B133" s="15"/>
      <c r="D133" s="11"/>
      <c r="E133" s="11"/>
    </row>
    <row r="134">
      <c r="B134" s="15"/>
      <c r="D134" s="11"/>
      <c r="E134" s="11"/>
    </row>
    <row r="135">
      <c r="B135" s="15"/>
      <c r="D135" s="11"/>
      <c r="E135" s="11"/>
    </row>
    <row r="136">
      <c r="B136" s="15"/>
      <c r="D136" s="11"/>
      <c r="E136" s="11"/>
    </row>
    <row r="137">
      <c r="B137" s="15"/>
      <c r="D137" s="11"/>
      <c r="E137" s="11"/>
    </row>
    <row r="138">
      <c r="B138" s="15"/>
      <c r="D138" s="11"/>
      <c r="E138" s="11"/>
    </row>
    <row r="139">
      <c r="B139" s="15"/>
      <c r="D139" s="11"/>
      <c r="E139" s="11"/>
    </row>
    <row r="140">
      <c r="B140" s="15"/>
      <c r="D140" s="11"/>
      <c r="E140" s="11"/>
    </row>
    <row r="141">
      <c r="B141" s="15"/>
      <c r="D141" s="11"/>
      <c r="E141" s="11"/>
    </row>
    <row r="142">
      <c r="B142" s="15"/>
      <c r="D142" s="11"/>
      <c r="E142" s="11"/>
    </row>
    <row r="143">
      <c r="B143" s="15"/>
      <c r="D143" s="11"/>
      <c r="E143" s="11"/>
    </row>
    <row r="144">
      <c r="B144" s="15"/>
      <c r="D144" s="11"/>
      <c r="E144" s="11"/>
    </row>
    <row r="145">
      <c r="B145" s="15"/>
      <c r="D145" s="11"/>
      <c r="E145" s="11"/>
    </row>
    <row r="146">
      <c r="B146" s="15"/>
      <c r="D146" s="11"/>
      <c r="E146" s="11"/>
    </row>
    <row r="147">
      <c r="B147" s="15"/>
      <c r="D147" s="11"/>
      <c r="E147" s="11"/>
    </row>
    <row r="148">
      <c r="B148" s="15"/>
      <c r="D148" s="11"/>
      <c r="E148" s="11"/>
    </row>
    <row r="149">
      <c r="B149" s="15"/>
      <c r="D149" s="11"/>
      <c r="E149" s="11"/>
    </row>
    <row r="150">
      <c r="B150" s="15"/>
      <c r="D150" s="11"/>
      <c r="E150" s="11"/>
    </row>
    <row r="151">
      <c r="B151" s="15"/>
      <c r="D151" s="11"/>
      <c r="E151" s="11"/>
    </row>
    <row r="152">
      <c r="B152" s="15"/>
      <c r="D152" s="11"/>
      <c r="E152" s="11"/>
    </row>
    <row r="153">
      <c r="B153" s="15"/>
      <c r="D153" s="11"/>
      <c r="E153" s="11"/>
    </row>
    <row r="154">
      <c r="B154" s="15"/>
      <c r="D154" s="11"/>
      <c r="E154" s="11"/>
    </row>
    <row r="155">
      <c r="B155" s="15"/>
      <c r="D155" s="11"/>
      <c r="E155" s="11"/>
    </row>
    <row r="156">
      <c r="B156" s="15"/>
      <c r="D156" s="11"/>
      <c r="E156" s="11"/>
    </row>
    <row r="157">
      <c r="B157" s="15"/>
      <c r="D157" s="11"/>
      <c r="E157" s="11"/>
    </row>
    <row r="158">
      <c r="B158" s="15"/>
      <c r="D158" s="11"/>
      <c r="E158" s="11"/>
    </row>
    <row r="159">
      <c r="B159" s="15"/>
      <c r="D159" s="11"/>
      <c r="E159" s="11"/>
    </row>
    <row r="160">
      <c r="B160" s="15"/>
      <c r="D160" s="11"/>
      <c r="E160" s="11"/>
    </row>
    <row r="161">
      <c r="B161" s="15"/>
      <c r="D161" s="11"/>
      <c r="E161" s="11"/>
    </row>
    <row r="162">
      <c r="B162" s="15"/>
      <c r="D162" s="11"/>
      <c r="E162" s="11"/>
    </row>
    <row r="163">
      <c r="B163" s="15"/>
      <c r="D163" s="11"/>
      <c r="E163" s="11"/>
    </row>
    <row r="164">
      <c r="B164" s="15"/>
      <c r="D164" s="11"/>
      <c r="E164" s="11"/>
    </row>
    <row r="165">
      <c r="B165" s="15"/>
      <c r="D165" s="11"/>
      <c r="E165" s="11"/>
    </row>
    <row r="166">
      <c r="B166" s="15"/>
      <c r="D166" s="11"/>
      <c r="E166" s="11"/>
    </row>
    <row r="167">
      <c r="B167" s="15"/>
      <c r="D167" s="11"/>
      <c r="E167" s="11"/>
    </row>
    <row r="168">
      <c r="B168" s="15"/>
      <c r="D168" s="11"/>
      <c r="E168" s="11"/>
    </row>
    <row r="169">
      <c r="B169" s="15"/>
      <c r="D169" s="11"/>
      <c r="E169" s="11"/>
    </row>
    <row r="170">
      <c r="B170" s="15"/>
      <c r="D170" s="11"/>
      <c r="E170" s="11"/>
    </row>
    <row r="171">
      <c r="B171" s="15"/>
      <c r="D171" s="11"/>
      <c r="E171" s="11"/>
    </row>
    <row r="172">
      <c r="B172" s="15"/>
      <c r="D172" s="11"/>
      <c r="E172" s="11"/>
    </row>
    <row r="173">
      <c r="B173" s="15"/>
      <c r="D173" s="11"/>
      <c r="E173" s="11"/>
    </row>
    <row r="174">
      <c r="B174" s="15"/>
      <c r="D174" s="11"/>
      <c r="E174" s="11"/>
    </row>
    <row r="175">
      <c r="B175" s="15"/>
      <c r="D175" s="11"/>
      <c r="E175" s="11"/>
    </row>
    <row r="176">
      <c r="B176" s="15"/>
      <c r="D176" s="11"/>
      <c r="E176" s="11"/>
    </row>
    <row r="177">
      <c r="B177" s="15"/>
      <c r="D177" s="11"/>
      <c r="E177" s="11"/>
    </row>
    <row r="178">
      <c r="B178" s="15"/>
      <c r="D178" s="11"/>
      <c r="E178" s="11"/>
    </row>
    <row r="179">
      <c r="B179" s="15"/>
      <c r="D179" s="11"/>
      <c r="E179" s="11"/>
    </row>
    <row r="180">
      <c r="B180" s="15"/>
      <c r="D180" s="11"/>
      <c r="E180" s="11"/>
    </row>
    <row r="181">
      <c r="B181" s="15"/>
      <c r="D181" s="11"/>
      <c r="E181" s="11"/>
    </row>
    <row r="182">
      <c r="B182" s="15"/>
      <c r="D182" s="11"/>
      <c r="E182" s="11"/>
    </row>
    <row r="183">
      <c r="B183" s="15"/>
      <c r="D183" s="11"/>
      <c r="E183" s="11"/>
    </row>
    <row r="184">
      <c r="B184" s="15"/>
      <c r="D184" s="11"/>
      <c r="E184" s="11"/>
    </row>
    <row r="185">
      <c r="B185" s="15"/>
      <c r="D185" s="11"/>
      <c r="E185" s="11"/>
    </row>
    <row r="186">
      <c r="B186" s="15"/>
      <c r="D186" s="11"/>
      <c r="E186" s="11"/>
    </row>
    <row r="187">
      <c r="B187" s="15"/>
      <c r="D187" s="11"/>
      <c r="E187" s="11"/>
    </row>
    <row r="188">
      <c r="B188" s="15"/>
      <c r="D188" s="11"/>
      <c r="E188" s="11"/>
    </row>
    <row r="189">
      <c r="B189" s="15"/>
      <c r="D189" s="11"/>
      <c r="E189" s="11"/>
    </row>
    <row r="190">
      <c r="B190" s="15"/>
      <c r="D190" s="11"/>
      <c r="E190" s="11"/>
    </row>
    <row r="191">
      <c r="B191" s="15"/>
      <c r="D191" s="11"/>
      <c r="E191" s="11"/>
    </row>
    <row r="192">
      <c r="B192" s="15"/>
      <c r="D192" s="11"/>
      <c r="E192" s="11"/>
    </row>
    <row r="193">
      <c r="B193" s="15"/>
      <c r="D193" s="11"/>
      <c r="E193" s="11"/>
    </row>
    <row r="194">
      <c r="B194" s="15"/>
      <c r="D194" s="11"/>
      <c r="E194" s="11"/>
    </row>
    <row r="195">
      <c r="B195" s="15"/>
      <c r="D195" s="11"/>
      <c r="E195" s="11"/>
    </row>
    <row r="196">
      <c r="B196" s="15"/>
      <c r="D196" s="11"/>
      <c r="E196" s="11"/>
    </row>
    <row r="197">
      <c r="B197" s="15"/>
      <c r="D197" s="11"/>
      <c r="E197" s="11"/>
    </row>
    <row r="198">
      <c r="B198" s="15"/>
      <c r="D198" s="11"/>
      <c r="E198" s="11"/>
    </row>
    <row r="199">
      <c r="D199" s="11"/>
      <c r="E199" s="11"/>
    </row>
    <row r="200">
      <c r="D200" s="11"/>
      <c r="E200" s="11"/>
    </row>
    <row r="201">
      <c r="D201" s="11"/>
      <c r="E201" s="11"/>
    </row>
    <row r="202">
      <c r="D202" s="11"/>
      <c r="E202" s="11"/>
    </row>
    <row r="203">
      <c r="D203" s="11"/>
      <c r="E203" s="11"/>
    </row>
    <row r="204">
      <c r="D204" s="11"/>
      <c r="E204" s="11"/>
    </row>
    <row r="205">
      <c r="D205" s="11"/>
      <c r="E205" s="11"/>
    </row>
    <row r="206">
      <c r="D206" s="11"/>
      <c r="E206" s="11"/>
    </row>
    <row r="207">
      <c r="D207" s="11"/>
      <c r="E207" s="11"/>
    </row>
    <row r="208">
      <c r="D208" s="11"/>
      <c r="E208" s="11"/>
    </row>
    <row r="209">
      <c r="D209" s="11"/>
      <c r="E209" s="11"/>
    </row>
    <row r="210">
      <c r="D210" s="11"/>
      <c r="E210" s="11"/>
    </row>
    <row r="211">
      <c r="D211" s="11"/>
      <c r="E211" s="11"/>
    </row>
    <row r="212">
      <c r="D212" s="11"/>
      <c r="E212" s="11"/>
    </row>
    <row r="213">
      <c r="D213" s="11"/>
      <c r="E213" s="11"/>
    </row>
    <row r="214">
      <c r="D214" s="11"/>
      <c r="E214" s="11"/>
    </row>
    <row r="215">
      <c r="D215" s="11"/>
      <c r="E215" s="11"/>
    </row>
    <row r="216">
      <c r="D216" s="11"/>
      <c r="E216" s="11"/>
    </row>
    <row r="217">
      <c r="D217" s="11"/>
      <c r="E217" s="11"/>
    </row>
    <row r="218">
      <c r="D218" s="11"/>
      <c r="E218" s="11"/>
    </row>
    <row r="219">
      <c r="D219" s="11"/>
      <c r="E219" s="11"/>
    </row>
    <row r="220">
      <c r="D220" s="11"/>
      <c r="E220" s="11"/>
    </row>
    <row r="221">
      <c r="D221" s="11"/>
      <c r="E221" s="11"/>
    </row>
    <row r="222">
      <c r="D222" s="11"/>
      <c r="E222" s="11"/>
    </row>
    <row r="223">
      <c r="D223" s="11"/>
      <c r="E223" s="11"/>
    </row>
    <row r="224">
      <c r="D224" s="11"/>
      <c r="E224" s="11"/>
    </row>
    <row r="225">
      <c r="D225" s="11"/>
      <c r="E225" s="11"/>
    </row>
    <row r="226">
      <c r="D226" s="11"/>
      <c r="E226" s="11"/>
    </row>
    <row r="227">
      <c r="D227" s="11"/>
      <c r="E227" s="11"/>
    </row>
    <row r="228">
      <c r="D228" s="11"/>
      <c r="E228" s="11"/>
    </row>
    <row r="229">
      <c r="D229" s="11"/>
      <c r="E229" s="11"/>
    </row>
    <row r="230">
      <c r="D230" s="11"/>
      <c r="E230" s="11"/>
    </row>
    <row r="231">
      <c r="D231" s="11"/>
      <c r="E231" s="11"/>
    </row>
    <row r="232">
      <c r="D232" s="11"/>
      <c r="E232" s="11"/>
    </row>
    <row r="233">
      <c r="D233" s="11"/>
      <c r="E233" s="11"/>
    </row>
    <row r="234">
      <c r="D234" s="11"/>
      <c r="E234" s="11"/>
    </row>
    <row r="235">
      <c r="D235" s="11"/>
      <c r="E235" s="11"/>
    </row>
    <row r="236">
      <c r="D236" s="11"/>
      <c r="E236" s="11"/>
    </row>
    <row r="237">
      <c r="D237" s="11"/>
      <c r="E237" s="11"/>
    </row>
    <row r="238">
      <c r="D238" s="11"/>
      <c r="E238" s="11"/>
    </row>
    <row r="239">
      <c r="D239" s="11"/>
      <c r="E239" s="11"/>
    </row>
    <row r="240">
      <c r="D240" s="11"/>
      <c r="E240" s="11"/>
    </row>
    <row r="241">
      <c r="D241" s="11"/>
      <c r="E241" s="11"/>
    </row>
    <row r="242">
      <c r="D242" s="11"/>
      <c r="E242" s="11"/>
    </row>
    <row r="243">
      <c r="D243" s="11"/>
      <c r="E243" s="11"/>
    </row>
    <row r="244">
      <c r="D244" s="11"/>
      <c r="E244" s="11"/>
    </row>
    <row r="245">
      <c r="D245" s="11"/>
      <c r="E245" s="11"/>
    </row>
    <row r="246">
      <c r="D246" s="11"/>
      <c r="E246" s="11"/>
    </row>
    <row r="247">
      <c r="D247" s="11"/>
      <c r="E247" s="11"/>
    </row>
    <row r="248">
      <c r="D248" s="11"/>
      <c r="E248" s="11"/>
    </row>
    <row r="249">
      <c r="D249" s="11"/>
      <c r="E249" s="11"/>
    </row>
    <row r="250">
      <c r="D250" s="11"/>
      <c r="E250" s="11"/>
    </row>
    <row r="251">
      <c r="D251" s="11"/>
      <c r="E251" s="11"/>
    </row>
    <row r="252">
      <c r="D252" s="11"/>
      <c r="E252" s="11"/>
    </row>
    <row r="253">
      <c r="D253" s="11"/>
      <c r="E253" s="11"/>
    </row>
    <row r="254">
      <c r="D254" s="11"/>
      <c r="E254" s="11"/>
    </row>
    <row r="255">
      <c r="D255" s="11"/>
      <c r="E255" s="11"/>
    </row>
    <row r="256">
      <c r="D256" s="11"/>
      <c r="E256" s="11"/>
    </row>
    <row r="257">
      <c r="D257" s="11"/>
      <c r="E257" s="11"/>
    </row>
    <row r="258">
      <c r="D258" s="11"/>
      <c r="E258" s="11"/>
    </row>
    <row r="259">
      <c r="D259" s="11"/>
      <c r="E259" s="11"/>
    </row>
    <row r="260">
      <c r="D260" s="11"/>
      <c r="E260" s="11"/>
    </row>
    <row r="261">
      <c r="D261" s="11"/>
      <c r="E261" s="11"/>
    </row>
    <row r="262">
      <c r="D262" s="11"/>
      <c r="E262" s="11"/>
    </row>
    <row r="263">
      <c r="D263" s="11"/>
      <c r="E263" s="11"/>
    </row>
    <row r="264">
      <c r="D264" s="11"/>
      <c r="E264" s="11"/>
    </row>
    <row r="265">
      <c r="D265" s="11"/>
      <c r="E265" s="11"/>
    </row>
    <row r="266">
      <c r="D266" s="11"/>
      <c r="E266" s="11"/>
    </row>
    <row r="267">
      <c r="D267" s="11"/>
      <c r="E267" s="11"/>
    </row>
    <row r="268">
      <c r="D268" s="11"/>
      <c r="E268" s="11"/>
    </row>
    <row r="269">
      <c r="D269" s="11"/>
      <c r="E269" s="11"/>
    </row>
    <row r="270">
      <c r="D270" s="11"/>
      <c r="E270" s="11"/>
    </row>
    <row r="271">
      <c r="D271" s="11"/>
      <c r="E271" s="11"/>
    </row>
    <row r="272">
      <c r="D272" s="11"/>
      <c r="E272" s="11"/>
    </row>
    <row r="273">
      <c r="D273" s="11"/>
      <c r="E273" s="11"/>
    </row>
    <row r="274">
      <c r="D274" s="11"/>
      <c r="E274" s="11"/>
    </row>
    <row r="275">
      <c r="D275" s="11"/>
      <c r="E275" s="11"/>
    </row>
    <row r="276">
      <c r="D276" s="11"/>
      <c r="E276" s="11"/>
    </row>
    <row r="277">
      <c r="D277" s="11"/>
      <c r="E277" s="11"/>
    </row>
    <row r="278">
      <c r="D278" s="11"/>
      <c r="E278" s="11"/>
    </row>
    <row r="279">
      <c r="D279" s="11"/>
      <c r="E279" s="11"/>
    </row>
    <row r="280">
      <c r="D280" s="11"/>
      <c r="E280" s="11"/>
    </row>
    <row r="281">
      <c r="D281" s="11"/>
      <c r="E281" s="11"/>
    </row>
    <row r="282">
      <c r="D282" s="11"/>
      <c r="E282" s="11"/>
    </row>
    <row r="283">
      <c r="D283" s="11"/>
      <c r="E283" s="11"/>
    </row>
    <row r="284">
      <c r="D284" s="11"/>
      <c r="E284" s="11"/>
    </row>
    <row r="285">
      <c r="D285" s="11"/>
      <c r="E285" s="11"/>
    </row>
    <row r="286">
      <c r="D286" s="11"/>
      <c r="E286" s="11"/>
    </row>
    <row r="287">
      <c r="D287" s="11"/>
      <c r="E287" s="11"/>
    </row>
    <row r="288">
      <c r="D288" s="11"/>
      <c r="E288" s="11"/>
    </row>
    <row r="289">
      <c r="D289" s="11"/>
      <c r="E289" s="11"/>
    </row>
    <row r="290">
      <c r="D290" s="11"/>
      <c r="E290" s="11"/>
    </row>
    <row r="291">
      <c r="D291" s="11"/>
      <c r="E291" s="11"/>
    </row>
    <row r="292">
      <c r="D292" s="11"/>
      <c r="E292" s="11"/>
    </row>
    <row r="293">
      <c r="D293" s="11"/>
      <c r="E293" s="11"/>
    </row>
    <row r="294">
      <c r="D294" s="11"/>
      <c r="E294" s="11"/>
    </row>
    <row r="295">
      <c r="D295" s="11"/>
      <c r="E295" s="11"/>
    </row>
    <row r="296">
      <c r="D296" s="11"/>
      <c r="E296" s="11"/>
    </row>
    <row r="297">
      <c r="D297" s="11"/>
      <c r="E297" s="11"/>
    </row>
    <row r="298">
      <c r="D298" s="11"/>
      <c r="E298" s="11"/>
    </row>
    <row r="299">
      <c r="D299" s="11"/>
      <c r="E299" s="11"/>
    </row>
    <row r="300">
      <c r="D300" s="11"/>
      <c r="E300" s="11"/>
    </row>
    <row r="301">
      <c r="D301" s="11"/>
      <c r="E301" s="11"/>
    </row>
    <row r="302">
      <c r="D302" s="11"/>
      <c r="E302" s="11"/>
    </row>
    <row r="303">
      <c r="D303" s="11"/>
      <c r="E303" s="11"/>
    </row>
    <row r="304">
      <c r="D304" s="11"/>
      <c r="E304" s="11"/>
    </row>
    <row r="305">
      <c r="D305" s="11"/>
      <c r="E305" s="11"/>
    </row>
    <row r="306">
      <c r="D306" s="11"/>
      <c r="E306" s="11"/>
    </row>
    <row r="307">
      <c r="D307" s="11"/>
      <c r="E307" s="11"/>
    </row>
    <row r="308">
      <c r="D308" s="11"/>
      <c r="E308" s="11"/>
    </row>
    <row r="309">
      <c r="D309" s="11"/>
      <c r="E309" s="11"/>
    </row>
    <row r="310">
      <c r="D310" s="11"/>
      <c r="E310" s="11"/>
    </row>
    <row r="311">
      <c r="D311" s="11"/>
      <c r="E311" s="11"/>
    </row>
    <row r="312">
      <c r="D312" s="11"/>
      <c r="E312" s="11"/>
    </row>
    <row r="313">
      <c r="D313" s="11"/>
      <c r="E313" s="11"/>
    </row>
    <row r="314">
      <c r="D314" s="11"/>
      <c r="E314" s="11"/>
    </row>
    <row r="315">
      <c r="D315" s="11"/>
      <c r="E315" s="11"/>
    </row>
    <row r="316">
      <c r="D316" s="11"/>
      <c r="E316" s="11"/>
    </row>
    <row r="317">
      <c r="D317" s="11"/>
      <c r="E317" s="11"/>
    </row>
    <row r="318">
      <c r="D318" s="11"/>
      <c r="E318" s="11"/>
    </row>
    <row r="319">
      <c r="D319" s="11"/>
      <c r="E319" s="11"/>
    </row>
    <row r="320">
      <c r="D320" s="11"/>
      <c r="E320" s="11"/>
    </row>
    <row r="321">
      <c r="D321" s="11"/>
      <c r="E321" s="11"/>
    </row>
    <row r="322">
      <c r="D322" s="11"/>
      <c r="E322" s="11"/>
    </row>
    <row r="323">
      <c r="D323" s="11"/>
      <c r="E323" s="11"/>
    </row>
    <row r="324">
      <c r="D324" s="11"/>
      <c r="E324" s="11"/>
    </row>
    <row r="325">
      <c r="D325" s="11"/>
      <c r="E325" s="11"/>
    </row>
    <row r="326">
      <c r="D326" s="11"/>
      <c r="E326" s="11"/>
    </row>
    <row r="327">
      <c r="D327" s="11"/>
      <c r="E327" s="11"/>
    </row>
    <row r="328">
      <c r="D328" s="11"/>
      <c r="E328" s="11"/>
    </row>
    <row r="329">
      <c r="D329" s="11"/>
      <c r="E329" s="11"/>
    </row>
    <row r="330">
      <c r="D330" s="11"/>
      <c r="E330" s="11"/>
    </row>
    <row r="331">
      <c r="D331" s="11"/>
      <c r="E331" s="11"/>
    </row>
    <row r="332">
      <c r="D332" s="11"/>
      <c r="E332" s="11"/>
    </row>
    <row r="333">
      <c r="D333" s="11"/>
      <c r="E333" s="11"/>
    </row>
    <row r="334">
      <c r="D334" s="11"/>
      <c r="E334" s="11"/>
    </row>
    <row r="335">
      <c r="D335" s="11"/>
      <c r="E335" s="11"/>
    </row>
    <row r="336">
      <c r="D336" s="11"/>
      <c r="E336" s="11"/>
    </row>
    <row r="337">
      <c r="D337" s="11"/>
      <c r="E337" s="11"/>
    </row>
    <row r="338">
      <c r="D338" s="11"/>
      <c r="E338" s="11"/>
    </row>
    <row r="339">
      <c r="D339" s="11"/>
      <c r="E339" s="11"/>
    </row>
    <row r="340">
      <c r="D340" s="11"/>
      <c r="E340" s="11"/>
    </row>
    <row r="341">
      <c r="D341" s="11"/>
      <c r="E341" s="11"/>
    </row>
    <row r="342">
      <c r="D342" s="11"/>
      <c r="E342" s="11"/>
    </row>
    <row r="343">
      <c r="D343" s="11"/>
      <c r="E343" s="11"/>
    </row>
    <row r="344">
      <c r="D344" s="11"/>
      <c r="E344" s="11"/>
    </row>
    <row r="345">
      <c r="D345" s="11"/>
      <c r="E345" s="11"/>
    </row>
    <row r="346">
      <c r="D346" s="11"/>
      <c r="E346" s="11"/>
    </row>
    <row r="347">
      <c r="D347" s="11"/>
      <c r="E347" s="11"/>
    </row>
    <row r="348">
      <c r="D348" s="11"/>
      <c r="E348" s="11"/>
    </row>
    <row r="349">
      <c r="D349" s="11"/>
      <c r="E349" s="11"/>
    </row>
    <row r="350">
      <c r="D350" s="11"/>
      <c r="E350" s="11"/>
    </row>
    <row r="351">
      <c r="D351" s="11"/>
      <c r="E351" s="11"/>
    </row>
    <row r="352">
      <c r="D352" s="11"/>
      <c r="E352" s="11"/>
    </row>
    <row r="353">
      <c r="D353" s="11"/>
      <c r="E353" s="11"/>
    </row>
    <row r="354">
      <c r="D354" s="11"/>
      <c r="E354" s="11"/>
    </row>
    <row r="355">
      <c r="D355" s="11"/>
      <c r="E355" s="11"/>
    </row>
    <row r="356">
      <c r="D356" s="11"/>
      <c r="E356" s="11"/>
    </row>
    <row r="357">
      <c r="D357" s="11"/>
      <c r="E357" s="11"/>
    </row>
    <row r="358">
      <c r="D358" s="11"/>
      <c r="E358" s="11"/>
    </row>
    <row r="359">
      <c r="D359" s="11"/>
      <c r="E359" s="11"/>
    </row>
    <row r="360">
      <c r="D360" s="11"/>
      <c r="E360" s="11"/>
    </row>
    <row r="361">
      <c r="D361" s="11"/>
      <c r="E361" s="11"/>
    </row>
    <row r="362">
      <c r="D362" s="11"/>
      <c r="E362" s="11"/>
    </row>
    <row r="363">
      <c r="D363" s="11"/>
      <c r="E363" s="11"/>
    </row>
    <row r="364">
      <c r="D364" s="11"/>
      <c r="E364" s="11"/>
    </row>
    <row r="365">
      <c r="D365" s="11"/>
      <c r="E365" s="11"/>
    </row>
    <row r="366">
      <c r="D366" s="11"/>
      <c r="E366" s="11"/>
    </row>
    <row r="367">
      <c r="D367" s="11"/>
      <c r="E367" s="11"/>
    </row>
    <row r="368">
      <c r="D368" s="11"/>
      <c r="E368" s="11"/>
    </row>
    <row r="369">
      <c r="D369" s="11"/>
      <c r="E369" s="11"/>
    </row>
    <row r="370">
      <c r="D370" s="11"/>
      <c r="E370" s="11"/>
    </row>
    <row r="371">
      <c r="D371" s="11"/>
      <c r="E371" s="11"/>
    </row>
    <row r="372">
      <c r="D372" s="11"/>
      <c r="E372" s="11"/>
    </row>
    <row r="373">
      <c r="D373" s="11"/>
      <c r="E373" s="11"/>
    </row>
    <row r="374">
      <c r="D374" s="11"/>
      <c r="E374" s="11"/>
    </row>
    <row r="375">
      <c r="D375" s="11"/>
      <c r="E375" s="11"/>
    </row>
    <row r="376">
      <c r="D376" s="11"/>
      <c r="E376" s="11"/>
    </row>
    <row r="377">
      <c r="D377" s="11"/>
      <c r="E377" s="11"/>
    </row>
    <row r="378">
      <c r="D378" s="11"/>
      <c r="E378" s="11"/>
    </row>
    <row r="379">
      <c r="D379" s="11"/>
      <c r="E379" s="11"/>
    </row>
    <row r="380">
      <c r="D380" s="11"/>
      <c r="E380" s="11"/>
    </row>
    <row r="381">
      <c r="D381" s="11"/>
      <c r="E381" s="11"/>
    </row>
    <row r="382">
      <c r="D382" s="11"/>
      <c r="E382" s="11"/>
    </row>
    <row r="383">
      <c r="D383" s="11"/>
      <c r="E383" s="11"/>
    </row>
    <row r="384">
      <c r="D384" s="11"/>
      <c r="E384" s="11"/>
    </row>
    <row r="385">
      <c r="D385" s="11"/>
      <c r="E385" s="11"/>
    </row>
    <row r="386">
      <c r="D386" s="11"/>
      <c r="E386" s="11"/>
    </row>
    <row r="387">
      <c r="D387" s="11"/>
      <c r="E387" s="11"/>
    </row>
    <row r="388">
      <c r="D388" s="11"/>
      <c r="E388" s="11"/>
    </row>
    <row r="389">
      <c r="D389" s="11"/>
      <c r="E389" s="11"/>
    </row>
    <row r="390">
      <c r="D390" s="11"/>
      <c r="E390" s="11"/>
    </row>
    <row r="391">
      <c r="D391" s="11"/>
      <c r="E391" s="11"/>
    </row>
    <row r="392">
      <c r="D392" s="11"/>
      <c r="E392" s="11"/>
    </row>
    <row r="393">
      <c r="D393" s="11"/>
      <c r="E393" s="11"/>
    </row>
    <row r="394">
      <c r="D394" s="11"/>
      <c r="E394" s="11"/>
    </row>
    <row r="395">
      <c r="D395" s="11"/>
      <c r="E395" s="11"/>
    </row>
    <row r="396">
      <c r="D396" s="11"/>
      <c r="E396" s="11"/>
    </row>
    <row r="397">
      <c r="D397" s="11"/>
      <c r="E397" s="11"/>
    </row>
    <row r="398">
      <c r="D398" s="11"/>
      <c r="E398" s="11"/>
    </row>
    <row r="399">
      <c r="D399" s="11"/>
      <c r="E399" s="11"/>
    </row>
    <row r="400">
      <c r="D400" s="11"/>
      <c r="E400" s="11"/>
    </row>
    <row r="401">
      <c r="D401" s="11"/>
      <c r="E401" s="11"/>
    </row>
    <row r="402">
      <c r="D402" s="11"/>
      <c r="E402" s="11"/>
    </row>
    <row r="403">
      <c r="D403" s="11"/>
      <c r="E403" s="11"/>
    </row>
    <row r="404">
      <c r="D404" s="11"/>
      <c r="E404" s="11"/>
    </row>
    <row r="405">
      <c r="D405" s="11"/>
      <c r="E405" s="11"/>
    </row>
    <row r="406">
      <c r="D406" s="11"/>
      <c r="E406" s="11"/>
    </row>
    <row r="407">
      <c r="D407" s="11"/>
      <c r="E407" s="11"/>
    </row>
    <row r="408">
      <c r="D408" s="11"/>
      <c r="E408" s="11"/>
    </row>
    <row r="409">
      <c r="D409" s="11"/>
      <c r="E409" s="11"/>
    </row>
    <row r="410">
      <c r="D410" s="11"/>
      <c r="E410" s="11"/>
    </row>
    <row r="411">
      <c r="D411" s="11"/>
      <c r="E411" s="11"/>
    </row>
    <row r="412">
      <c r="D412" s="11"/>
      <c r="E412" s="11"/>
    </row>
    <row r="413">
      <c r="D413" s="11"/>
      <c r="E413" s="11"/>
    </row>
    <row r="414">
      <c r="D414" s="11"/>
      <c r="E414" s="11"/>
    </row>
    <row r="415">
      <c r="D415" s="11"/>
      <c r="E415" s="11"/>
    </row>
    <row r="416">
      <c r="D416" s="11"/>
      <c r="E416" s="11"/>
    </row>
    <row r="417">
      <c r="D417" s="11"/>
      <c r="E417" s="11"/>
    </row>
    <row r="418">
      <c r="D418" s="11"/>
      <c r="E418" s="11"/>
    </row>
    <row r="419">
      <c r="D419" s="11"/>
      <c r="E419" s="11"/>
    </row>
    <row r="420">
      <c r="D420" s="11"/>
      <c r="E420" s="11"/>
    </row>
    <row r="421">
      <c r="D421" s="11"/>
      <c r="E421" s="11"/>
    </row>
    <row r="422">
      <c r="D422" s="11"/>
      <c r="E422" s="11"/>
    </row>
    <row r="423">
      <c r="D423" s="11"/>
      <c r="E423" s="11"/>
    </row>
    <row r="424">
      <c r="D424" s="11"/>
      <c r="E424" s="11"/>
    </row>
    <row r="425">
      <c r="D425" s="11"/>
      <c r="E425" s="11"/>
    </row>
    <row r="426">
      <c r="D426" s="11"/>
      <c r="E426" s="11"/>
    </row>
    <row r="427">
      <c r="D427" s="11"/>
      <c r="E427" s="11"/>
    </row>
    <row r="428">
      <c r="D428" s="11"/>
      <c r="E428" s="11"/>
    </row>
    <row r="429">
      <c r="D429" s="11"/>
      <c r="E429" s="11"/>
    </row>
    <row r="430">
      <c r="D430" s="11"/>
      <c r="E430" s="11"/>
    </row>
    <row r="431">
      <c r="D431" s="11"/>
      <c r="E431" s="11"/>
    </row>
    <row r="432">
      <c r="D432" s="11"/>
      <c r="E432" s="11"/>
    </row>
    <row r="433">
      <c r="D433" s="11"/>
      <c r="E433" s="11"/>
    </row>
    <row r="434">
      <c r="D434" s="11"/>
      <c r="E434" s="11"/>
    </row>
    <row r="435">
      <c r="D435" s="11"/>
      <c r="E435" s="11"/>
    </row>
    <row r="436">
      <c r="D436" s="11"/>
      <c r="E436" s="11"/>
    </row>
    <row r="437">
      <c r="D437" s="11"/>
      <c r="E437" s="11"/>
    </row>
    <row r="438">
      <c r="D438" s="11"/>
      <c r="E438" s="11"/>
    </row>
    <row r="439">
      <c r="D439" s="11"/>
      <c r="E439" s="11"/>
    </row>
    <row r="440">
      <c r="D440" s="11"/>
      <c r="E440" s="11"/>
    </row>
    <row r="441">
      <c r="D441" s="11"/>
      <c r="E441" s="11"/>
    </row>
    <row r="442">
      <c r="D442" s="11"/>
      <c r="E442" s="11"/>
    </row>
    <row r="443">
      <c r="D443" s="11"/>
      <c r="E443" s="11"/>
    </row>
    <row r="444">
      <c r="D444" s="11"/>
      <c r="E444" s="11"/>
    </row>
    <row r="445">
      <c r="D445" s="11"/>
      <c r="E445" s="11"/>
    </row>
    <row r="446">
      <c r="D446" s="11"/>
      <c r="E446" s="11"/>
    </row>
    <row r="447">
      <c r="D447" s="11"/>
      <c r="E447" s="11"/>
    </row>
    <row r="448">
      <c r="D448" s="11"/>
      <c r="E448" s="11"/>
    </row>
    <row r="449">
      <c r="D449" s="11"/>
      <c r="E449" s="11"/>
    </row>
    <row r="450">
      <c r="D450" s="11"/>
      <c r="E450" s="11"/>
    </row>
    <row r="451">
      <c r="D451" s="11"/>
      <c r="E451" s="11"/>
    </row>
    <row r="452">
      <c r="D452" s="11"/>
      <c r="E452" s="11"/>
    </row>
    <row r="453">
      <c r="D453" s="11"/>
      <c r="E453" s="11"/>
    </row>
    <row r="454">
      <c r="D454" s="11"/>
      <c r="E454" s="11"/>
    </row>
    <row r="455">
      <c r="D455" s="11"/>
      <c r="E455" s="11"/>
    </row>
    <row r="456">
      <c r="D456" s="11"/>
      <c r="E456" s="11"/>
    </row>
    <row r="457">
      <c r="D457" s="11"/>
      <c r="E457" s="11"/>
    </row>
    <row r="458">
      <c r="D458" s="11"/>
      <c r="E458" s="11"/>
    </row>
    <row r="459">
      <c r="D459" s="11"/>
      <c r="E459" s="11"/>
    </row>
    <row r="460">
      <c r="D460" s="11"/>
      <c r="E460" s="11"/>
    </row>
    <row r="461">
      <c r="D461" s="11"/>
      <c r="E461" s="11"/>
    </row>
    <row r="462">
      <c r="D462" s="11"/>
      <c r="E462" s="11"/>
    </row>
    <row r="463">
      <c r="D463" s="11"/>
      <c r="E463" s="11"/>
    </row>
    <row r="464">
      <c r="D464" s="11"/>
      <c r="E464" s="11"/>
    </row>
    <row r="465">
      <c r="D465" s="11"/>
      <c r="E465" s="11"/>
    </row>
    <row r="466">
      <c r="D466" s="11"/>
      <c r="E466" s="11"/>
    </row>
    <row r="467">
      <c r="D467" s="11"/>
      <c r="E467" s="11"/>
    </row>
    <row r="468">
      <c r="D468" s="11"/>
      <c r="E468" s="11"/>
    </row>
    <row r="469">
      <c r="D469" s="11"/>
      <c r="E469" s="11"/>
    </row>
    <row r="470">
      <c r="D470" s="11"/>
      <c r="E470" s="11"/>
    </row>
    <row r="471">
      <c r="D471" s="11"/>
      <c r="E471" s="11"/>
    </row>
    <row r="472">
      <c r="D472" s="11"/>
      <c r="E472" s="11"/>
    </row>
    <row r="473">
      <c r="D473" s="11"/>
      <c r="E473" s="11"/>
    </row>
    <row r="474">
      <c r="D474" s="11"/>
      <c r="E474" s="11"/>
    </row>
    <row r="475">
      <c r="D475" s="11"/>
      <c r="E475" s="11"/>
    </row>
    <row r="476">
      <c r="D476" s="11"/>
      <c r="E476" s="11"/>
    </row>
    <row r="477">
      <c r="D477" s="11"/>
      <c r="E477" s="11"/>
    </row>
    <row r="478">
      <c r="D478" s="11"/>
      <c r="E478" s="11"/>
    </row>
    <row r="479">
      <c r="D479" s="11"/>
      <c r="E479" s="11"/>
    </row>
    <row r="480">
      <c r="D480" s="11"/>
      <c r="E480" s="11"/>
    </row>
    <row r="481">
      <c r="D481" s="11"/>
      <c r="E481" s="11"/>
    </row>
    <row r="482">
      <c r="D482" s="11"/>
      <c r="E482" s="11"/>
    </row>
    <row r="483">
      <c r="D483" s="11"/>
      <c r="E483" s="11"/>
    </row>
    <row r="484">
      <c r="D484" s="11"/>
      <c r="E484" s="11"/>
    </row>
    <row r="485">
      <c r="D485" s="11"/>
      <c r="E485" s="11"/>
    </row>
    <row r="486">
      <c r="D486" s="11"/>
      <c r="E486" s="11"/>
    </row>
    <row r="487">
      <c r="D487" s="11"/>
      <c r="E487" s="11"/>
    </row>
    <row r="488">
      <c r="D488" s="11"/>
      <c r="E488" s="11"/>
    </row>
    <row r="489">
      <c r="D489" s="11"/>
      <c r="E489" s="11"/>
    </row>
    <row r="490">
      <c r="D490" s="11"/>
      <c r="E490" s="11"/>
    </row>
    <row r="491">
      <c r="D491" s="11"/>
      <c r="E491" s="11"/>
    </row>
    <row r="492">
      <c r="D492" s="11"/>
      <c r="E492" s="11"/>
    </row>
    <row r="493">
      <c r="D493" s="11"/>
      <c r="E493" s="11"/>
    </row>
    <row r="494">
      <c r="D494" s="11"/>
      <c r="E494" s="11"/>
    </row>
    <row r="495">
      <c r="D495" s="11"/>
      <c r="E495" s="11"/>
    </row>
    <row r="496">
      <c r="D496" s="11"/>
      <c r="E496" s="11"/>
    </row>
    <row r="497">
      <c r="D497" s="11"/>
      <c r="E497" s="11"/>
    </row>
    <row r="498">
      <c r="D498" s="11"/>
      <c r="E498" s="11"/>
    </row>
    <row r="499">
      <c r="D499" s="11"/>
      <c r="E499" s="11"/>
    </row>
    <row r="500">
      <c r="D500" s="11"/>
      <c r="E500" s="11"/>
    </row>
    <row r="501">
      <c r="D501" s="11"/>
      <c r="E501" s="11"/>
    </row>
    <row r="502">
      <c r="D502" s="11"/>
      <c r="E502" s="11"/>
    </row>
    <row r="503">
      <c r="D503" s="11"/>
      <c r="E503" s="11"/>
    </row>
    <row r="504">
      <c r="D504" s="11"/>
      <c r="E504" s="11"/>
    </row>
    <row r="505">
      <c r="D505" s="11"/>
      <c r="E505" s="11"/>
    </row>
    <row r="506">
      <c r="D506" s="11"/>
      <c r="E506" s="11"/>
    </row>
    <row r="507">
      <c r="D507" s="11"/>
      <c r="E507" s="11"/>
    </row>
    <row r="508">
      <c r="D508" s="11"/>
      <c r="E508" s="11"/>
    </row>
    <row r="509">
      <c r="D509" s="11"/>
      <c r="E509" s="11"/>
    </row>
    <row r="510">
      <c r="D510" s="11"/>
      <c r="E510" s="11"/>
    </row>
    <row r="511">
      <c r="D511" s="11"/>
      <c r="E511" s="11"/>
    </row>
    <row r="512">
      <c r="D512" s="11"/>
      <c r="E512" s="11"/>
    </row>
    <row r="513">
      <c r="D513" s="11"/>
      <c r="E513" s="11"/>
    </row>
    <row r="514">
      <c r="D514" s="11"/>
      <c r="E514" s="11"/>
    </row>
    <row r="515">
      <c r="D515" s="11"/>
      <c r="E515" s="11"/>
    </row>
    <row r="516">
      <c r="D516" s="11"/>
      <c r="E516" s="11"/>
    </row>
    <row r="517">
      <c r="D517" s="11"/>
      <c r="E517" s="11"/>
    </row>
    <row r="518">
      <c r="D518" s="11"/>
      <c r="E518" s="11"/>
    </row>
    <row r="519">
      <c r="D519" s="11"/>
      <c r="E519" s="11"/>
    </row>
    <row r="520">
      <c r="D520" s="11"/>
      <c r="E520" s="11"/>
    </row>
    <row r="521">
      <c r="D521" s="11"/>
      <c r="E521" s="11"/>
    </row>
    <row r="522">
      <c r="D522" s="11"/>
      <c r="E522" s="11"/>
    </row>
    <row r="523">
      <c r="D523" s="11"/>
      <c r="E523" s="11"/>
    </row>
    <row r="524">
      <c r="D524" s="11"/>
      <c r="E524" s="11"/>
    </row>
    <row r="525">
      <c r="D525" s="11"/>
      <c r="E525" s="11"/>
    </row>
    <row r="526">
      <c r="D526" s="11"/>
      <c r="E526" s="11"/>
    </row>
    <row r="527">
      <c r="D527" s="11"/>
      <c r="E527" s="11"/>
    </row>
    <row r="528">
      <c r="D528" s="11"/>
      <c r="E528" s="11"/>
    </row>
    <row r="529">
      <c r="D529" s="11"/>
      <c r="E529" s="11"/>
    </row>
    <row r="530">
      <c r="D530" s="11"/>
      <c r="E530" s="11"/>
    </row>
    <row r="531">
      <c r="D531" s="11"/>
      <c r="E531" s="11"/>
    </row>
    <row r="532">
      <c r="D532" s="11"/>
      <c r="E532" s="11"/>
    </row>
    <row r="533">
      <c r="D533" s="11"/>
      <c r="E533" s="11"/>
    </row>
    <row r="534">
      <c r="D534" s="11"/>
      <c r="E534" s="11"/>
    </row>
    <row r="535">
      <c r="D535" s="11"/>
      <c r="E535" s="11"/>
    </row>
    <row r="536">
      <c r="D536" s="11"/>
      <c r="E536" s="11"/>
    </row>
    <row r="537">
      <c r="D537" s="11"/>
      <c r="E537" s="11"/>
    </row>
    <row r="538">
      <c r="D538" s="11"/>
      <c r="E538" s="11"/>
    </row>
    <row r="539">
      <c r="D539" s="11"/>
      <c r="E539" s="11"/>
    </row>
    <row r="540">
      <c r="D540" s="11"/>
      <c r="E540" s="11"/>
    </row>
    <row r="541">
      <c r="D541" s="11"/>
      <c r="E541" s="11"/>
    </row>
    <row r="542">
      <c r="D542" s="11"/>
      <c r="E542" s="11"/>
    </row>
    <row r="543">
      <c r="D543" s="11"/>
      <c r="E543" s="11"/>
    </row>
    <row r="544">
      <c r="D544" s="11"/>
      <c r="E544" s="11"/>
    </row>
    <row r="545">
      <c r="D545" s="11"/>
      <c r="E545" s="11"/>
    </row>
    <row r="546">
      <c r="D546" s="11"/>
      <c r="E546" s="11"/>
    </row>
    <row r="547">
      <c r="D547" s="11"/>
      <c r="E547" s="11"/>
    </row>
    <row r="548">
      <c r="D548" s="11"/>
      <c r="E548" s="11"/>
    </row>
    <row r="549">
      <c r="D549" s="11"/>
      <c r="E549" s="11"/>
    </row>
    <row r="550">
      <c r="D550" s="11"/>
      <c r="E550" s="11"/>
    </row>
    <row r="551">
      <c r="D551" s="11"/>
      <c r="E551" s="11"/>
    </row>
    <row r="552">
      <c r="D552" s="11"/>
      <c r="E552" s="11"/>
    </row>
    <row r="553">
      <c r="D553" s="11"/>
      <c r="E553" s="11"/>
    </row>
    <row r="554">
      <c r="D554" s="11"/>
      <c r="E554" s="11"/>
    </row>
    <row r="555">
      <c r="D555" s="11"/>
      <c r="E555" s="11"/>
    </row>
    <row r="556">
      <c r="D556" s="11"/>
      <c r="E556" s="11"/>
    </row>
    <row r="557">
      <c r="D557" s="11"/>
      <c r="E557" s="11"/>
    </row>
    <row r="558">
      <c r="D558" s="11"/>
      <c r="E558" s="11"/>
    </row>
    <row r="559">
      <c r="D559" s="11"/>
      <c r="E559" s="11"/>
    </row>
    <row r="560">
      <c r="D560" s="11"/>
      <c r="E560" s="11"/>
    </row>
    <row r="561">
      <c r="D561" s="11"/>
      <c r="E561" s="11"/>
    </row>
    <row r="562">
      <c r="D562" s="11"/>
      <c r="E562" s="11"/>
    </row>
    <row r="563">
      <c r="D563" s="11"/>
      <c r="E563" s="11"/>
    </row>
    <row r="564">
      <c r="D564" s="11"/>
      <c r="E564" s="11"/>
    </row>
    <row r="565">
      <c r="D565" s="11"/>
      <c r="E565" s="11"/>
    </row>
    <row r="566">
      <c r="D566" s="11"/>
      <c r="E566" s="11"/>
    </row>
    <row r="567">
      <c r="D567" s="11"/>
      <c r="E567" s="11"/>
    </row>
    <row r="568">
      <c r="D568" s="11"/>
      <c r="E568" s="11"/>
    </row>
    <row r="569">
      <c r="D569" s="11"/>
      <c r="E569" s="11"/>
    </row>
    <row r="570">
      <c r="D570" s="11"/>
      <c r="E570" s="11"/>
    </row>
    <row r="571">
      <c r="D571" s="11"/>
      <c r="E571" s="11"/>
    </row>
    <row r="572">
      <c r="D572" s="11"/>
      <c r="E572" s="11"/>
    </row>
    <row r="573">
      <c r="D573" s="11"/>
      <c r="E573" s="11"/>
    </row>
    <row r="574">
      <c r="D574" s="11"/>
      <c r="E574" s="11"/>
    </row>
    <row r="575">
      <c r="D575" s="11"/>
      <c r="E575" s="11"/>
    </row>
    <row r="576">
      <c r="D576" s="11"/>
      <c r="E576" s="11"/>
    </row>
    <row r="577">
      <c r="D577" s="11"/>
      <c r="E577" s="11"/>
    </row>
    <row r="578">
      <c r="D578" s="11"/>
      <c r="E578" s="11"/>
    </row>
    <row r="579">
      <c r="D579" s="11"/>
      <c r="E579" s="11"/>
    </row>
    <row r="580">
      <c r="D580" s="11"/>
      <c r="E580" s="11"/>
    </row>
    <row r="581">
      <c r="D581" s="11"/>
      <c r="E581" s="11"/>
    </row>
    <row r="582">
      <c r="D582" s="11"/>
      <c r="E582" s="11"/>
    </row>
    <row r="583">
      <c r="D583" s="11"/>
      <c r="E583" s="11"/>
    </row>
    <row r="584">
      <c r="D584" s="11"/>
      <c r="E584" s="11"/>
    </row>
    <row r="585">
      <c r="D585" s="11"/>
      <c r="E585" s="11"/>
    </row>
    <row r="586">
      <c r="D586" s="11"/>
      <c r="E586" s="11"/>
    </row>
    <row r="587">
      <c r="D587" s="11"/>
      <c r="E587" s="11"/>
    </row>
    <row r="588">
      <c r="D588" s="11"/>
      <c r="E588" s="11"/>
    </row>
    <row r="589">
      <c r="D589" s="11"/>
      <c r="E589" s="11"/>
    </row>
    <row r="590">
      <c r="D590" s="11"/>
      <c r="E590" s="11"/>
    </row>
    <row r="591">
      <c r="D591" s="11"/>
      <c r="E591" s="11"/>
    </row>
    <row r="592">
      <c r="D592" s="11"/>
      <c r="E592" s="11"/>
    </row>
    <row r="593">
      <c r="D593" s="11"/>
      <c r="E593" s="11"/>
    </row>
    <row r="594">
      <c r="D594" s="11"/>
      <c r="E594" s="11"/>
    </row>
    <row r="595">
      <c r="D595" s="11"/>
      <c r="E595" s="11"/>
    </row>
    <row r="596">
      <c r="D596" s="11"/>
      <c r="E596" s="11"/>
    </row>
    <row r="597">
      <c r="D597" s="11"/>
      <c r="E597" s="11"/>
    </row>
    <row r="598">
      <c r="D598" s="11"/>
      <c r="E598" s="11"/>
    </row>
    <row r="599">
      <c r="D599" s="11"/>
      <c r="E599" s="11"/>
    </row>
    <row r="600">
      <c r="D600" s="11"/>
      <c r="E600" s="11"/>
    </row>
    <row r="601">
      <c r="D601" s="11"/>
      <c r="E601" s="11"/>
    </row>
    <row r="602">
      <c r="D602" s="11"/>
      <c r="E602" s="11"/>
    </row>
    <row r="603">
      <c r="D603" s="11"/>
      <c r="E603" s="11"/>
    </row>
    <row r="604">
      <c r="D604" s="11"/>
      <c r="E604" s="11"/>
    </row>
    <row r="605">
      <c r="D605" s="11"/>
      <c r="E605" s="11"/>
    </row>
    <row r="606">
      <c r="D606" s="11"/>
      <c r="E606" s="11"/>
    </row>
    <row r="607">
      <c r="D607" s="11"/>
      <c r="E607" s="11"/>
    </row>
    <row r="608">
      <c r="D608" s="11"/>
      <c r="E608" s="11"/>
    </row>
    <row r="609">
      <c r="D609" s="11"/>
      <c r="E609" s="11"/>
    </row>
    <row r="610">
      <c r="D610" s="11"/>
      <c r="E610" s="11"/>
    </row>
    <row r="611">
      <c r="D611" s="11"/>
      <c r="E611" s="11"/>
    </row>
    <row r="612">
      <c r="D612" s="11"/>
      <c r="E612" s="11"/>
    </row>
    <row r="613">
      <c r="D613" s="11"/>
      <c r="E613" s="11"/>
    </row>
    <row r="614">
      <c r="D614" s="11"/>
      <c r="E614" s="11"/>
    </row>
    <row r="615">
      <c r="D615" s="11"/>
      <c r="E615" s="11"/>
    </row>
    <row r="616">
      <c r="D616" s="11"/>
      <c r="E616" s="11"/>
    </row>
    <row r="617">
      <c r="D617" s="11"/>
      <c r="E617" s="11"/>
    </row>
    <row r="618">
      <c r="D618" s="11"/>
      <c r="E618" s="11"/>
    </row>
    <row r="619">
      <c r="D619" s="11"/>
      <c r="E619" s="11"/>
    </row>
    <row r="620">
      <c r="D620" s="11"/>
      <c r="E620" s="11"/>
    </row>
    <row r="621">
      <c r="D621" s="11"/>
      <c r="E621" s="11"/>
    </row>
    <row r="622">
      <c r="D622" s="11"/>
      <c r="E622" s="11"/>
    </row>
    <row r="623">
      <c r="D623" s="11"/>
      <c r="E623" s="11"/>
    </row>
    <row r="624">
      <c r="D624" s="11"/>
      <c r="E624" s="11"/>
    </row>
    <row r="625">
      <c r="D625" s="11"/>
      <c r="E625" s="11"/>
    </row>
    <row r="626">
      <c r="D626" s="11"/>
      <c r="E626" s="11"/>
    </row>
    <row r="627">
      <c r="D627" s="11"/>
      <c r="E627" s="11"/>
    </row>
    <row r="628">
      <c r="D628" s="11"/>
      <c r="E628" s="11"/>
    </row>
    <row r="629">
      <c r="D629" s="11"/>
      <c r="E629" s="11"/>
    </row>
    <row r="630">
      <c r="D630" s="11"/>
      <c r="E630" s="11"/>
    </row>
    <row r="631">
      <c r="D631" s="11"/>
      <c r="E631" s="11"/>
    </row>
    <row r="632">
      <c r="D632" s="11"/>
      <c r="E632" s="11"/>
    </row>
    <row r="633">
      <c r="D633" s="11"/>
      <c r="E633" s="11"/>
    </row>
    <row r="634">
      <c r="D634" s="11"/>
      <c r="E634" s="11"/>
    </row>
    <row r="635">
      <c r="D635" s="11"/>
      <c r="E635" s="11"/>
    </row>
    <row r="636">
      <c r="D636" s="11"/>
      <c r="E636" s="11"/>
    </row>
    <row r="637">
      <c r="D637" s="11"/>
      <c r="E637" s="11"/>
    </row>
    <row r="638">
      <c r="D638" s="11"/>
      <c r="E638" s="11"/>
    </row>
    <row r="639">
      <c r="D639" s="11"/>
      <c r="E639" s="11"/>
    </row>
    <row r="640">
      <c r="D640" s="11"/>
      <c r="E640" s="11"/>
    </row>
    <row r="641">
      <c r="D641" s="11"/>
      <c r="E641" s="11"/>
    </row>
    <row r="642">
      <c r="D642" s="11"/>
      <c r="E642" s="11"/>
    </row>
    <row r="643">
      <c r="D643" s="11"/>
      <c r="E643" s="11"/>
    </row>
    <row r="644">
      <c r="D644" s="11"/>
      <c r="E644" s="11"/>
    </row>
    <row r="645">
      <c r="D645" s="11"/>
      <c r="E645" s="11"/>
    </row>
    <row r="646">
      <c r="D646" s="11"/>
      <c r="E646" s="11"/>
    </row>
    <row r="647">
      <c r="D647" s="11"/>
      <c r="E647" s="11"/>
    </row>
    <row r="648">
      <c r="D648" s="11"/>
      <c r="E648" s="11"/>
    </row>
    <row r="649">
      <c r="D649" s="11"/>
      <c r="E649" s="11"/>
    </row>
    <row r="650">
      <c r="D650" s="11"/>
      <c r="E650" s="11"/>
    </row>
    <row r="651">
      <c r="D651" s="11"/>
      <c r="E651" s="11"/>
    </row>
    <row r="652">
      <c r="D652" s="11"/>
      <c r="E652" s="11"/>
    </row>
    <row r="653">
      <c r="D653" s="11"/>
      <c r="E653" s="11"/>
    </row>
    <row r="654">
      <c r="D654" s="11"/>
      <c r="E654" s="11"/>
    </row>
    <row r="655">
      <c r="D655" s="11"/>
      <c r="E655" s="11"/>
    </row>
    <row r="656">
      <c r="D656" s="11"/>
      <c r="E656" s="11"/>
    </row>
    <row r="657">
      <c r="D657" s="11"/>
      <c r="E657" s="11"/>
    </row>
    <row r="658">
      <c r="D658" s="11"/>
      <c r="E658" s="11"/>
    </row>
    <row r="659">
      <c r="D659" s="11"/>
      <c r="E659" s="11"/>
    </row>
    <row r="660">
      <c r="D660" s="11"/>
      <c r="E660" s="11"/>
    </row>
    <row r="661">
      <c r="D661" s="11"/>
      <c r="E661" s="11"/>
    </row>
    <row r="662">
      <c r="D662" s="11"/>
      <c r="E662" s="11"/>
    </row>
    <row r="663">
      <c r="D663" s="11"/>
      <c r="E663" s="11"/>
    </row>
    <row r="664">
      <c r="D664" s="11"/>
      <c r="E664" s="11"/>
    </row>
    <row r="665">
      <c r="D665" s="11"/>
      <c r="E665" s="11"/>
    </row>
    <row r="666">
      <c r="D666" s="11"/>
      <c r="E666" s="11"/>
    </row>
    <row r="667">
      <c r="D667" s="11"/>
      <c r="E667" s="11"/>
    </row>
    <row r="668">
      <c r="D668" s="11"/>
      <c r="E668" s="11"/>
    </row>
    <row r="669">
      <c r="D669" s="11"/>
      <c r="E669" s="11"/>
    </row>
    <row r="670">
      <c r="D670" s="11"/>
      <c r="E670" s="11"/>
    </row>
    <row r="671">
      <c r="D671" s="11"/>
      <c r="E671" s="11"/>
    </row>
    <row r="672">
      <c r="D672" s="11"/>
      <c r="E672" s="11"/>
    </row>
    <row r="673">
      <c r="D673" s="11"/>
      <c r="E673" s="11"/>
    </row>
    <row r="674">
      <c r="D674" s="11"/>
      <c r="E674" s="11"/>
    </row>
    <row r="675">
      <c r="D675" s="11"/>
      <c r="E675" s="11"/>
    </row>
    <row r="676">
      <c r="D676" s="11"/>
      <c r="E676" s="11"/>
    </row>
    <row r="677">
      <c r="D677" s="11"/>
      <c r="E677" s="11"/>
    </row>
    <row r="678">
      <c r="D678" s="11"/>
      <c r="E678" s="11"/>
    </row>
    <row r="679">
      <c r="D679" s="11"/>
      <c r="E679" s="11"/>
    </row>
    <row r="680">
      <c r="D680" s="11"/>
      <c r="E680" s="11"/>
    </row>
    <row r="681">
      <c r="D681" s="11"/>
      <c r="E681" s="11"/>
    </row>
    <row r="682">
      <c r="D682" s="11"/>
      <c r="E682" s="11"/>
    </row>
    <row r="683">
      <c r="D683" s="11"/>
      <c r="E683" s="11"/>
    </row>
    <row r="684">
      <c r="D684" s="11"/>
      <c r="E684" s="11"/>
    </row>
    <row r="685">
      <c r="D685" s="11"/>
      <c r="E685" s="11"/>
    </row>
    <row r="686">
      <c r="D686" s="11"/>
      <c r="E686" s="11"/>
    </row>
    <row r="687">
      <c r="D687" s="11"/>
      <c r="E687" s="11"/>
    </row>
    <row r="688">
      <c r="D688" s="11"/>
      <c r="E688" s="11"/>
    </row>
    <row r="689">
      <c r="D689" s="11"/>
      <c r="E689" s="11"/>
    </row>
    <row r="690">
      <c r="D690" s="11"/>
      <c r="E690" s="11"/>
    </row>
    <row r="691">
      <c r="D691" s="11"/>
      <c r="E691" s="11"/>
    </row>
    <row r="692">
      <c r="D692" s="11"/>
      <c r="E692" s="11"/>
    </row>
    <row r="693">
      <c r="D693" s="11"/>
      <c r="E693" s="11"/>
    </row>
    <row r="694">
      <c r="D694" s="11"/>
      <c r="E694" s="11"/>
    </row>
    <row r="695">
      <c r="D695" s="11"/>
      <c r="E695" s="11"/>
    </row>
    <row r="696">
      <c r="D696" s="11"/>
      <c r="E696" s="11"/>
    </row>
    <row r="697">
      <c r="D697" s="11"/>
      <c r="E697" s="11"/>
    </row>
    <row r="698">
      <c r="D698" s="11"/>
      <c r="E698" s="11"/>
    </row>
    <row r="699">
      <c r="D699" s="11"/>
      <c r="E699" s="11"/>
    </row>
    <row r="700">
      <c r="D700" s="11"/>
      <c r="E700" s="11"/>
    </row>
    <row r="701">
      <c r="D701" s="11"/>
      <c r="E701" s="11"/>
    </row>
    <row r="702">
      <c r="D702" s="11"/>
      <c r="E702" s="11"/>
    </row>
    <row r="703">
      <c r="D703" s="11"/>
      <c r="E703" s="11"/>
    </row>
    <row r="704">
      <c r="D704" s="11"/>
      <c r="E704" s="11"/>
    </row>
    <row r="705">
      <c r="D705" s="11"/>
      <c r="E705" s="11"/>
    </row>
    <row r="706">
      <c r="D706" s="11"/>
      <c r="E706" s="11"/>
    </row>
    <row r="707">
      <c r="D707" s="11"/>
      <c r="E707" s="11"/>
    </row>
    <row r="708">
      <c r="D708" s="11"/>
      <c r="E708" s="11"/>
    </row>
    <row r="709">
      <c r="D709" s="11"/>
      <c r="E709" s="11"/>
    </row>
    <row r="710">
      <c r="D710" s="11"/>
      <c r="E710" s="11"/>
    </row>
    <row r="711">
      <c r="D711" s="11"/>
      <c r="E711" s="11"/>
    </row>
    <row r="712">
      <c r="D712" s="11"/>
      <c r="E712" s="11"/>
    </row>
    <row r="713">
      <c r="D713" s="11"/>
      <c r="E713" s="11"/>
    </row>
    <row r="714">
      <c r="D714" s="11"/>
      <c r="E714" s="11"/>
    </row>
    <row r="715">
      <c r="D715" s="11"/>
      <c r="E715" s="11"/>
    </row>
    <row r="716">
      <c r="D716" s="11"/>
      <c r="E716" s="11"/>
    </row>
    <row r="717">
      <c r="D717" s="11"/>
      <c r="E717" s="11"/>
    </row>
    <row r="718">
      <c r="D718" s="11"/>
      <c r="E718" s="11"/>
    </row>
    <row r="719">
      <c r="D719" s="11"/>
      <c r="E719" s="11"/>
    </row>
    <row r="720">
      <c r="D720" s="11"/>
      <c r="E720" s="11"/>
    </row>
    <row r="721">
      <c r="D721" s="11"/>
      <c r="E721" s="11"/>
    </row>
    <row r="722">
      <c r="D722" s="11"/>
      <c r="E722" s="11"/>
    </row>
    <row r="723">
      <c r="D723" s="11"/>
      <c r="E723" s="11"/>
    </row>
    <row r="724">
      <c r="D724" s="11"/>
      <c r="E724" s="11"/>
    </row>
    <row r="725">
      <c r="D725" s="11"/>
      <c r="E725" s="11"/>
    </row>
    <row r="726">
      <c r="D726" s="11"/>
      <c r="E726" s="11"/>
    </row>
    <row r="727">
      <c r="D727" s="11"/>
      <c r="E727" s="11"/>
    </row>
    <row r="728">
      <c r="D728" s="11"/>
      <c r="E728" s="11"/>
    </row>
    <row r="729">
      <c r="D729" s="11"/>
      <c r="E729" s="11"/>
    </row>
    <row r="730">
      <c r="D730" s="11"/>
      <c r="E730" s="11"/>
    </row>
    <row r="731">
      <c r="D731" s="11"/>
      <c r="E731" s="11"/>
    </row>
    <row r="732">
      <c r="D732" s="11"/>
      <c r="E732" s="11"/>
    </row>
    <row r="733">
      <c r="D733" s="11"/>
      <c r="E733" s="11"/>
    </row>
    <row r="734">
      <c r="D734" s="11"/>
      <c r="E734" s="11"/>
    </row>
    <row r="735">
      <c r="D735" s="11"/>
      <c r="E735" s="11"/>
    </row>
    <row r="736">
      <c r="D736" s="11"/>
      <c r="E736" s="11"/>
    </row>
    <row r="737">
      <c r="D737" s="11"/>
      <c r="E737" s="11"/>
    </row>
    <row r="738">
      <c r="D738" s="11"/>
      <c r="E738" s="11"/>
    </row>
    <row r="739">
      <c r="D739" s="11"/>
      <c r="E739" s="11"/>
    </row>
    <row r="740">
      <c r="D740" s="11"/>
      <c r="E740" s="11"/>
    </row>
    <row r="741">
      <c r="D741" s="11"/>
      <c r="E741" s="11"/>
    </row>
    <row r="742">
      <c r="D742" s="11"/>
      <c r="E742" s="11"/>
    </row>
    <row r="743">
      <c r="D743" s="11"/>
      <c r="E743" s="11"/>
    </row>
    <row r="744">
      <c r="D744" s="11"/>
      <c r="E744" s="11"/>
    </row>
    <row r="745">
      <c r="D745" s="11"/>
      <c r="E745" s="11"/>
    </row>
    <row r="746">
      <c r="D746" s="11"/>
      <c r="E746" s="11"/>
    </row>
    <row r="747">
      <c r="D747" s="11"/>
      <c r="E747" s="11"/>
    </row>
    <row r="748">
      <c r="D748" s="11"/>
      <c r="E748" s="11"/>
    </row>
    <row r="749">
      <c r="D749" s="11"/>
      <c r="E749" s="11"/>
    </row>
    <row r="750">
      <c r="D750" s="11"/>
      <c r="E750" s="11"/>
    </row>
    <row r="751">
      <c r="D751" s="11"/>
      <c r="E751" s="11"/>
    </row>
    <row r="752">
      <c r="D752" s="11"/>
      <c r="E752" s="11"/>
    </row>
    <row r="753">
      <c r="D753" s="11"/>
      <c r="E753" s="11"/>
    </row>
    <row r="754">
      <c r="D754" s="11"/>
      <c r="E754" s="11"/>
    </row>
    <row r="755">
      <c r="D755" s="11"/>
      <c r="E755" s="11"/>
    </row>
    <row r="756">
      <c r="D756" s="11"/>
      <c r="E756" s="11"/>
    </row>
    <row r="757">
      <c r="D757" s="11"/>
      <c r="E757" s="11"/>
    </row>
    <row r="758">
      <c r="D758" s="11"/>
      <c r="E758" s="11"/>
    </row>
    <row r="759">
      <c r="D759" s="11"/>
      <c r="E759" s="11"/>
    </row>
    <row r="760">
      <c r="D760" s="11"/>
      <c r="E760" s="11"/>
    </row>
    <row r="761">
      <c r="D761" s="11"/>
      <c r="E761" s="11"/>
    </row>
    <row r="762">
      <c r="D762" s="11"/>
      <c r="E762" s="11"/>
    </row>
    <row r="763">
      <c r="D763" s="11"/>
      <c r="E763" s="11"/>
    </row>
    <row r="764">
      <c r="D764" s="11"/>
      <c r="E764" s="11"/>
    </row>
    <row r="765">
      <c r="D765" s="11"/>
      <c r="E765" s="11"/>
    </row>
    <row r="766">
      <c r="D766" s="11"/>
      <c r="E766" s="11"/>
    </row>
    <row r="767">
      <c r="D767" s="11"/>
      <c r="E767" s="11"/>
    </row>
    <row r="768">
      <c r="D768" s="11"/>
      <c r="E768" s="11"/>
    </row>
    <row r="769">
      <c r="D769" s="11"/>
      <c r="E769" s="11"/>
    </row>
    <row r="770">
      <c r="D770" s="11"/>
      <c r="E770" s="11"/>
    </row>
    <row r="771">
      <c r="D771" s="11"/>
      <c r="E771" s="11"/>
    </row>
    <row r="772">
      <c r="D772" s="11"/>
      <c r="E772" s="11"/>
    </row>
    <row r="773">
      <c r="D773" s="11"/>
      <c r="E773" s="11"/>
    </row>
    <row r="774">
      <c r="D774" s="11"/>
      <c r="E774" s="11"/>
    </row>
    <row r="775">
      <c r="D775" s="11"/>
      <c r="E775" s="11"/>
    </row>
    <row r="776">
      <c r="D776" s="11"/>
      <c r="E776" s="11"/>
    </row>
    <row r="777">
      <c r="D777" s="11"/>
      <c r="E777" s="11"/>
    </row>
    <row r="778">
      <c r="D778" s="11"/>
      <c r="E778" s="11"/>
    </row>
    <row r="779">
      <c r="D779" s="11"/>
      <c r="E779" s="11"/>
    </row>
    <row r="780">
      <c r="D780" s="11"/>
      <c r="E780" s="11"/>
    </row>
    <row r="781">
      <c r="D781" s="11"/>
      <c r="E781" s="11"/>
    </row>
    <row r="782">
      <c r="D782" s="11"/>
      <c r="E782" s="11"/>
    </row>
    <row r="783">
      <c r="D783" s="11"/>
      <c r="E783" s="11"/>
    </row>
    <row r="784">
      <c r="D784" s="11"/>
      <c r="E784" s="11"/>
    </row>
    <row r="785">
      <c r="D785" s="11"/>
      <c r="E785" s="11"/>
    </row>
    <row r="786">
      <c r="D786" s="11"/>
      <c r="E786" s="11"/>
    </row>
    <row r="787">
      <c r="D787" s="11"/>
      <c r="E787" s="11"/>
    </row>
    <row r="788">
      <c r="D788" s="11"/>
      <c r="E788" s="11"/>
    </row>
    <row r="789">
      <c r="D789" s="11"/>
      <c r="E789" s="11"/>
    </row>
    <row r="790">
      <c r="D790" s="11"/>
      <c r="E790" s="11"/>
    </row>
    <row r="791">
      <c r="D791" s="11"/>
      <c r="E791" s="11"/>
    </row>
    <row r="792">
      <c r="D792" s="11"/>
      <c r="E792" s="11"/>
    </row>
    <row r="793">
      <c r="D793" s="11"/>
      <c r="E793" s="11"/>
    </row>
    <row r="794">
      <c r="D794" s="11"/>
      <c r="E794" s="11"/>
    </row>
    <row r="795">
      <c r="D795" s="11"/>
      <c r="E795" s="11"/>
    </row>
    <row r="796">
      <c r="D796" s="11"/>
      <c r="E796" s="11"/>
    </row>
    <row r="797">
      <c r="D797" s="11"/>
      <c r="E797" s="11"/>
    </row>
    <row r="798">
      <c r="D798" s="11"/>
      <c r="E798" s="11"/>
    </row>
    <row r="799">
      <c r="D799" s="11"/>
      <c r="E799" s="11"/>
    </row>
    <row r="800">
      <c r="D800" s="11"/>
      <c r="E800" s="11"/>
    </row>
    <row r="801">
      <c r="D801" s="11"/>
      <c r="E801" s="11"/>
    </row>
    <row r="802">
      <c r="D802" s="11"/>
      <c r="E802" s="11"/>
    </row>
    <row r="803">
      <c r="D803" s="11"/>
      <c r="E803" s="11"/>
    </row>
    <row r="804">
      <c r="D804" s="11"/>
      <c r="E804" s="11"/>
    </row>
    <row r="805">
      <c r="D805" s="11"/>
      <c r="E805" s="11"/>
    </row>
    <row r="806">
      <c r="D806" s="11"/>
      <c r="E806" s="11"/>
    </row>
    <row r="807">
      <c r="D807" s="11"/>
      <c r="E807" s="11"/>
    </row>
    <row r="808">
      <c r="D808" s="11"/>
      <c r="E808" s="11"/>
    </row>
    <row r="809">
      <c r="D809" s="11"/>
      <c r="E809" s="11"/>
    </row>
    <row r="810">
      <c r="D810" s="11"/>
      <c r="E810" s="11"/>
    </row>
    <row r="811">
      <c r="D811" s="11"/>
      <c r="E811" s="11"/>
    </row>
    <row r="812">
      <c r="D812" s="11"/>
      <c r="E812" s="11"/>
    </row>
    <row r="813">
      <c r="D813" s="11"/>
      <c r="E813" s="11"/>
    </row>
    <row r="814">
      <c r="D814" s="11"/>
      <c r="E814" s="11"/>
    </row>
    <row r="815">
      <c r="D815" s="11"/>
      <c r="E815" s="11"/>
    </row>
    <row r="816">
      <c r="D816" s="11"/>
      <c r="E816" s="11"/>
    </row>
    <row r="817">
      <c r="D817" s="11"/>
      <c r="E817" s="11"/>
    </row>
    <row r="818">
      <c r="D818" s="11"/>
      <c r="E818" s="11"/>
    </row>
    <row r="819">
      <c r="D819" s="11"/>
      <c r="E819" s="11"/>
    </row>
    <row r="820">
      <c r="D820" s="11"/>
      <c r="E820" s="11"/>
    </row>
    <row r="821">
      <c r="D821" s="11"/>
      <c r="E821" s="11"/>
    </row>
    <row r="822">
      <c r="D822" s="11"/>
      <c r="E822" s="11"/>
    </row>
    <row r="823">
      <c r="D823" s="11"/>
      <c r="E823" s="11"/>
    </row>
    <row r="824">
      <c r="D824" s="11"/>
      <c r="E824" s="11"/>
    </row>
    <row r="825">
      <c r="D825" s="11"/>
      <c r="E825" s="11"/>
    </row>
    <row r="826">
      <c r="D826" s="11"/>
      <c r="E826" s="11"/>
    </row>
    <row r="827">
      <c r="D827" s="11"/>
      <c r="E827" s="11"/>
    </row>
    <row r="828">
      <c r="D828" s="11"/>
      <c r="E828" s="11"/>
    </row>
    <row r="829">
      <c r="D829" s="11"/>
      <c r="E829" s="11"/>
    </row>
    <row r="830">
      <c r="D830" s="11"/>
      <c r="E830" s="11"/>
    </row>
    <row r="831">
      <c r="D831" s="11"/>
      <c r="E831" s="11"/>
    </row>
    <row r="832">
      <c r="D832" s="11"/>
      <c r="E832" s="11"/>
    </row>
    <row r="833">
      <c r="D833" s="11"/>
      <c r="E833" s="11"/>
    </row>
    <row r="834">
      <c r="D834" s="11"/>
      <c r="E834" s="11"/>
    </row>
    <row r="835">
      <c r="D835" s="11"/>
      <c r="E835" s="11"/>
    </row>
    <row r="836">
      <c r="D836" s="11"/>
      <c r="E836" s="11"/>
    </row>
    <row r="837">
      <c r="D837" s="11"/>
      <c r="E837" s="11"/>
    </row>
    <row r="838">
      <c r="D838" s="11"/>
      <c r="E838" s="11"/>
    </row>
    <row r="839">
      <c r="D839" s="11"/>
      <c r="E839" s="11"/>
    </row>
    <row r="840">
      <c r="D840" s="11"/>
      <c r="E840" s="11"/>
    </row>
    <row r="841">
      <c r="D841" s="11"/>
      <c r="E841" s="11"/>
    </row>
    <row r="842">
      <c r="D842" s="11"/>
      <c r="E842" s="11"/>
    </row>
    <row r="843">
      <c r="D843" s="11"/>
      <c r="E843" s="11"/>
    </row>
    <row r="844">
      <c r="D844" s="11"/>
      <c r="E844" s="11"/>
    </row>
    <row r="845">
      <c r="D845" s="11"/>
      <c r="E845" s="11"/>
    </row>
    <row r="846">
      <c r="D846" s="11"/>
      <c r="E846" s="11"/>
    </row>
    <row r="847">
      <c r="D847" s="11"/>
      <c r="E847" s="11"/>
    </row>
    <row r="848">
      <c r="D848" s="11"/>
      <c r="E848" s="11"/>
    </row>
    <row r="849">
      <c r="D849" s="11"/>
      <c r="E849" s="11"/>
    </row>
    <row r="850">
      <c r="D850" s="11"/>
      <c r="E850" s="11"/>
    </row>
    <row r="851">
      <c r="D851" s="11"/>
      <c r="E851" s="11"/>
    </row>
    <row r="852">
      <c r="D852" s="11"/>
      <c r="E852" s="11"/>
    </row>
    <row r="853">
      <c r="D853" s="11"/>
      <c r="E853" s="11"/>
    </row>
    <row r="854">
      <c r="D854" s="11"/>
      <c r="E854" s="11"/>
    </row>
    <row r="855">
      <c r="D855" s="11"/>
      <c r="E855" s="11"/>
    </row>
    <row r="856">
      <c r="D856" s="11"/>
      <c r="E856" s="11"/>
    </row>
    <row r="857">
      <c r="D857" s="11"/>
      <c r="E857" s="11"/>
    </row>
    <row r="858">
      <c r="D858" s="11"/>
      <c r="E858" s="11"/>
    </row>
    <row r="859">
      <c r="D859" s="11"/>
      <c r="E859" s="11"/>
    </row>
    <row r="860">
      <c r="D860" s="11"/>
      <c r="E860" s="11"/>
    </row>
    <row r="861">
      <c r="D861" s="11"/>
      <c r="E861" s="11"/>
    </row>
    <row r="862">
      <c r="D862" s="11"/>
      <c r="E862" s="11"/>
    </row>
    <row r="863">
      <c r="D863" s="11"/>
      <c r="E863" s="11"/>
    </row>
    <row r="864">
      <c r="D864" s="11"/>
      <c r="E864" s="11"/>
    </row>
    <row r="865">
      <c r="D865" s="11"/>
      <c r="E865" s="11"/>
    </row>
    <row r="866">
      <c r="D866" s="11"/>
      <c r="E866" s="11"/>
    </row>
    <row r="867">
      <c r="D867" s="11"/>
      <c r="E867" s="11"/>
    </row>
    <row r="868">
      <c r="D868" s="11"/>
      <c r="E868" s="11"/>
    </row>
    <row r="869">
      <c r="D869" s="11"/>
      <c r="E869" s="11"/>
    </row>
    <row r="870">
      <c r="D870" s="11"/>
      <c r="E870" s="11"/>
    </row>
    <row r="871">
      <c r="D871" s="11"/>
      <c r="E871" s="11"/>
    </row>
    <row r="872">
      <c r="D872" s="11"/>
      <c r="E872" s="11"/>
    </row>
    <row r="873">
      <c r="D873" s="11"/>
      <c r="E873" s="11"/>
    </row>
    <row r="874">
      <c r="D874" s="11"/>
      <c r="E874" s="11"/>
    </row>
    <row r="875">
      <c r="D875" s="11"/>
      <c r="E875" s="11"/>
    </row>
    <row r="876">
      <c r="D876" s="11"/>
      <c r="E876" s="11"/>
    </row>
    <row r="877">
      <c r="D877" s="11"/>
      <c r="E877" s="11"/>
    </row>
    <row r="878">
      <c r="D878" s="11"/>
      <c r="E878" s="11"/>
    </row>
    <row r="879">
      <c r="D879" s="11"/>
      <c r="E879" s="11"/>
    </row>
    <row r="880">
      <c r="D880" s="11"/>
      <c r="E880" s="11"/>
    </row>
    <row r="881">
      <c r="D881" s="11"/>
      <c r="E881" s="11"/>
    </row>
    <row r="882">
      <c r="D882" s="11"/>
      <c r="E882" s="11"/>
    </row>
    <row r="883">
      <c r="D883" s="11"/>
      <c r="E883" s="11"/>
    </row>
    <row r="884">
      <c r="D884" s="11"/>
      <c r="E884" s="11"/>
    </row>
    <row r="885">
      <c r="D885" s="11"/>
      <c r="E885" s="11"/>
    </row>
    <row r="886">
      <c r="D886" s="11"/>
      <c r="E886" s="11"/>
    </row>
    <row r="887">
      <c r="D887" s="11"/>
      <c r="E887" s="11"/>
    </row>
    <row r="888">
      <c r="D888" s="11"/>
      <c r="E888" s="11"/>
    </row>
    <row r="889">
      <c r="D889" s="11"/>
      <c r="E889" s="11"/>
    </row>
    <row r="890">
      <c r="D890" s="11"/>
      <c r="E890" s="11"/>
    </row>
    <row r="891">
      <c r="D891" s="11"/>
      <c r="E891" s="11"/>
    </row>
    <row r="892">
      <c r="D892" s="11"/>
      <c r="E892" s="11"/>
    </row>
    <row r="893">
      <c r="D893" s="11"/>
      <c r="E893" s="11"/>
    </row>
    <row r="894">
      <c r="D894" s="11"/>
      <c r="E894" s="11"/>
    </row>
    <row r="895">
      <c r="D895" s="11"/>
      <c r="E895" s="11"/>
    </row>
    <row r="896">
      <c r="D896" s="11"/>
      <c r="E896" s="11"/>
    </row>
    <row r="897">
      <c r="D897" s="11"/>
      <c r="E897" s="11"/>
    </row>
    <row r="898">
      <c r="D898" s="11"/>
      <c r="E898" s="11"/>
    </row>
    <row r="899">
      <c r="D899" s="11"/>
      <c r="E899" s="11"/>
    </row>
    <row r="900">
      <c r="D900" s="11"/>
      <c r="E900" s="11"/>
    </row>
    <row r="901">
      <c r="D901" s="11"/>
      <c r="E901" s="11"/>
    </row>
    <row r="902">
      <c r="D902" s="11"/>
      <c r="E902" s="11"/>
    </row>
    <row r="903">
      <c r="D903" s="11"/>
      <c r="E903" s="11"/>
    </row>
    <row r="904">
      <c r="D904" s="11"/>
      <c r="E904" s="11"/>
    </row>
    <row r="905">
      <c r="D905" s="11"/>
      <c r="E905" s="11"/>
    </row>
    <row r="906">
      <c r="D906" s="11"/>
      <c r="E906" s="11"/>
    </row>
    <row r="907">
      <c r="D907" s="11"/>
      <c r="E907" s="11"/>
    </row>
    <row r="908">
      <c r="D908" s="11"/>
      <c r="E908" s="11"/>
    </row>
    <row r="909">
      <c r="D909" s="11"/>
      <c r="E909" s="11"/>
    </row>
    <row r="910">
      <c r="D910" s="11"/>
      <c r="E910" s="11"/>
    </row>
    <row r="911">
      <c r="D911" s="11"/>
      <c r="E911" s="11"/>
    </row>
    <row r="912">
      <c r="D912" s="11"/>
      <c r="E912" s="11"/>
    </row>
    <row r="913">
      <c r="D913" s="11"/>
      <c r="E913" s="11"/>
    </row>
    <row r="914">
      <c r="D914" s="11"/>
      <c r="E914" s="11"/>
    </row>
    <row r="915">
      <c r="D915" s="11"/>
      <c r="E915" s="11"/>
    </row>
    <row r="916">
      <c r="D916" s="11"/>
      <c r="E916" s="11"/>
    </row>
    <row r="917">
      <c r="D917" s="11"/>
      <c r="E917" s="11"/>
    </row>
    <row r="918">
      <c r="D918" s="11"/>
      <c r="E918" s="11"/>
    </row>
    <row r="919">
      <c r="D919" s="11"/>
      <c r="E919" s="11"/>
    </row>
    <row r="920">
      <c r="D920" s="11"/>
      <c r="E920" s="11"/>
    </row>
    <row r="921">
      <c r="D921" s="11"/>
      <c r="E921" s="11"/>
    </row>
    <row r="922">
      <c r="D922" s="11"/>
      <c r="E922" s="11"/>
    </row>
    <row r="923">
      <c r="D923" s="11"/>
      <c r="E923" s="11"/>
    </row>
    <row r="924">
      <c r="D924" s="11"/>
      <c r="E924" s="11"/>
    </row>
    <row r="925">
      <c r="D925" s="11"/>
      <c r="E925" s="11"/>
    </row>
    <row r="926">
      <c r="D926" s="11"/>
      <c r="E926" s="11"/>
    </row>
    <row r="927">
      <c r="D927" s="11"/>
      <c r="E927" s="11"/>
    </row>
    <row r="928">
      <c r="D928" s="11"/>
      <c r="E928" s="11"/>
    </row>
    <row r="929">
      <c r="D929" s="11"/>
      <c r="E929" s="11"/>
    </row>
    <row r="930">
      <c r="D930" s="11"/>
      <c r="E930" s="11"/>
    </row>
    <row r="931">
      <c r="D931" s="11"/>
      <c r="E931" s="11"/>
    </row>
    <row r="932">
      <c r="D932" s="11"/>
      <c r="E932" s="11"/>
    </row>
    <row r="933">
      <c r="D933" s="11"/>
      <c r="E933" s="11"/>
    </row>
    <row r="934">
      <c r="D934" s="11"/>
      <c r="E934" s="11"/>
    </row>
    <row r="935">
      <c r="D935" s="11"/>
      <c r="E935" s="11"/>
    </row>
    <row r="936">
      <c r="D936" s="11"/>
      <c r="E936" s="11"/>
    </row>
    <row r="937">
      <c r="D937" s="11"/>
      <c r="E937" s="11"/>
    </row>
    <row r="938">
      <c r="D938" s="11"/>
      <c r="E938" s="11"/>
    </row>
    <row r="939">
      <c r="D939" s="11"/>
      <c r="E939" s="11"/>
    </row>
    <row r="940">
      <c r="D940" s="11"/>
      <c r="E940" s="11"/>
    </row>
    <row r="941">
      <c r="D941" s="11"/>
      <c r="E941" s="11"/>
    </row>
    <row r="942">
      <c r="D942" s="11"/>
      <c r="E942" s="11"/>
    </row>
    <row r="943">
      <c r="D943" s="11"/>
      <c r="E943" s="11"/>
    </row>
    <row r="944">
      <c r="D944" s="11"/>
      <c r="E944" s="11"/>
    </row>
    <row r="945">
      <c r="D945" s="11"/>
      <c r="E945" s="11"/>
    </row>
    <row r="946">
      <c r="D946" s="11"/>
      <c r="E946" s="11"/>
    </row>
    <row r="947">
      <c r="D947" s="11"/>
      <c r="E947" s="11"/>
    </row>
    <row r="948">
      <c r="D948" s="11"/>
      <c r="E948" s="11"/>
    </row>
    <row r="949">
      <c r="D949" s="11"/>
      <c r="E949" s="11"/>
    </row>
    <row r="950">
      <c r="D950" s="11"/>
      <c r="E950" s="11"/>
    </row>
    <row r="951">
      <c r="D951" s="11"/>
      <c r="E951" s="11"/>
    </row>
    <row r="952">
      <c r="D952" s="11"/>
      <c r="E952" s="11"/>
    </row>
    <row r="953">
      <c r="D953" s="11"/>
      <c r="E953" s="11"/>
    </row>
    <row r="954">
      <c r="D954" s="11"/>
      <c r="E954" s="11"/>
    </row>
    <row r="955">
      <c r="D955" s="11"/>
      <c r="E955" s="11"/>
    </row>
    <row r="956">
      <c r="D956" s="11"/>
      <c r="E956" s="11"/>
    </row>
    <row r="957">
      <c r="D957" s="11"/>
      <c r="E957" s="11"/>
    </row>
    <row r="958">
      <c r="D958" s="11"/>
      <c r="E958" s="11"/>
    </row>
    <row r="959">
      <c r="D959" s="11"/>
      <c r="E959" s="11"/>
    </row>
    <row r="960">
      <c r="D960" s="11"/>
      <c r="E960" s="11"/>
    </row>
    <row r="961">
      <c r="D961" s="11"/>
      <c r="E961" s="11"/>
    </row>
    <row r="962">
      <c r="D962" s="11"/>
      <c r="E962" s="11"/>
    </row>
    <row r="963">
      <c r="D963" s="11"/>
      <c r="E963" s="11"/>
    </row>
    <row r="964">
      <c r="D964" s="11"/>
      <c r="E964" s="11"/>
    </row>
    <row r="965">
      <c r="D965" s="11"/>
      <c r="E965" s="11"/>
    </row>
    <row r="966">
      <c r="D966" s="11"/>
      <c r="E966" s="11"/>
    </row>
    <row r="967">
      <c r="D967" s="11"/>
      <c r="E967" s="11"/>
    </row>
    <row r="968">
      <c r="D968" s="11"/>
      <c r="E968" s="11"/>
    </row>
    <row r="969">
      <c r="D969" s="11"/>
      <c r="E969" s="11"/>
    </row>
    <row r="970">
      <c r="D970" s="11"/>
      <c r="E970" s="11"/>
    </row>
    <row r="971">
      <c r="D971" s="11"/>
      <c r="E971" s="11"/>
    </row>
    <row r="972">
      <c r="D972" s="11"/>
      <c r="E972" s="11"/>
    </row>
    <row r="973">
      <c r="D973" s="11"/>
      <c r="E973" s="11"/>
    </row>
    <row r="974">
      <c r="D974" s="11"/>
      <c r="E974" s="11"/>
    </row>
    <row r="975">
      <c r="D975" s="11"/>
      <c r="E975" s="11"/>
    </row>
    <row r="976">
      <c r="D976" s="11"/>
      <c r="E976" s="11"/>
    </row>
    <row r="977">
      <c r="D977" s="11"/>
      <c r="E977" s="11"/>
    </row>
    <row r="978">
      <c r="D978" s="11"/>
      <c r="E978" s="11"/>
    </row>
    <row r="979">
      <c r="D979" s="11"/>
      <c r="E979" s="11"/>
    </row>
    <row r="980">
      <c r="D980" s="11"/>
      <c r="E980" s="11"/>
    </row>
    <row r="981">
      <c r="D981" s="11"/>
      <c r="E981" s="11"/>
    </row>
    <row r="982">
      <c r="D982" s="11"/>
      <c r="E982" s="11"/>
    </row>
    <row r="983">
      <c r="D983" s="11"/>
      <c r="E983" s="11"/>
    </row>
    <row r="984">
      <c r="D984" s="11"/>
      <c r="E984" s="11"/>
    </row>
    <row r="985">
      <c r="D985" s="11"/>
      <c r="E985" s="11"/>
    </row>
    <row r="986">
      <c r="D986" s="11"/>
      <c r="E986" s="11"/>
    </row>
    <row r="987">
      <c r="D987" s="11"/>
      <c r="E987" s="11"/>
    </row>
    <row r="988">
      <c r="D988" s="11"/>
      <c r="E988" s="11"/>
    </row>
    <row r="989">
      <c r="D989" s="11"/>
      <c r="E989" s="11"/>
    </row>
    <row r="990">
      <c r="D990" s="11"/>
      <c r="E990" s="11"/>
    </row>
    <row r="991">
      <c r="D991" s="11"/>
      <c r="E991" s="11"/>
    </row>
    <row r="992">
      <c r="D992" s="11"/>
      <c r="E992" s="11"/>
    </row>
    <row r="993">
      <c r="D993" s="11"/>
      <c r="E993" s="11"/>
    </row>
    <row r="994">
      <c r="D994" s="11"/>
      <c r="E994" s="11"/>
    </row>
    <row r="995">
      <c r="D995" s="11"/>
      <c r="E995" s="11"/>
    </row>
    <row r="996">
      <c r="D996" s="11"/>
      <c r="E996" s="11"/>
    </row>
    <row r="997">
      <c r="D997" s="11"/>
      <c r="E997" s="11"/>
    </row>
    <row r="998">
      <c r="D998" s="11"/>
      <c r="E998" s="11"/>
    </row>
  </sheetData>
  <dataValidations>
    <dataValidation type="list" allowBlank="1" sqref="B2:B198">
      <formula1>Lookups!$A$1:$A$6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51</v>
      </c>
    </row>
    <row r="2">
      <c r="A2" s="13" t="s">
        <v>43</v>
      </c>
    </row>
    <row r="3">
      <c r="A3" s="13" t="s">
        <v>9</v>
      </c>
    </row>
    <row r="4">
      <c r="A4" s="13" t="s">
        <v>17</v>
      </c>
    </row>
    <row r="5">
      <c r="A5" s="13" t="s">
        <v>23</v>
      </c>
    </row>
    <row r="6">
      <c r="A6" s="13" t="s">
        <v>47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3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6" t="s">
        <v>6</v>
      </c>
      <c r="H1" s="7" t="s">
        <v>7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7" t="s">
        <v>8</v>
      </c>
      <c r="B2" s="7" t="s">
        <v>9</v>
      </c>
      <c r="C2" s="9" t="s">
        <v>10</v>
      </c>
      <c r="D2" s="10">
        <f>IFERROR(__xludf.DUMMYFUNCTION("SPLIT(C2,"","")"),57.0482555)</f>
        <v>57.0482555</v>
      </c>
      <c r="E2" s="11">
        <f>IFERROR(__xludf.DUMMYFUNCTION("""COMPUTED_VALUE"""),9.913457)</f>
        <v>9.913457</v>
      </c>
      <c r="F2" s="12" t="s">
        <v>11</v>
      </c>
      <c r="G2" s="7">
        <v>3.0</v>
      </c>
      <c r="H2" s="13" t="s">
        <v>12</v>
      </c>
    </row>
    <row r="3">
      <c r="A3" s="13" t="s">
        <v>124</v>
      </c>
      <c r="B3" s="13" t="s">
        <v>17</v>
      </c>
      <c r="C3" s="14" t="s">
        <v>125</v>
      </c>
      <c r="D3" s="10">
        <f>IFERROR(__xludf.DUMMYFUNCTION("SPLIT(C3,"","")"),55.667496)</f>
        <v>55.667496</v>
      </c>
      <c r="E3" s="11">
        <f>IFERROR(__xludf.DUMMYFUNCTION("""COMPUTED_VALUE"""),12.531555)</f>
        <v>12.531555</v>
      </c>
      <c r="F3" s="13" t="s">
        <v>126</v>
      </c>
      <c r="G3" s="13">
        <v>5.0</v>
      </c>
    </row>
    <row r="4">
      <c r="A4" s="13" t="s">
        <v>127</v>
      </c>
      <c r="B4" s="13" t="s">
        <v>17</v>
      </c>
      <c r="C4" s="19" t="s">
        <v>128</v>
      </c>
      <c r="D4" s="10">
        <f>IFERROR(__xludf.DUMMYFUNCTION("SPLIT(C4,"","")"),56.160168)</f>
        <v>56.160168</v>
      </c>
      <c r="E4" s="11">
        <f>IFERROR(__xludf.DUMMYFUNCTION("""COMPUTED_VALUE"""),10.2094531)</f>
        <v>10.2094531</v>
      </c>
      <c r="F4" s="13" t="s">
        <v>129</v>
      </c>
      <c r="G4" s="13">
        <v>5.0</v>
      </c>
    </row>
    <row r="5">
      <c r="A5" s="13" t="s">
        <v>130</v>
      </c>
      <c r="B5" s="13" t="s">
        <v>17</v>
      </c>
      <c r="C5" s="14" t="s">
        <v>131</v>
      </c>
      <c r="D5" s="10">
        <f>IFERROR(__xludf.DUMMYFUNCTION("SPLIT(C5,"","")"),56.226767)</f>
        <v>56.226767</v>
      </c>
      <c r="E5" s="11">
        <f>IFERROR(__xludf.DUMMYFUNCTION("""COMPUTED_VALUE"""),10.571884)</f>
        <v>10.571884</v>
      </c>
      <c r="F5" s="13" t="s">
        <v>132</v>
      </c>
      <c r="G5" s="13">
        <v>5.0</v>
      </c>
    </row>
    <row r="6">
      <c r="A6" s="13" t="s">
        <v>127</v>
      </c>
      <c r="B6" s="13" t="s">
        <v>17</v>
      </c>
      <c r="C6" s="14" t="s">
        <v>133</v>
      </c>
      <c r="D6" s="10">
        <f>IFERROR(__xludf.DUMMYFUNCTION("SPLIT(C6,"","")"),56.1485225)</f>
        <v>56.1485225</v>
      </c>
      <c r="E6" s="11">
        <f>IFERROR(__xludf.DUMMYFUNCTION("""COMPUTED_VALUE"""),10.1946845)</f>
        <v>10.1946845</v>
      </c>
      <c r="F6" s="13" t="s">
        <v>134</v>
      </c>
      <c r="G6" s="13">
        <v>5.0</v>
      </c>
    </row>
    <row r="7">
      <c r="A7" s="13" t="s">
        <v>127</v>
      </c>
      <c r="B7" s="13" t="s">
        <v>17</v>
      </c>
      <c r="C7" s="20" t="s">
        <v>135</v>
      </c>
      <c r="D7" s="10">
        <f>IFERROR(__xludf.DUMMYFUNCTION("SPLIT(C7,"","")"),56.171234)</f>
        <v>56.171234</v>
      </c>
      <c r="E7" s="11">
        <f>IFERROR(__xludf.DUMMYFUNCTION("""COMPUTED_VALUE"""),10.2003382)</f>
        <v>10.2003382</v>
      </c>
      <c r="F7" s="13" t="s">
        <v>136</v>
      </c>
      <c r="G7" s="13">
        <v>4.0</v>
      </c>
      <c r="H7" s="13" t="s">
        <v>137</v>
      </c>
    </row>
    <row r="8">
      <c r="A8" s="13" t="s">
        <v>138</v>
      </c>
      <c r="B8" s="13" t="s">
        <v>17</v>
      </c>
      <c r="C8" s="14" t="s">
        <v>139</v>
      </c>
      <c r="D8" s="10">
        <f>IFERROR(__xludf.DUMMYFUNCTION("SPLIT(C8,"","")"),57.0442287431618)</f>
        <v>57.04422874</v>
      </c>
      <c r="E8" s="11">
        <f>IFERROR(__xludf.DUMMYFUNCTION("""COMPUTED_VALUE"""),8.48176468379532)</f>
        <v>8.481764684</v>
      </c>
      <c r="F8" s="13" t="s">
        <v>140</v>
      </c>
      <c r="G8" s="13">
        <v>4.0</v>
      </c>
    </row>
    <row r="9">
      <c r="A9" s="13" t="s">
        <v>141</v>
      </c>
      <c r="B9" s="13" t="s">
        <v>17</v>
      </c>
      <c r="C9" s="21" t="s">
        <v>142</v>
      </c>
      <c r="D9" s="10">
        <f>IFERROR(__xludf.DUMMYFUNCTION("SPLIT(C9,"","")"),55.728449)</f>
        <v>55.728449</v>
      </c>
      <c r="E9" s="11">
        <f>IFERROR(__xludf.DUMMYFUNCTION("""COMPUTED_VALUE"""),9.112366)</f>
        <v>9.112366</v>
      </c>
      <c r="F9" s="13" t="s">
        <v>54</v>
      </c>
      <c r="G9" s="13">
        <v>5.0</v>
      </c>
    </row>
    <row r="10">
      <c r="A10" s="13" t="s">
        <v>143</v>
      </c>
      <c r="B10" s="13" t="s">
        <v>144</v>
      </c>
      <c r="C10" s="14" t="s">
        <v>145</v>
      </c>
      <c r="D10" s="10">
        <f>IFERROR(__xludf.DUMMYFUNCTION("SPLIT(C10,"","")"),54.9090632334449)</f>
        <v>54.90906323</v>
      </c>
      <c r="E10" s="11">
        <f>IFERROR(__xludf.DUMMYFUNCTION("""COMPUTED_VALUE"""),9.75876201265655)</f>
        <v>9.758762013</v>
      </c>
      <c r="F10" s="13" t="s">
        <v>146</v>
      </c>
      <c r="G10" s="13">
        <v>4.0</v>
      </c>
      <c r="H10" s="13" t="s">
        <v>147</v>
      </c>
    </row>
    <row r="11">
      <c r="A11" s="13" t="s">
        <v>148</v>
      </c>
      <c r="B11" s="13" t="s">
        <v>144</v>
      </c>
      <c r="C11" s="14" t="s">
        <v>149</v>
      </c>
      <c r="D11" s="10">
        <f>IFERROR(__xludf.DUMMYFUNCTION("SPLIT(C11,"","")"),55.2713839379527)</f>
        <v>55.27138394</v>
      </c>
      <c r="E11" s="11">
        <f>IFERROR(__xludf.DUMMYFUNCTION("""COMPUTED_VALUE"""),14.7559533976851)</f>
        <v>14.7559534</v>
      </c>
      <c r="F11" s="13" t="s">
        <v>150</v>
      </c>
      <c r="G11" s="13">
        <v>3.0</v>
      </c>
    </row>
    <row r="12">
      <c r="A12" s="13" t="s">
        <v>151</v>
      </c>
      <c r="B12" s="13" t="s">
        <v>152</v>
      </c>
      <c r="C12" s="14" t="s">
        <v>153</v>
      </c>
      <c r="D12" s="10">
        <f>IFERROR(__xludf.DUMMYFUNCTION("SPLIT(C12,"","")"),56.4571231)</f>
        <v>56.4571231</v>
      </c>
      <c r="E12" s="11">
        <f>IFERROR(__xludf.DUMMYFUNCTION("""COMPUTED_VALUE"""),10.0303439)</f>
        <v>10.0303439</v>
      </c>
      <c r="G12" s="13">
        <v>4.0</v>
      </c>
    </row>
    <row r="13">
      <c r="A13" s="13" t="s">
        <v>154</v>
      </c>
      <c r="B13" s="13" t="s">
        <v>155</v>
      </c>
      <c r="C13" s="14" t="s">
        <v>156</v>
      </c>
      <c r="D13" s="10">
        <f>IFERROR(__xludf.DUMMYFUNCTION("SPLIT(C13,"","")"),56.5877969)</f>
        <v>56.5877969</v>
      </c>
      <c r="E13" s="11">
        <f>IFERROR(__xludf.DUMMYFUNCTION("""COMPUTED_VALUE"""),8.5213843)</f>
        <v>8.5213843</v>
      </c>
      <c r="F13" s="13" t="s">
        <v>157</v>
      </c>
      <c r="G13" s="13">
        <v>5.0</v>
      </c>
      <c r="H13" s="13" t="s">
        <v>158</v>
      </c>
    </row>
    <row r="14">
      <c r="A14" s="13" t="s">
        <v>159</v>
      </c>
      <c r="B14" s="13" t="s">
        <v>160</v>
      </c>
      <c r="C14" s="14" t="s">
        <v>161</v>
      </c>
      <c r="D14" s="10" t="str">
        <f>IFERROR(__xludf.DUMMYFUNCTION("SPLIT(C14,"","")"),"#REF!")</f>
        <v>#REF!</v>
      </c>
      <c r="E14" s="11">
        <v>9.7471357</v>
      </c>
      <c r="F14" s="13" t="s">
        <v>162</v>
      </c>
      <c r="G14" s="13">
        <v>3.0</v>
      </c>
      <c r="H14" s="13" t="s">
        <v>163</v>
      </c>
    </row>
    <row r="15">
      <c r="A15" s="13" t="s">
        <v>164</v>
      </c>
      <c r="B15" s="13" t="s">
        <v>165</v>
      </c>
      <c r="C15" s="14" t="s">
        <v>166</v>
      </c>
      <c r="D15" s="10">
        <f>IFERROR(__xludf.DUMMYFUNCTION("SPLIT(C15,"","")"),55.059329)</f>
        <v>55.059329</v>
      </c>
      <c r="E15" s="15">
        <f>IFERROR(__xludf.DUMMYFUNCTION("""COMPUTED_VALUE"""),9.7471357)</f>
        <v>9.7471357</v>
      </c>
      <c r="F15" s="13" t="s">
        <v>167</v>
      </c>
      <c r="G15" s="13">
        <v>5.0</v>
      </c>
      <c r="H15" s="13"/>
    </row>
    <row r="16">
      <c r="A16" s="13" t="s">
        <v>168</v>
      </c>
      <c r="B16" s="13" t="s">
        <v>169</v>
      </c>
      <c r="C16" s="22" t="s">
        <v>170</v>
      </c>
      <c r="D16" s="10">
        <f>IFERROR(__xludf.DUMMYFUNCTION("SPLIT(C16,"","")"),57.74599)</f>
        <v>57.74599</v>
      </c>
      <c r="E16" s="11">
        <f>IFERROR(__xludf.DUMMYFUNCTION("""COMPUTED_VALUE"""),10.65095)</f>
        <v>10.65095</v>
      </c>
      <c r="F16" s="13" t="s">
        <v>171</v>
      </c>
      <c r="G16" s="13">
        <v>3.0</v>
      </c>
    </row>
    <row r="17">
      <c r="A17" s="13" t="s">
        <v>172</v>
      </c>
      <c r="B17" s="13" t="s">
        <v>173</v>
      </c>
      <c r="C17" s="23" t="s">
        <v>174</v>
      </c>
      <c r="D17" s="10">
        <f>IFERROR(__xludf.DUMMYFUNCTION("SPLIT(C17,"","")"),55.824976)</f>
        <v>55.824976</v>
      </c>
      <c r="E17" s="11">
        <f>IFERROR(__xludf.DUMMYFUNCTION("""COMPUTED_VALUE"""),10.604435)</f>
        <v>10.604435</v>
      </c>
      <c r="F17" s="13" t="s">
        <v>175</v>
      </c>
      <c r="G17" s="13">
        <v>5.0</v>
      </c>
    </row>
    <row r="18">
      <c r="A18" s="13" t="s">
        <v>176</v>
      </c>
      <c r="B18" s="13" t="s">
        <v>169</v>
      </c>
      <c r="C18" s="14" t="s">
        <v>177</v>
      </c>
      <c r="D18" s="10">
        <f>IFERROR(__xludf.DUMMYFUNCTION("SPLIT(C18,"","")"),55.4380599318111)</f>
        <v>55.43805993</v>
      </c>
      <c r="E18" s="11">
        <f>IFERROR(__xludf.DUMMYFUNCTION("""COMPUTED_VALUE"""),8.36010199877873)</f>
        <v>8.360101999</v>
      </c>
      <c r="F18" s="13" t="s">
        <v>171</v>
      </c>
      <c r="G18" s="13">
        <v>5.0</v>
      </c>
    </row>
    <row r="19">
      <c r="A19" s="13" t="s">
        <v>178</v>
      </c>
      <c r="B19" s="13" t="s">
        <v>179</v>
      </c>
      <c r="C19" s="14" t="s">
        <v>180</v>
      </c>
      <c r="D19" s="10">
        <f>IFERROR(__xludf.DUMMYFUNCTION("SPLIT(C19,"","")"),55.6772290735211)</f>
        <v>55.67722907</v>
      </c>
      <c r="E19" s="11">
        <f>IFERROR(__xludf.DUMMYFUNCTION("""COMPUTED_VALUE"""),12.5823327470042)</f>
        <v>12.58233275</v>
      </c>
      <c r="F19" s="13" t="s">
        <v>181</v>
      </c>
      <c r="G19" s="13">
        <v>5.0</v>
      </c>
      <c r="H19" s="13" t="s">
        <v>182</v>
      </c>
    </row>
    <row r="20">
      <c r="A20" s="13" t="s">
        <v>183</v>
      </c>
      <c r="B20" s="13" t="s">
        <v>165</v>
      </c>
      <c r="C20" s="14" t="s">
        <v>184</v>
      </c>
      <c r="D20" s="10">
        <f>IFERROR(__xludf.DUMMYFUNCTION("SPLIT(C20,"","")"),55.3987223)</f>
        <v>55.3987223</v>
      </c>
      <c r="E20" s="11">
        <f>IFERROR(__xludf.DUMMYFUNCTION("""COMPUTED_VALUE"""),10.3886106)</f>
        <v>10.3886106</v>
      </c>
      <c r="F20" s="13" t="s">
        <v>185</v>
      </c>
      <c r="G20" s="13">
        <v>5.0</v>
      </c>
    </row>
    <row r="21">
      <c r="A21" s="13" t="s">
        <v>186</v>
      </c>
      <c r="B21" s="13" t="s">
        <v>187</v>
      </c>
      <c r="C21" s="14" t="s">
        <v>188</v>
      </c>
      <c r="D21" s="10">
        <f>IFERROR(__xludf.DUMMYFUNCTION("SPLIT(C21,"","")"),56.1321311)</f>
        <v>56.1321311</v>
      </c>
      <c r="E21" s="11">
        <f>IFERROR(__xludf.DUMMYFUNCTION("""COMPUTED_VALUE"""),9.0200594)</f>
        <v>9.0200594</v>
      </c>
      <c r="F21" s="13" t="s">
        <v>189</v>
      </c>
      <c r="G21" s="13">
        <v>3.0</v>
      </c>
      <c r="H21" s="13" t="s">
        <v>190</v>
      </c>
    </row>
    <row r="22">
      <c r="A22" s="13" t="s">
        <v>191</v>
      </c>
      <c r="B22" s="13" t="s">
        <v>192</v>
      </c>
      <c r="C22" s="21" t="s">
        <v>193</v>
      </c>
      <c r="D22" s="10">
        <f>IFERROR(__xludf.DUMMYFUNCTION("SPLIT(C22,"","")"),55.9777778)</f>
        <v>55.9777778</v>
      </c>
      <c r="E22" s="11">
        <f>IFERROR(__xludf.DUMMYFUNCTION("""COMPUTED_VALUE"""),9.8330556)</f>
        <v>9.8330556</v>
      </c>
      <c r="F22" s="13" t="s">
        <v>194</v>
      </c>
      <c r="G22" s="13">
        <v>3.0</v>
      </c>
    </row>
    <row r="23">
      <c r="A23" s="13" t="s">
        <v>195</v>
      </c>
      <c r="B23" s="13" t="s">
        <v>196</v>
      </c>
      <c r="C23" s="14" t="s">
        <v>197</v>
      </c>
      <c r="D23" s="10">
        <f>IFERROR(__xludf.DUMMYFUNCTION("SPLIT(C23,"","")"),57.120834)</f>
        <v>57.120834</v>
      </c>
      <c r="E23" s="11">
        <f>IFERROR(__xludf.DUMMYFUNCTION("""COMPUTED_VALUE"""),8.6143056)</f>
        <v>8.6143056</v>
      </c>
      <c r="F23" s="13" t="s">
        <v>198</v>
      </c>
      <c r="G23" s="13">
        <v>4.0</v>
      </c>
      <c r="H23" s="13" t="s">
        <v>199</v>
      </c>
    </row>
    <row r="24">
      <c r="A24" s="13" t="s">
        <v>200</v>
      </c>
      <c r="B24" s="13" t="s">
        <v>201</v>
      </c>
      <c r="C24" s="24" t="s">
        <v>202</v>
      </c>
      <c r="D24" s="10">
        <f>IFERROR(__xludf.DUMMYFUNCTION("SPLIT(C24,"","")"),55.62818)</f>
        <v>55.62818</v>
      </c>
      <c r="E24" s="11">
        <f>IFERROR(__xludf.DUMMYFUNCTION("""COMPUTED_VALUE"""),12.65571)</f>
        <v>12.65571</v>
      </c>
      <c r="F24" s="13"/>
      <c r="G24" s="13">
        <v>4.0</v>
      </c>
      <c r="H24" s="13" t="s">
        <v>203</v>
      </c>
    </row>
    <row r="25">
      <c r="A25" s="13" t="s">
        <v>204</v>
      </c>
      <c r="B25" s="13" t="s">
        <v>205</v>
      </c>
      <c r="C25" s="14" t="s">
        <v>206</v>
      </c>
      <c r="D25" s="10">
        <f>IFERROR(__xludf.DUMMYFUNCTION("SPLIT(C25,"","")"),55.0044807)</f>
        <v>55.0044807</v>
      </c>
      <c r="E25" s="11">
        <f>IFERROR(__xludf.DUMMYFUNCTION("""COMPUTED_VALUE"""),9.8836249)</f>
        <v>9.8836249</v>
      </c>
      <c r="F25" s="13" t="s">
        <v>207</v>
      </c>
      <c r="G25" s="13">
        <v>2.0</v>
      </c>
      <c r="H25" s="13" t="s">
        <v>208</v>
      </c>
    </row>
    <row r="26">
      <c r="A26" s="13" t="s">
        <v>209</v>
      </c>
      <c r="B26" s="13" t="s">
        <v>210</v>
      </c>
      <c r="C26" s="14" t="s">
        <v>211</v>
      </c>
      <c r="D26" s="10">
        <f>IFERROR(__xludf.DUMMYFUNCTION("SPLIT(C26,"","")"),55.6724123)</f>
        <v>55.6724123</v>
      </c>
      <c r="E26" s="11">
        <f>IFERROR(__xludf.DUMMYFUNCTION("""COMPUTED_VALUE"""),12.5191694)</f>
        <v>12.5191694</v>
      </c>
      <c r="F26" s="13" t="s">
        <v>212</v>
      </c>
      <c r="G26" s="13">
        <v>5.0</v>
      </c>
    </row>
    <row r="27">
      <c r="A27" s="13" t="s">
        <v>213</v>
      </c>
      <c r="B27" s="13" t="s">
        <v>165</v>
      </c>
      <c r="C27" s="14" t="s">
        <v>214</v>
      </c>
      <c r="D27" s="10">
        <f>IFERROR(__xludf.DUMMYFUNCTION("SPLIT(C27,"","")"),56.5695813)</f>
        <v>56.5695813</v>
      </c>
      <c r="E27" s="11">
        <f>IFERROR(__xludf.DUMMYFUNCTION("""COMPUTED_VALUE"""),9.0344728)</f>
        <v>9.0344728</v>
      </c>
      <c r="F27" s="13" t="s">
        <v>215</v>
      </c>
      <c r="G27" s="13">
        <v>5.0</v>
      </c>
      <c r="H27" s="13" t="s">
        <v>216</v>
      </c>
    </row>
    <row r="28">
      <c r="A28" s="13" t="s">
        <v>141</v>
      </c>
      <c r="B28" s="13" t="s">
        <v>217</v>
      </c>
      <c r="C28" s="14" t="s">
        <v>218</v>
      </c>
      <c r="D28" s="10">
        <f>IFERROR(__xludf.DUMMYFUNCTION("SPLIT(C28,"","")"),55.7331014)</f>
        <v>55.7331014</v>
      </c>
      <c r="E28" s="11">
        <f>IFERROR(__xludf.DUMMYFUNCTION("""COMPUTED_VALUE"""),9.1355325)</f>
        <v>9.1355325</v>
      </c>
      <c r="F28" s="13" t="s">
        <v>219</v>
      </c>
      <c r="G28" s="13">
        <v>5.0</v>
      </c>
      <c r="H28" s="13" t="s">
        <v>220</v>
      </c>
    </row>
    <row r="29">
      <c r="A29" s="13" t="s">
        <v>221</v>
      </c>
      <c r="B29" s="13" t="s">
        <v>169</v>
      </c>
      <c r="C29" s="14" t="s">
        <v>222</v>
      </c>
      <c r="D29" s="10">
        <f>IFERROR(__xludf.DUMMYFUNCTION("SPLIT(C29,"","")"),56.2032959)</f>
        <v>56.2032959</v>
      </c>
      <c r="E29" s="11">
        <f>IFERROR(__xludf.DUMMYFUNCTION("""COMPUTED_VALUE"""),10.190962)</f>
        <v>10.190962</v>
      </c>
      <c r="F29" s="13" t="s">
        <v>223</v>
      </c>
      <c r="G29" s="13">
        <v>4.0</v>
      </c>
      <c r="H29" s="13" t="s">
        <v>224</v>
      </c>
    </row>
    <row r="30">
      <c r="A30" s="13" t="s">
        <v>127</v>
      </c>
      <c r="B30" s="13" t="s">
        <v>187</v>
      </c>
      <c r="C30" s="14" t="s">
        <v>225</v>
      </c>
      <c r="D30" s="10">
        <f>IFERROR(__xludf.DUMMYFUNCTION("SPLIT(C30,"","")"),56.1572237)</f>
        <v>56.1572237</v>
      </c>
      <c r="E30" s="11">
        <f>IFERROR(__xludf.DUMMYFUNCTION("""COMPUTED_VALUE"""),10.2092291)</f>
        <v>10.2092291</v>
      </c>
      <c r="F30" s="13" t="s">
        <v>226</v>
      </c>
      <c r="G30" s="13">
        <v>4.0</v>
      </c>
      <c r="H30" s="13" t="s">
        <v>227</v>
      </c>
    </row>
    <row r="31">
      <c r="A31" s="13" t="s">
        <v>127</v>
      </c>
      <c r="B31" s="13" t="s">
        <v>169</v>
      </c>
      <c r="C31" s="14" t="s">
        <v>228</v>
      </c>
      <c r="D31" s="10">
        <f>IFERROR(__xludf.DUMMYFUNCTION("SPLIT(C31,"","")"),56.1761411)</f>
        <v>56.1761411</v>
      </c>
      <c r="E31" s="11">
        <f>IFERROR(__xludf.DUMMYFUNCTION("""COMPUTED_VALUE"""),10.2175407)</f>
        <v>10.2175407</v>
      </c>
      <c r="F31" s="13" t="s">
        <v>229</v>
      </c>
      <c r="G31" s="13">
        <v>4.0</v>
      </c>
      <c r="H31" s="13" t="s">
        <v>230</v>
      </c>
    </row>
    <row r="32">
      <c r="A32" s="13" t="s">
        <v>231</v>
      </c>
      <c r="B32" s="13" t="s">
        <v>144</v>
      </c>
      <c r="C32" s="14" t="s">
        <v>232</v>
      </c>
      <c r="D32" s="10">
        <f>IFERROR(__xludf.DUMMYFUNCTION("SPLIT(C32,"","")"),55.491593)</f>
        <v>55.491593</v>
      </c>
      <c r="E32" s="11">
        <f>IFERROR(__xludf.DUMMYFUNCTION("""COMPUTED_VALUE"""),9.4741576)</f>
        <v>9.4741576</v>
      </c>
      <c r="F32" s="13" t="s">
        <v>233</v>
      </c>
      <c r="G32" s="13">
        <v>5.0</v>
      </c>
      <c r="H32" s="13" t="s">
        <v>234</v>
      </c>
    </row>
    <row r="33">
      <c r="A33" s="13" t="s">
        <v>235</v>
      </c>
      <c r="B33" s="13" t="s">
        <v>187</v>
      </c>
      <c r="C33" s="14" t="s">
        <v>236</v>
      </c>
      <c r="D33" s="10">
        <f>IFERROR(__xludf.DUMMYFUNCTION("SPLIT(C33,"","")"),56.0864107)</f>
        <v>56.0864107</v>
      </c>
      <c r="E33" s="11">
        <f>IFERROR(__xludf.DUMMYFUNCTION("""COMPUTED_VALUE"""),12.3963899)</f>
        <v>12.3963899</v>
      </c>
      <c r="F33" s="25" t="s">
        <v>237</v>
      </c>
      <c r="G33" s="13">
        <v>4.0</v>
      </c>
      <c r="H33" s="13" t="s">
        <v>238</v>
      </c>
    </row>
    <row r="34">
      <c r="A34" s="13" t="s">
        <v>239</v>
      </c>
      <c r="B34" s="13" t="s">
        <v>240</v>
      </c>
      <c r="C34" s="14" t="s">
        <v>241</v>
      </c>
      <c r="D34" s="10">
        <f>IFERROR(__xludf.DUMMYFUNCTION("SPLIT(C34,"","")"),55.4786324)</f>
        <v>55.4786324</v>
      </c>
      <c r="E34" s="11">
        <f>IFERROR(__xludf.DUMMYFUNCTION("""COMPUTED_VALUE"""),8.435908)</f>
        <v>8.435908</v>
      </c>
      <c r="F34" s="13" t="s">
        <v>242</v>
      </c>
      <c r="G34" s="13">
        <v>4.0</v>
      </c>
    </row>
    <row r="35">
      <c r="A35" s="13" t="s">
        <v>243</v>
      </c>
      <c r="B35" s="13" t="s">
        <v>244</v>
      </c>
      <c r="C35" s="14" t="s">
        <v>245</v>
      </c>
      <c r="D35" s="10">
        <f>IFERROR(__xludf.DUMMYFUNCTION("SPLIT(C35,"","")"),56.1588841330794)</f>
        <v>56.15888413</v>
      </c>
      <c r="E35" s="11">
        <f>IFERROR(__xludf.DUMMYFUNCTION("""COMPUTED_VALUE"""),10.1921259346043)</f>
        <v>10.19212593</v>
      </c>
      <c r="F35" s="13" t="s">
        <v>246</v>
      </c>
      <c r="G35" s="13">
        <v>4.0</v>
      </c>
    </row>
    <row r="36">
      <c r="A36" s="13" t="s">
        <v>247</v>
      </c>
      <c r="B36" s="13" t="s">
        <v>248</v>
      </c>
      <c r="C36" s="14" t="s">
        <v>249</v>
      </c>
      <c r="D36" s="10">
        <f>IFERROR(__xludf.DUMMYFUNCTION("SPLIT(C36,"","")"),56.1053065)</f>
        <v>56.1053065</v>
      </c>
      <c r="E36" s="11">
        <f>IFERROR(__xludf.DUMMYFUNCTION("""COMPUTED_VALUE"""),9.6848622)</f>
        <v>9.6848622</v>
      </c>
      <c r="F36" s="15">
        <f>IFERROR(__xludf.DUMMYFUNCTION("""COMPUTED_VALUE"""),15.0)</f>
        <v>15</v>
      </c>
    </row>
    <row r="37">
      <c r="A37" s="13" t="s">
        <v>250</v>
      </c>
      <c r="B37" s="13" t="s">
        <v>251</v>
      </c>
      <c r="C37" s="14" t="s">
        <v>252</v>
      </c>
      <c r="D37" s="10">
        <f>IFERROR(__xludf.DUMMYFUNCTION("SPLIT(C37,"","")"),56.1731742972829)</f>
        <v>56.1731743</v>
      </c>
      <c r="E37" s="11">
        <f>IFERROR(__xludf.DUMMYFUNCTION("""COMPUTED_VALUE"""),9.55695752018396)</f>
        <v>9.55695752</v>
      </c>
      <c r="F37" s="13" t="s">
        <v>253</v>
      </c>
      <c r="G37" s="13">
        <v>5.0</v>
      </c>
    </row>
    <row r="38">
      <c r="A38" s="13" t="s">
        <v>254</v>
      </c>
      <c r="B38" s="13" t="s">
        <v>169</v>
      </c>
      <c r="C38" s="14" t="s">
        <v>255</v>
      </c>
      <c r="D38" s="10">
        <f>IFERROR(__xludf.DUMMYFUNCTION("SPLIT(C38,"","")"),56.2010145)</f>
        <v>56.2010145</v>
      </c>
      <c r="E38" s="11">
        <f>IFERROR(__xludf.DUMMYFUNCTION("""COMPUTED_VALUE"""),8.9632962)</f>
        <v>8.9632962</v>
      </c>
      <c r="F38" s="13" t="s">
        <v>254</v>
      </c>
    </row>
    <row r="39">
      <c r="A39" s="13" t="s">
        <v>256</v>
      </c>
      <c r="B39" s="13" t="s">
        <v>43</v>
      </c>
      <c r="C39" s="14" t="s">
        <v>257</v>
      </c>
      <c r="D39" s="10">
        <f>IFERROR(__xludf.DUMMYFUNCTION("SPLIT(C39,"","")"),56.104165)</f>
        <v>56.104165</v>
      </c>
      <c r="E39" s="26">
        <f>IFERROR(__xludf.DUMMYFUNCTION("""COMPUTED_VALUE"""),9.669434)</f>
        <v>9.669434</v>
      </c>
      <c r="F39" s="13" t="s">
        <v>258</v>
      </c>
      <c r="G39" s="13">
        <v>3.0</v>
      </c>
      <c r="H39" s="13" t="s">
        <v>259</v>
      </c>
    </row>
    <row r="40">
      <c r="A40" s="13" t="s">
        <v>260</v>
      </c>
      <c r="B40" s="13" t="s">
        <v>261</v>
      </c>
      <c r="C40" s="14" t="s">
        <v>262</v>
      </c>
      <c r="D40" s="10">
        <f>IFERROR(__xludf.DUMMYFUNCTION("SPLIT(C40,"","")"),55.3953875)</f>
        <v>55.3953875</v>
      </c>
      <c r="E40" s="11">
        <f>IFERROR(__xludf.DUMMYFUNCTION("""COMPUTED_VALUE"""),10.389136)</f>
        <v>10.389136</v>
      </c>
      <c r="F40" s="13" t="s">
        <v>263</v>
      </c>
    </row>
    <row r="41">
      <c r="A41" s="13" t="s">
        <v>264</v>
      </c>
      <c r="B41" s="13" t="s">
        <v>265</v>
      </c>
      <c r="C41" s="14" t="s">
        <v>266</v>
      </c>
      <c r="D41" s="10">
        <f>IFERROR(__xludf.DUMMYFUNCTION("SPLIT(C41,"","")"),56.1725556)</f>
        <v>56.1725556</v>
      </c>
      <c r="E41" s="11">
        <f>IFERROR(__xludf.DUMMYFUNCTION("""COMPUTED_VALUE"""),10.205593)</f>
        <v>10.205593</v>
      </c>
      <c r="F41" s="13" t="s">
        <v>264</v>
      </c>
      <c r="G41" s="13">
        <v>5.0</v>
      </c>
    </row>
    <row r="42">
      <c r="A42" s="13" t="s">
        <v>267</v>
      </c>
      <c r="B42" s="13" t="s">
        <v>268</v>
      </c>
      <c r="C42" s="14" t="s">
        <v>269</v>
      </c>
      <c r="D42" s="10">
        <f>IFERROR(__xludf.DUMMYFUNCTION("SPLIT(C42,"","")"),56.205574)</f>
        <v>56.205574</v>
      </c>
      <c r="E42" s="11">
        <f>IFERROR(__xludf.DUMMYFUNCTION("""COMPUTED_VALUE"""),8.9065236)</f>
        <v>8.9065236</v>
      </c>
      <c r="F42" s="13" t="s">
        <v>270</v>
      </c>
      <c r="G42" s="13">
        <v>4.0</v>
      </c>
      <c r="H42" s="13" t="s">
        <v>271</v>
      </c>
    </row>
    <row r="43">
      <c r="A43" s="13" t="s">
        <v>272</v>
      </c>
      <c r="B43" s="13" t="s">
        <v>273</v>
      </c>
      <c r="C43" s="14" t="s">
        <v>274</v>
      </c>
      <c r="D43" s="10">
        <f>IFERROR(__xludf.DUMMYFUNCTION("SPLIT(C43,"","")"),56.2814)</f>
        <v>56.2814</v>
      </c>
      <c r="E43" s="11">
        <f>IFERROR(__xludf.DUMMYFUNCTION("""COMPUTED_VALUE"""),10.69054)</f>
        <v>10.69054</v>
      </c>
      <c r="F43" s="13" t="s">
        <v>275</v>
      </c>
      <c r="G43" s="13">
        <v>5.0</v>
      </c>
    </row>
    <row r="44">
      <c r="C44" s="18"/>
      <c r="D44" s="10" t="str">
        <f>IFERROR(__xludf.DUMMYFUNCTION("SPLIT(C44,"","")"),"#VALUE!")</f>
        <v>#VALUE!</v>
      </c>
      <c r="E44" s="11"/>
    </row>
    <row r="45">
      <c r="C45" s="18"/>
      <c r="D45" s="10" t="str">
        <f>IFERROR(__xludf.DUMMYFUNCTION("SPLIT(C45,"","")"),"#VALUE!")</f>
        <v>#VALUE!</v>
      </c>
      <c r="E45" s="11"/>
    </row>
    <row r="46">
      <c r="C46" s="18"/>
      <c r="E46" s="11"/>
    </row>
    <row r="47">
      <c r="C47" s="18"/>
    </row>
    <row r="48">
      <c r="C48" s="18"/>
    </row>
    <row r="49">
      <c r="C49" s="18"/>
    </row>
    <row r="50">
      <c r="C50" s="18"/>
    </row>
    <row r="51">
      <c r="C51" s="18"/>
    </row>
    <row r="52">
      <c r="C52" s="18"/>
    </row>
    <row r="53">
      <c r="C53" s="18"/>
    </row>
    <row r="54">
      <c r="C54" s="18"/>
    </row>
    <row r="55">
      <c r="C55" s="18"/>
    </row>
    <row r="56">
      <c r="C56" s="18"/>
    </row>
    <row r="57">
      <c r="C57" s="18"/>
    </row>
    <row r="58">
      <c r="C58" s="18"/>
    </row>
    <row r="59">
      <c r="C59" s="18"/>
    </row>
    <row r="60">
      <c r="C60" s="18"/>
    </row>
    <row r="61">
      <c r="C61" s="18"/>
    </row>
    <row r="62">
      <c r="C62" s="18"/>
    </row>
    <row r="63">
      <c r="C63" s="18"/>
    </row>
    <row r="64">
      <c r="C64" s="18"/>
    </row>
    <row r="65">
      <c r="C65" s="18"/>
    </row>
    <row r="66">
      <c r="C66" s="18"/>
    </row>
    <row r="67">
      <c r="C67" s="18"/>
    </row>
    <row r="68">
      <c r="C68" s="18"/>
    </row>
    <row r="69">
      <c r="C69" s="18"/>
    </row>
    <row r="70">
      <c r="C70" s="18"/>
    </row>
    <row r="71">
      <c r="C71" s="18"/>
    </row>
    <row r="72">
      <c r="C72" s="18"/>
    </row>
    <row r="73">
      <c r="C73" s="18"/>
    </row>
    <row r="74">
      <c r="C74" s="18"/>
    </row>
    <row r="75">
      <c r="C75" s="18"/>
    </row>
    <row r="76">
      <c r="C76" s="18"/>
    </row>
    <row r="77">
      <c r="C77" s="18"/>
    </row>
    <row r="78">
      <c r="C78" s="18"/>
    </row>
    <row r="79">
      <c r="C79" s="18"/>
    </row>
    <row r="80">
      <c r="C80" s="18"/>
    </row>
    <row r="81">
      <c r="C81" s="18"/>
    </row>
    <row r="82">
      <c r="C82" s="18"/>
    </row>
    <row r="83">
      <c r="C83" s="18"/>
    </row>
    <row r="84">
      <c r="C84" s="18"/>
    </row>
    <row r="85">
      <c r="C85" s="18"/>
    </row>
    <row r="86">
      <c r="C86" s="18"/>
    </row>
    <row r="87">
      <c r="C87" s="18"/>
    </row>
    <row r="88">
      <c r="C88" s="18"/>
    </row>
    <row r="89">
      <c r="C89" s="18"/>
    </row>
    <row r="90">
      <c r="C90" s="18"/>
    </row>
    <row r="91">
      <c r="C91" s="18"/>
    </row>
    <row r="92">
      <c r="C92" s="18"/>
    </row>
    <row r="93">
      <c r="C93" s="18"/>
    </row>
    <row r="94">
      <c r="C94" s="18"/>
    </row>
    <row r="95">
      <c r="C95" s="18"/>
    </row>
    <row r="96">
      <c r="C96" s="18"/>
    </row>
    <row r="97">
      <c r="C97" s="18"/>
    </row>
    <row r="98">
      <c r="C98" s="18"/>
    </row>
    <row r="99">
      <c r="C99" s="18"/>
    </row>
    <row r="100">
      <c r="C100" s="18"/>
    </row>
    <row r="101">
      <c r="C101" s="18"/>
    </row>
    <row r="102">
      <c r="C102" s="18"/>
    </row>
    <row r="103">
      <c r="C103" s="18"/>
    </row>
    <row r="104">
      <c r="C104" s="18"/>
    </row>
    <row r="105">
      <c r="C105" s="18"/>
    </row>
    <row r="106">
      <c r="C106" s="18"/>
    </row>
    <row r="107">
      <c r="C107" s="18"/>
    </row>
    <row r="108">
      <c r="C108" s="18"/>
    </row>
    <row r="109">
      <c r="C109" s="18"/>
    </row>
    <row r="110">
      <c r="C110" s="18"/>
    </row>
    <row r="111">
      <c r="C111" s="18"/>
    </row>
    <row r="112">
      <c r="C112" s="18"/>
    </row>
    <row r="113">
      <c r="C113" s="18"/>
    </row>
    <row r="114">
      <c r="C114" s="18"/>
    </row>
    <row r="115">
      <c r="C115" s="18"/>
    </row>
    <row r="116">
      <c r="C116" s="18"/>
    </row>
    <row r="117">
      <c r="C117" s="18"/>
    </row>
    <row r="118">
      <c r="C118" s="18"/>
    </row>
    <row r="119">
      <c r="C119" s="18"/>
    </row>
    <row r="120">
      <c r="C120" s="18"/>
    </row>
    <row r="121">
      <c r="C121" s="18"/>
    </row>
    <row r="122">
      <c r="C122" s="18"/>
    </row>
    <row r="123">
      <c r="C123" s="18"/>
    </row>
    <row r="124">
      <c r="C124" s="18"/>
    </row>
    <row r="125">
      <c r="C125" s="18"/>
    </row>
    <row r="126">
      <c r="C126" s="18"/>
    </row>
    <row r="127">
      <c r="C127" s="18"/>
    </row>
    <row r="128">
      <c r="C128" s="18"/>
    </row>
    <row r="129">
      <c r="C129" s="18"/>
    </row>
    <row r="130">
      <c r="C130" s="18"/>
    </row>
    <row r="131">
      <c r="C131" s="18"/>
    </row>
    <row r="132">
      <c r="C132" s="18"/>
    </row>
    <row r="133">
      <c r="C133" s="18"/>
    </row>
    <row r="134">
      <c r="C134" s="18"/>
    </row>
    <row r="135">
      <c r="C135" s="18"/>
    </row>
    <row r="136">
      <c r="C136" s="18"/>
    </row>
    <row r="137">
      <c r="C137" s="18"/>
    </row>
    <row r="138">
      <c r="C138" s="18"/>
    </row>
    <row r="139">
      <c r="C139" s="18"/>
    </row>
    <row r="140">
      <c r="C140" s="18"/>
    </row>
    <row r="141">
      <c r="C141" s="18"/>
    </row>
    <row r="142">
      <c r="C142" s="18"/>
    </row>
    <row r="143">
      <c r="C143" s="18"/>
    </row>
    <row r="144">
      <c r="C144" s="18"/>
    </row>
    <row r="145">
      <c r="C145" s="18"/>
    </row>
    <row r="146">
      <c r="C146" s="18"/>
    </row>
    <row r="147">
      <c r="C147" s="18"/>
    </row>
    <row r="148">
      <c r="C148" s="18"/>
    </row>
    <row r="149">
      <c r="C149" s="18"/>
    </row>
    <row r="150">
      <c r="C150" s="18"/>
    </row>
    <row r="151">
      <c r="C151" s="18"/>
    </row>
    <row r="152">
      <c r="C152" s="18"/>
    </row>
    <row r="153">
      <c r="C153" s="18"/>
    </row>
    <row r="154">
      <c r="C154" s="18"/>
    </row>
    <row r="155">
      <c r="C155" s="18"/>
    </row>
    <row r="156">
      <c r="C156" s="18"/>
    </row>
    <row r="157">
      <c r="C157" s="18"/>
    </row>
    <row r="158">
      <c r="C158" s="18"/>
    </row>
    <row r="159">
      <c r="C159" s="18"/>
    </row>
    <row r="160">
      <c r="C160" s="18"/>
    </row>
    <row r="161">
      <c r="C161" s="18"/>
    </row>
    <row r="162">
      <c r="C162" s="18"/>
    </row>
    <row r="163">
      <c r="C163" s="18"/>
    </row>
    <row r="164">
      <c r="C164" s="18"/>
    </row>
    <row r="165">
      <c r="C165" s="18"/>
    </row>
    <row r="166">
      <c r="C166" s="18"/>
    </row>
    <row r="167">
      <c r="C167" s="18"/>
    </row>
    <row r="168">
      <c r="C168" s="18"/>
    </row>
    <row r="169">
      <c r="C169" s="18"/>
    </row>
    <row r="170">
      <c r="C170" s="18"/>
    </row>
    <row r="171">
      <c r="C171" s="18"/>
    </row>
    <row r="172">
      <c r="C172" s="18"/>
    </row>
    <row r="173">
      <c r="C173" s="18"/>
    </row>
    <row r="174">
      <c r="C174" s="18"/>
    </row>
    <row r="175">
      <c r="C175" s="18"/>
    </row>
    <row r="176">
      <c r="C176" s="18"/>
    </row>
    <row r="177">
      <c r="C177" s="18"/>
    </row>
    <row r="178">
      <c r="C178" s="18"/>
    </row>
    <row r="179">
      <c r="C179" s="18"/>
    </row>
    <row r="180">
      <c r="C180" s="18"/>
    </row>
    <row r="181">
      <c r="C181" s="18"/>
    </row>
    <row r="182">
      <c r="C182" s="18"/>
    </row>
    <row r="183">
      <c r="C183" s="18"/>
    </row>
    <row r="184">
      <c r="C184" s="18"/>
    </row>
    <row r="185">
      <c r="C185" s="18"/>
    </row>
    <row r="186">
      <c r="C186" s="18"/>
    </row>
    <row r="187">
      <c r="C187" s="18"/>
    </row>
    <row r="188">
      <c r="C188" s="18"/>
    </row>
    <row r="189">
      <c r="C189" s="18"/>
    </row>
    <row r="190">
      <c r="C190" s="18"/>
    </row>
    <row r="191">
      <c r="C191" s="18"/>
    </row>
    <row r="192">
      <c r="C192" s="18"/>
    </row>
    <row r="193">
      <c r="C193" s="18"/>
    </row>
    <row r="194">
      <c r="C194" s="18"/>
    </row>
    <row r="195">
      <c r="C195" s="18"/>
    </row>
    <row r="196">
      <c r="C196" s="18"/>
    </row>
    <row r="197">
      <c r="C197" s="18"/>
    </row>
    <row r="198">
      <c r="C198" s="18"/>
    </row>
    <row r="199">
      <c r="C199" s="18"/>
    </row>
    <row r="200">
      <c r="C200" s="18"/>
    </row>
    <row r="201">
      <c r="C201" s="18"/>
    </row>
    <row r="202">
      <c r="C202" s="18"/>
    </row>
    <row r="203">
      <c r="C203" s="18"/>
    </row>
    <row r="204">
      <c r="C204" s="18"/>
    </row>
    <row r="205">
      <c r="C205" s="18"/>
    </row>
    <row r="206">
      <c r="C206" s="18"/>
    </row>
    <row r="207">
      <c r="C207" s="18"/>
    </row>
    <row r="208">
      <c r="C208" s="18"/>
    </row>
    <row r="209">
      <c r="C209" s="18"/>
    </row>
    <row r="210">
      <c r="C210" s="18"/>
    </row>
    <row r="211">
      <c r="C211" s="18"/>
    </row>
    <row r="212">
      <c r="C212" s="18"/>
    </row>
    <row r="213">
      <c r="C213" s="18"/>
    </row>
    <row r="214">
      <c r="C214" s="18"/>
    </row>
    <row r="215">
      <c r="C215" s="18"/>
    </row>
    <row r="216">
      <c r="C216" s="18"/>
    </row>
    <row r="217">
      <c r="C217" s="18"/>
    </row>
    <row r="218">
      <c r="C218" s="18"/>
    </row>
    <row r="219">
      <c r="C219" s="18"/>
    </row>
    <row r="220">
      <c r="C220" s="18"/>
    </row>
    <row r="221">
      <c r="C221" s="18"/>
    </row>
    <row r="222">
      <c r="C222" s="18"/>
    </row>
    <row r="223">
      <c r="C223" s="18"/>
    </row>
    <row r="224">
      <c r="C224" s="18"/>
    </row>
    <row r="225">
      <c r="C225" s="18"/>
    </row>
    <row r="226">
      <c r="C226" s="18"/>
    </row>
    <row r="227">
      <c r="C227" s="18"/>
    </row>
    <row r="228">
      <c r="C228" s="18"/>
    </row>
    <row r="229">
      <c r="C229" s="18"/>
    </row>
    <row r="230">
      <c r="C230" s="18"/>
    </row>
    <row r="231">
      <c r="C231" s="18"/>
    </row>
    <row r="232">
      <c r="C232" s="18"/>
    </row>
    <row r="233">
      <c r="C233" s="18"/>
    </row>
    <row r="234">
      <c r="C234" s="18"/>
    </row>
    <row r="235">
      <c r="C235" s="18"/>
    </row>
    <row r="236">
      <c r="C236" s="18"/>
    </row>
    <row r="237">
      <c r="C237" s="18"/>
    </row>
    <row r="238">
      <c r="C238" s="18"/>
    </row>
    <row r="239">
      <c r="C239" s="18"/>
    </row>
    <row r="240">
      <c r="C240" s="18"/>
    </row>
    <row r="241">
      <c r="C241" s="18"/>
    </row>
    <row r="242">
      <c r="C242" s="18"/>
    </row>
    <row r="243">
      <c r="C243" s="18"/>
    </row>
    <row r="244">
      <c r="C244" s="18"/>
    </row>
    <row r="245">
      <c r="C245" s="18"/>
    </row>
    <row r="246">
      <c r="C246" s="18"/>
    </row>
    <row r="247">
      <c r="C247" s="18"/>
    </row>
    <row r="248">
      <c r="C248" s="18"/>
    </row>
    <row r="249">
      <c r="C249" s="18"/>
    </row>
    <row r="250">
      <c r="C250" s="18"/>
    </row>
    <row r="251">
      <c r="C251" s="18"/>
    </row>
    <row r="252">
      <c r="C252" s="18"/>
    </row>
    <row r="253">
      <c r="C253" s="18"/>
    </row>
    <row r="254">
      <c r="C254" s="18"/>
    </row>
    <row r="255">
      <c r="C255" s="18"/>
    </row>
    <row r="256">
      <c r="C256" s="18"/>
    </row>
    <row r="257">
      <c r="C257" s="18"/>
    </row>
    <row r="258">
      <c r="C258" s="18"/>
    </row>
    <row r="259">
      <c r="C259" s="18"/>
    </row>
    <row r="260">
      <c r="C260" s="18"/>
    </row>
    <row r="261">
      <c r="C261" s="18"/>
    </row>
    <row r="262">
      <c r="C262" s="18"/>
    </row>
    <row r="263">
      <c r="C263" s="18"/>
    </row>
    <row r="264">
      <c r="C264" s="18"/>
    </row>
    <row r="265">
      <c r="C265" s="18"/>
    </row>
    <row r="266">
      <c r="C266" s="18"/>
    </row>
    <row r="267">
      <c r="C267" s="18"/>
    </row>
    <row r="268">
      <c r="C268" s="18"/>
    </row>
    <row r="269">
      <c r="C269" s="18"/>
    </row>
    <row r="270">
      <c r="C270" s="18"/>
    </row>
    <row r="271">
      <c r="C271" s="18"/>
    </row>
    <row r="272">
      <c r="C272" s="18"/>
    </row>
    <row r="273">
      <c r="C273" s="18"/>
    </row>
    <row r="274">
      <c r="C274" s="18"/>
    </row>
    <row r="275">
      <c r="C275" s="18"/>
    </row>
    <row r="276">
      <c r="C276" s="18"/>
    </row>
    <row r="277">
      <c r="C277" s="18"/>
    </row>
    <row r="278">
      <c r="C278" s="18"/>
    </row>
    <row r="279">
      <c r="C279" s="18"/>
    </row>
    <row r="280">
      <c r="C280" s="18"/>
    </row>
    <row r="281">
      <c r="C281" s="18"/>
    </row>
    <row r="282">
      <c r="C282" s="18"/>
    </row>
    <row r="283">
      <c r="C283" s="18"/>
    </row>
    <row r="284">
      <c r="C284" s="18"/>
    </row>
    <row r="285">
      <c r="C285" s="18"/>
    </row>
    <row r="286">
      <c r="C286" s="18"/>
    </row>
    <row r="287">
      <c r="C287" s="18"/>
    </row>
    <row r="288">
      <c r="C288" s="18"/>
    </row>
    <row r="289">
      <c r="C289" s="18"/>
    </row>
    <row r="290">
      <c r="C290" s="18"/>
    </row>
    <row r="291">
      <c r="C291" s="18"/>
    </row>
    <row r="292">
      <c r="C292" s="18"/>
    </row>
    <row r="293">
      <c r="C293" s="18"/>
    </row>
    <row r="294">
      <c r="C294" s="18"/>
    </row>
    <row r="295">
      <c r="C295" s="18"/>
    </row>
    <row r="296">
      <c r="C296" s="18"/>
    </row>
    <row r="297">
      <c r="C297" s="18"/>
    </row>
    <row r="298">
      <c r="C298" s="18"/>
    </row>
    <row r="299">
      <c r="C299" s="18"/>
    </row>
    <row r="300">
      <c r="C300" s="18"/>
    </row>
    <row r="301">
      <c r="C301" s="18"/>
    </row>
    <row r="302">
      <c r="C302" s="18"/>
    </row>
    <row r="303">
      <c r="C303" s="18"/>
    </row>
    <row r="304">
      <c r="C304" s="18"/>
    </row>
    <row r="305">
      <c r="C305" s="18"/>
    </row>
    <row r="306">
      <c r="C306" s="18"/>
    </row>
    <row r="307">
      <c r="C307" s="18"/>
    </row>
    <row r="308">
      <c r="C308" s="18"/>
    </row>
    <row r="309">
      <c r="C309" s="18"/>
    </row>
    <row r="310">
      <c r="C310" s="18"/>
    </row>
    <row r="311">
      <c r="C311" s="18"/>
    </row>
    <row r="312">
      <c r="C312" s="18"/>
    </row>
    <row r="313">
      <c r="C313" s="18"/>
    </row>
    <row r="314">
      <c r="C314" s="18"/>
    </row>
    <row r="315">
      <c r="C315" s="18"/>
    </row>
    <row r="316">
      <c r="C316" s="18"/>
    </row>
    <row r="317">
      <c r="C317" s="18"/>
    </row>
    <row r="318">
      <c r="C318" s="18"/>
    </row>
    <row r="319">
      <c r="C319" s="18"/>
    </row>
    <row r="320">
      <c r="C320" s="18"/>
    </row>
    <row r="321">
      <c r="C321" s="18"/>
    </row>
    <row r="322">
      <c r="C322" s="18"/>
    </row>
    <row r="323">
      <c r="C323" s="18"/>
    </row>
    <row r="324">
      <c r="C324" s="18"/>
    </row>
    <row r="325">
      <c r="C325" s="18"/>
    </row>
    <row r="326">
      <c r="C326" s="18"/>
    </row>
    <row r="327">
      <c r="C327" s="18"/>
    </row>
    <row r="328">
      <c r="C328" s="18"/>
    </row>
    <row r="329">
      <c r="C329" s="18"/>
    </row>
    <row r="330">
      <c r="C330" s="18"/>
    </row>
    <row r="331">
      <c r="C331" s="18"/>
    </row>
    <row r="332">
      <c r="C332" s="18"/>
    </row>
    <row r="333">
      <c r="C333" s="18"/>
    </row>
    <row r="334">
      <c r="C334" s="18"/>
    </row>
    <row r="335">
      <c r="C335" s="18"/>
    </row>
    <row r="336">
      <c r="C336" s="18"/>
    </row>
    <row r="337">
      <c r="C337" s="18"/>
    </row>
    <row r="338">
      <c r="C338" s="18"/>
    </row>
    <row r="339">
      <c r="C339" s="18"/>
    </row>
    <row r="340">
      <c r="C340" s="18"/>
    </row>
    <row r="341">
      <c r="C341" s="18"/>
    </row>
    <row r="342">
      <c r="C342" s="18"/>
    </row>
    <row r="343">
      <c r="C343" s="18"/>
    </row>
    <row r="344">
      <c r="C344" s="18"/>
    </row>
    <row r="345">
      <c r="C345" s="18"/>
    </row>
    <row r="346">
      <c r="C346" s="18"/>
    </row>
    <row r="347">
      <c r="C347" s="18"/>
    </row>
    <row r="348">
      <c r="C348" s="18"/>
    </row>
    <row r="349">
      <c r="C349" s="18"/>
    </row>
    <row r="350">
      <c r="C350" s="18"/>
    </row>
    <row r="351">
      <c r="C351" s="18"/>
    </row>
    <row r="352">
      <c r="C352" s="18"/>
    </row>
    <row r="353">
      <c r="C353" s="18"/>
    </row>
    <row r="354">
      <c r="C354" s="18"/>
    </row>
    <row r="355">
      <c r="C355" s="18"/>
    </row>
    <row r="356">
      <c r="C356" s="18"/>
    </row>
    <row r="357">
      <c r="C357" s="18"/>
    </row>
    <row r="358">
      <c r="C358" s="18"/>
    </row>
    <row r="359">
      <c r="C359" s="18"/>
    </row>
    <row r="360">
      <c r="C360" s="18"/>
    </row>
    <row r="361">
      <c r="C361" s="18"/>
    </row>
    <row r="362">
      <c r="C362" s="18"/>
    </row>
    <row r="363">
      <c r="C363" s="18"/>
    </row>
    <row r="364">
      <c r="C364" s="18"/>
    </row>
    <row r="365">
      <c r="C365" s="18"/>
    </row>
    <row r="366">
      <c r="C366" s="18"/>
    </row>
    <row r="367">
      <c r="C367" s="18"/>
    </row>
    <row r="368">
      <c r="C368" s="18"/>
    </row>
    <row r="369">
      <c r="C369" s="18"/>
    </row>
    <row r="370">
      <c r="C370" s="18"/>
    </row>
    <row r="371">
      <c r="C371" s="18"/>
    </row>
    <row r="372">
      <c r="C372" s="18"/>
    </row>
    <row r="373">
      <c r="C373" s="18"/>
    </row>
    <row r="374">
      <c r="C374" s="18"/>
    </row>
    <row r="375">
      <c r="C375" s="18"/>
    </row>
    <row r="376">
      <c r="C376" s="18"/>
    </row>
    <row r="377">
      <c r="C377" s="18"/>
    </row>
    <row r="378">
      <c r="C378" s="18"/>
    </row>
    <row r="379">
      <c r="C379" s="18"/>
    </row>
    <row r="380">
      <c r="C380" s="18"/>
    </row>
    <row r="381">
      <c r="C381" s="18"/>
    </row>
    <row r="382">
      <c r="C382" s="18"/>
    </row>
    <row r="383">
      <c r="C383" s="18"/>
    </row>
    <row r="384">
      <c r="C384" s="18"/>
    </row>
    <row r="385">
      <c r="C385" s="18"/>
    </row>
    <row r="386">
      <c r="C386" s="18"/>
    </row>
    <row r="387">
      <c r="C387" s="18"/>
    </row>
    <row r="388">
      <c r="C388" s="18"/>
    </row>
    <row r="389">
      <c r="C389" s="18"/>
    </row>
    <row r="390">
      <c r="C390" s="18"/>
    </row>
    <row r="391">
      <c r="C391" s="18"/>
    </row>
    <row r="392">
      <c r="C392" s="18"/>
    </row>
    <row r="393">
      <c r="C393" s="18"/>
    </row>
    <row r="394">
      <c r="C394" s="18"/>
    </row>
    <row r="395">
      <c r="C395" s="18"/>
    </row>
    <row r="396">
      <c r="C396" s="18"/>
    </row>
    <row r="397">
      <c r="C397" s="18"/>
    </row>
    <row r="398">
      <c r="C398" s="18"/>
    </row>
    <row r="399">
      <c r="C399" s="18"/>
    </row>
    <row r="400">
      <c r="C400" s="18"/>
    </row>
    <row r="401">
      <c r="C401" s="18"/>
    </row>
    <row r="402">
      <c r="C402" s="18"/>
    </row>
    <row r="403">
      <c r="C403" s="18"/>
    </row>
    <row r="404">
      <c r="C404" s="18"/>
    </row>
    <row r="405">
      <c r="C405" s="18"/>
    </row>
    <row r="406">
      <c r="C406" s="18"/>
    </row>
    <row r="407">
      <c r="C407" s="18"/>
    </row>
    <row r="408">
      <c r="C408" s="18"/>
    </row>
    <row r="409">
      <c r="C409" s="18"/>
    </row>
    <row r="410">
      <c r="C410" s="18"/>
    </row>
    <row r="411">
      <c r="C411" s="18"/>
    </row>
    <row r="412">
      <c r="C412" s="18"/>
    </row>
    <row r="413">
      <c r="C413" s="18"/>
    </row>
    <row r="414">
      <c r="C414" s="18"/>
    </row>
    <row r="415">
      <c r="C415" s="18"/>
    </row>
    <row r="416">
      <c r="C416" s="18"/>
    </row>
    <row r="417">
      <c r="C417" s="18"/>
    </row>
    <row r="418">
      <c r="C418" s="18"/>
    </row>
    <row r="419">
      <c r="C419" s="18"/>
    </row>
    <row r="420">
      <c r="C420" s="18"/>
    </row>
    <row r="421">
      <c r="C421" s="18"/>
    </row>
    <row r="422">
      <c r="C422" s="18"/>
    </row>
    <row r="423">
      <c r="C423" s="18"/>
    </row>
    <row r="424">
      <c r="C424" s="18"/>
    </row>
    <row r="425">
      <c r="C425" s="18"/>
    </row>
    <row r="426">
      <c r="C426" s="18"/>
    </row>
    <row r="427">
      <c r="C427" s="18"/>
    </row>
    <row r="428">
      <c r="C428" s="18"/>
    </row>
    <row r="429">
      <c r="C429" s="18"/>
    </row>
    <row r="430">
      <c r="C430" s="18"/>
    </row>
    <row r="431">
      <c r="C431" s="18"/>
    </row>
    <row r="432">
      <c r="C432" s="18"/>
    </row>
    <row r="433">
      <c r="C433" s="18"/>
    </row>
    <row r="434">
      <c r="C434" s="18"/>
    </row>
    <row r="435">
      <c r="C435" s="18"/>
    </row>
    <row r="436">
      <c r="C436" s="18"/>
    </row>
    <row r="437">
      <c r="C437" s="18"/>
    </row>
    <row r="438">
      <c r="C438" s="18"/>
    </row>
    <row r="439">
      <c r="C439" s="18"/>
    </row>
    <row r="440">
      <c r="C440" s="18"/>
    </row>
    <row r="441">
      <c r="C441" s="18"/>
    </row>
    <row r="442">
      <c r="C442" s="18"/>
    </row>
    <row r="443">
      <c r="C443" s="18"/>
    </row>
    <row r="444">
      <c r="C444" s="18"/>
    </row>
    <row r="445">
      <c r="C445" s="18"/>
    </row>
    <row r="446">
      <c r="C446" s="18"/>
    </row>
    <row r="447">
      <c r="C447" s="18"/>
    </row>
    <row r="448">
      <c r="C448" s="18"/>
    </row>
    <row r="449">
      <c r="C449" s="18"/>
    </row>
    <row r="450">
      <c r="C450" s="18"/>
    </row>
    <row r="451">
      <c r="C451" s="18"/>
    </row>
    <row r="452">
      <c r="C452" s="18"/>
    </row>
    <row r="453">
      <c r="C453" s="18"/>
    </row>
    <row r="454">
      <c r="C454" s="18"/>
    </row>
    <row r="455">
      <c r="C455" s="18"/>
    </row>
    <row r="456">
      <c r="C456" s="18"/>
    </row>
    <row r="457">
      <c r="C457" s="18"/>
    </row>
    <row r="458">
      <c r="C458" s="18"/>
    </row>
    <row r="459">
      <c r="C459" s="18"/>
    </row>
    <row r="460">
      <c r="C460" s="18"/>
    </row>
    <row r="461">
      <c r="C461" s="18"/>
    </row>
    <row r="462">
      <c r="C462" s="18"/>
    </row>
    <row r="463">
      <c r="C463" s="18"/>
    </row>
    <row r="464">
      <c r="C464" s="18"/>
    </row>
    <row r="465">
      <c r="C465" s="18"/>
    </row>
    <row r="466">
      <c r="C466" s="18"/>
    </row>
    <row r="467">
      <c r="C467" s="18"/>
    </row>
    <row r="468">
      <c r="C468" s="18"/>
    </row>
    <row r="469">
      <c r="C469" s="18"/>
    </row>
    <row r="470">
      <c r="C470" s="18"/>
    </row>
    <row r="471">
      <c r="C471" s="18"/>
    </row>
    <row r="472">
      <c r="C472" s="18"/>
    </row>
    <row r="473">
      <c r="C473" s="18"/>
    </row>
    <row r="474">
      <c r="C474" s="18"/>
    </row>
    <row r="475">
      <c r="C475" s="18"/>
    </row>
    <row r="476">
      <c r="C476" s="18"/>
    </row>
    <row r="477">
      <c r="C477" s="18"/>
    </row>
    <row r="478">
      <c r="C478" s="18"/>
    </row>
    <row r="479">
      <c r="C479" s="18"/>
    </row>
    <row r="480">
      <c r="C480" s="18"/>
    </row>
    <row r="481">
      <c r="C481" s="18"/>
    </row>
    <row r="482">
      <c r="C482" s="18"/>
    </row>
    <row r="483">
      <c r="C483" s="18"/>
    </row>
    <row r="484">
      <c r="C484" s="18"/>
    </row>
    <row r="485">
      <c r="C485" s="18"/>
    </row>
    <row r="486">
      <c r="C486" s="18"/>
    </row>
    <row r="487">
      <c r="C487" s="18"/>
    </row>
    <row r="488">
      <c r="C488" s="18"/>
    </row>
    <row r="489">
      <c r="C489" s="18"/>
    </row>
    <row r="490">
      <c r="C490" s="18"/>
    </row>
    <row r="491">
      <c r="C491" s="18"/>
    </row>
    <row r="492">
      <c r="C492" s="18"/>
    </row>
    <row r="493">
      <c r="C493" s="18"/>
    </row>
    <row r="494">
      <c r="C494" s="18"/>
    </row>
    <row r="495">
      <c r="C495" s="18"/>
    </row>
    <row r="496">
      <c r="C496" s="18"/>
    </row>
    <row r="497">
      <c r="C497" s="18"/>
    </row>
    <row r="498">
      <c r="C498" s="18"/>
    </row>
    <row r="499">
      <c r="C499" s="18"/>
    </row>
    <row r="500">
      <c r="C500" s="18"/>
    </row>
    <row r="501">
      <c r="C501" s="18"/>
    </row>
    <row r="502">
      <c r="C502" s="18"/>
    </row>
    <row r="503">
      <c r="C503" s="18"/>
    </row>
    <row r="504">
      <c r="C504" s="18"/>
    </row>
    <row r="505">
      <c r="C505" s="18"/>
    </row>
    <row r="506">
      <c r="C506" s="18"/>
    </row>
    <row r="507">
      <c r="C507" s="18"/>
    </row>
    <row r="508">
      <c r="C508" s="18"/>
    </row>
    <row r="509">
      <c r="C509" s="18"/>
    </row>
    <row r="510">
      <c r="C510" s="18"/>
    </row>
    <row r="511">
      <c r="C511" s="18"/>
    </row>
    <row r="512">
      <c r="C512" s="18"/>
    </row>
    <row r="513">
      <c r="C513" s="18"/>
    </row>
    <row r="514">
      <c r="C514" s="18"/>
    </row>
    <row r="515">
      <c r="C515" s="18"/>
    </row>
    <row r="516">
      <c r="C516" s="18"/>
    </row>
    <row r="517">
      <c r="C517" s="18"/>
    </row>
    <row r="518">
      <c r="C518" s="18"/>
    </row>
    <row r="519">
      <c r="C519" s="18"/>
    </row>
    <row r="520">
      <c r="C520" s="18"/>
    </row>
    <row r="521">
      <c r="C521" s="18"/>
    </row>
    <row r="522">
      <c r="C522" s="18"/>
    </row>
    <row r="523">
      <c r="C523" s="18"/>
    </row>
    <row r="524">
      <c r="C524" s="18"/>
    </row>
    <row r="525">
      <c r="C525" s="18"/>
    </row>
    <row r="526">
      <c r="C526" s="18"/>
    </row>
    <row r="527">
      <c r="C527" s="18"/>
    </row>
    <row r="528">
      <c r="C528" s="18"/>
    </row>
    <row r="529">
      <c r="C529" s="18"/>
    </row>
    <row r="530">
      <c r="C530" s="18"/>
    </row>
    <row r="531">
      <c r="C531" s="18"/>
    </row>
    <row r="532">
      <c r="C532" s="18"/>
    </row>
    <row r="533">
      <c r="C533" s="18"/>
    </row>
    <row r="534">
      <c r="C534" s="18"/>
    </row>
    <row r="535">
      <c r="C535" s="18"/>
    </row>
    <row r="536">
      <c r="C536" s="18"/>
    </row>
    <row r="537">
      <c r="C537" s="18"/>
    </row>
    <row r="538">
      <c r="C538" s="18"/>
    </row>
    <row r="539">
      <c r="C539" s="18"/>
    </row>
    <row r="540">
      <c r="C540" s="18"/>
    </row>
    <row r="541">
      <c r="C541" s="18"/>
    </row>
    <row r="542">
      <c r="C542" s="18"/>
    </row>
    <row r="543">
      <c r="C543" s="18"/>
    </row>
    <row r="544">
      <c r="C544" s="18"/>
    </row>
    <row r="545">
      <c r="C545" s="18"/>
    </row>
    <row r="546">
      <c r="C546" s="18"/>
    </row>
    <row r="547">
      <c r="C547" s="18"/>
    </row>
    <row r="548">
      <c r="C548" s="18"/>
    </row>
    <row r="549">
      <c r="C549" s="18"/>
    </row>
    <row r="550">
      <c r="C550" s="18"/>
    </row>
    <row r="551">
      <c r="C551" s="18"/>
    </row>
    <row r="552">
      <c r="C552" s="18"/>
    </row>
    <row r="553">
      <c r="C553" s="18"/>
    </row>
    <row r="554">
      <c r="C554" s="18"/>
    </row>
    <row r="555">
      <c r="C555" s="18"/>
    </row>
    <row r="556">
      <c r="C556" s="18"/>
    </row>
    <row r="557">
      <c r="C557" s="18"/>
    </row>
    <row r="558">
      <c r="C558" s="18"/>
    </row>
    <row r="559">
      <c r="C559" s="18"/>
    </row>
    <row r="560">
      <c r="C560" s="18"/>
    </row>
    <row r="561">
      <c r="C561" s="18"/>
    </row>
    <row r="562">
      <c r="C562" s="18"/>
    </row>
    <row r="563">
      <c r="C563" s="18"/>
    </row>
    <row r="564">
      <c r="C564" s="18"/>
    </row>
    <row r="565">
      <c r="C565" s="18"/>
    </row>
    <row r="566">
      <c r="C566" s="18"/>
    </row>
    <row r="567">
      <c r="C567" s="18"/>
    </row>
    <row r="568">
      <c r="C568" s="18"/>
    </row>
    <row r="569">
      <c r="C569" s="18"/>
    </row>
    <row r="570">
      <c r="C570" s="18"/>
    </row>
    <row r="571">
      <c r="C571" s="18"/>
    </row>
    <row r="572">
      <c r="C572" s="18"/>
    </row>
    <row r="573">
      <c r="C573" s="18"/>
    </row>
    <row r="574">
      <c r="C574" s="18"/>
    </row>
    <row r="575">
      <c r="C575" s="18"/>
    </row>
    <row r="576">
      <c r="C576" s="18"/>
    </row>
    <row r="577">
      <c r="C577" s="18"/>
    </row>
    <row r="578">
      <c r="C578" s="18"/>
    </row>
    <row r="579">
      <c r="C579" s="18"/>
    </row>
    <row r="580">
      <c r="C580" s="18"/>
    </row>
    <row r="581">
      <c r="C581" s="18"/>
    </row>
    <row r="582">
      <c r="C582" s="18"/>
    </row>
    <row r="583">
      <c r="C583" s="18"/>
    </row>
    <row r="584">
      <c r="C584" s="18"/>
    </row>
    <row r="585">
      <c r="C585" s="18"/>
    </row>
    <row r="586">
      <c r="C586" s="18"/>
    </row>
    <row r="587">
      <c r="C587" s="18"/>
    </row>
    <row r="588">
      <c r="C588" s="18"/>
    </row>
    <row r="589">
      <c r="C589" s="18"/>
    </row>
    <row r="590">
      <c r="C590" s="18"/>
    </row>
    <row r="591">
      <c r="C591" s="18"/>
    </row>
    <row r="592">
      <c r="C592" s="18"/>
    </row>
    <row r="593">
      <c r="C593" s="18"/>
    </row>
    <row r="594">
      <c r="C594" s="18"/>
    </row>
    <row r="595">
      <c r="C595" s="18"/>
    </row>
    <row r="596">
      <c r="C596" s="18"/>
    </row>
    <row r="597">
      <c r="C597" s="18"/>
    </row>
    <row r="598">
      <c r="C598" s="18"/>
    </row>
    <row r="599">
      <c r="C599" s="18"/>
    </row>
    <row r="600">
      <c r="C600" s="18"/>
    </row>
    <row r="601">
      <c r="C601" s="18"/>
    </row>
    <row r="602">
      <c r="C602" s="18"/>
    </row>
    <row r="603">
      <c r="C603" s="18"/>
    </row>
    <row r="604">
      <c r="C604" s="18"/>
    </row>
    <row r="605">
      <c r="C605" s="18"/>
    </row>
    <row r="606">
      <c r="C606" s="18"/>
    </row>
    <row r="607">
      <c r="C607" s="18"/>
    </row>
    <row r="608">
      <c r="C608" s="18"/>
    </row>
    <row r="609">
      <c r="C609" s="18"/>
    </row>
    <row r="610">
      <c r="C610" s="18"/>
    </row>
    <row r="611">
      <c r="C611" s="18"/>
    </row>
    <row r="612">
      <c r="C612" s="18"/>
    </row>
    <row r="613">
      <c r="C613" s="18"/>
    </row>
    <row r="614">
      <c r="C614" s="18"/>
    </row>
    <row r="615">
      <c r="C615" s="18"/>
    </row>
    <row r="616">
      <c r="C616" s="18"/>
    </row>
    <row r="617">
      <c r="C617" s="18"/>
    </row>
    <row r="618">
      <c r="C618" s="18"/>
    </row>
    <row r="619">
      <c r="C619" s="18"/>
    </row>
    <row r="620">
      <c r="C620" s="18"/>
    </row>
    <row r="621">
      <c r="C621" s="18"/>
    </row>
    <row r="622">
      <c r="C622" s="18"/>
    </row>
    <row r="623">
      <c r="C623" s="18"/>
    </row>
    <row r="624">
      <c r="C624" s="18"/>
    </row>
    <row r="625">
      <c r="C625" s="18"/>
    </row>
    <row r="626">
      <c r="C626" s="18"/>
    </row>
    <row r="627">
      <c r="C627" s="18"/>
    </row>
    <row r="628">
      <c r="C628" s="18"/>
    </row>
    <row r="629">
      <c r="C629" s="18"/>
    </row>
    <row r="630">
      <c r="C630" s="18"/>
    </row>
    <row r="631">
      <c r="C631" s="18"/>
    </row>
    <row r="632">
      <c r="C632" s="18"/>
    </row>
    <row r="633">
      <c r="C633" s="18"/>
    </row>
    <row r="634">
      <c r="C634" s="18"/>
    </row>
    <row r="635">
      <c r="C635" s="18"/>
    </row>
    <row r="636">
      <c r="C636" s="18"/>
    </row>
    <row r="637">
      <c r="C637" s="18"/>
    </row>
    <row r="638">
      <c r="C638" s="18"/>
    </row>
    <row r="639">
      <c r="C639" s="18"/>
    </row>
    <row r="640">
      <c r="C640" s="18"/>
    </row>
    <row r="641">
      <c r="C641" s="18"/>
    </row>
    <row r="642">
      <c r="C642" s="18"/>
    </row>
    <row r="643">
      <c r="C643" s="18"/>
    </row>
    <row r="644">
      <c r="C644" s="18"/>
    </row>
    <row r="645">
      <c r="C645" s="18"/>
    </row>
    <row r="646">
      <c r="C646" s="18"/>
    </row>
    <row r="647">
      <c r="C647" s="18"/>
    </row>
    <row r="648">
      <c r="C648" s="18"/>
    </row>
    <row r="649">
      <c r="C649" s="18"/>
    </row>
    <row r="650">
      <c r="C650" s="18"/>
    </row>
    <row r="651">
      <c r="C651" s="18"/>
    </row>
    <row r="652">
      <c r="C652" s="18"/>
    </row>
    <row r="653">
      <c r="C653" s="18"/>
    </row>
    <row r="654">
      <c r="C654" s="18"/>
    </row>
    <row r="655">
      <c r="C655" s="18"/>
    </row>
    <row r="656">
      <c r="C656" s="18"/>
    </row>
    <row r="657">
      <c r="C657" s="18"/>
    </row>
    <row r="658">
      <c r="C658" s="18"/>
    </row>
    <row r="659">
      <c r="C659" s="18"/>
    </row>
    <row r="660">
      <c r="C660" s="18"/>
    </row>
    <row r="661">
      <c r="C661" s="18"/>
    </row>
    <row r="662">
      <c r="C662" s="18"/>
    </row>
    <row r="663">
      <c r="C663" s="18"/>
    </row>
    <row r="664">
      <c r="C664" s="18"/>
    </row>
    <row r="665">
      <c r="C665" s="18"/>
    </row>
    <row r="666">
      <c r="C666" s="18"/>
    </row>
    <row r="667">
      <c r="C667" s="18"/>
    </row>
    <row r="668">
      <c r="C668" s="18"/>
    </row>
    <row r="669">
      <c r="C669" s="18"/>
    </row>
    <row r="670">
      <c r="C670" s="18"/>
    </row>
    <row r="671">
      <c r="C671" s="18"/>
    </row>
    <row r="672">
      <c r="C672" s="18"/>
    </row>
    <row r="673">
      <c r="C673" s="18"/>
    </row>
    <row r="674">
      <c r="C674" s="18"/>
    </row>
    <row r="675">
      <c r="C675" s="18"/>
    </row>
    <row r="676">
      <c r="C676" s="18"/>
    </row>
    <row r="677">
      <c r="C677" s="18"/>
    </row>
    <row r="678">
      <c r="C678" s="18"/>
    </row>
    <row r="679">
      <c r="C679" s="18"/>
    </row>
    <row r="680">
      <c r="C680" s="18"/>
    </row>
    <row r="681">
      <c r="C681" s="18"/>
    </row>
    <row r="682">
      <c r="C682" s="18"/>
    </row>
    <row r="683">
      <c r="C683" s="18"/>
    </row>
    <row r="684">
      <c r="C684" s="18"/>
    </row>
    <row r="685">
      <c r="C685" s="18"/>
    </row>
    <row r="686">
      <c r="C686" s="18"/>
    </row>
    <row r="687">
      <c r="C687" s="18"/>
    </row>
    <row r="688">
      <c r="C688" s="18"/>
    </row>
    <row r="689">
      <c r="C689" s="18"/>
    </row>
    <row r="690">
      <c r="C690" s="18"/>
    </row>
    <row r="691">
      <c r="C691" s="18"/>
    </row>
    <row r="692">
      <c r="C692" s="18"/>
    </row>
    <row r="693">
      <c r="C693" s="18"/>
    </row>
    <row r="694">
      <c r="C694" s="18"/>
    </row>
    <row r="695">
      <c r="C695" s="18"/>
    </row>
  </sheetData>
  <conditionalFormatting sqref="C11">
    <cfRule type="notContainsBlanks" dxfId="0" priority="1">
      <formula>LEN(TRIM(C11))&gt;0</formula>
    </cfRule>
  </conditionalFormatting>
  <dataValidations>
    <dataValidation type="list" allowBlank="1" sqref="B2">
      <formula1>Lookups!$A$1:$A$6</formula1>
    </dataValidation>
  </dataValidations>
  <hyperlinks>
    <hyperlink r:id="rId1" location="map=18/56.1601680/10.2094531" ref="C4"/>
    <hyperlink r:id="rId2" location="map=18/56.1712340/10.2003382" ref="C7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5.38"/>
    <col customWidth="1" min="6" max="6" width="28.25"/>
  </cols>
  <sheetData>
    <row r="1">
      <c r="A1" s="1" t="s">
        <v>0</v>
      </c>
      <c r="B1" s="2" t="s">
        <v>1</v>
      </c>
      <c r="C1" s="27" t="s">
        <v>276</v>
      </c>
      <c r="D1" s="4" t="s">
        <v>3</v>
      </c>
      <c r="E1" s="5" t="s">
        <v>4</v>
      </c>
      <c r="F1" s="2" t="s">
        <v>5</v>
      </c>
      <c r="G1" s="6" t="s">
        <v>6</v>
      </c>
      <c r="H1" s="7" t="s">
        <v>7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7" t="s">
        <v>8</v>
      </c>
      <c r="B2" s="7" t="s">
        <v>9</v>
      </c>
      <c r="C2" s="9" t="s">
        <v>10</v>
      </c>
      <c r="D2" s="10">
        <f>IFERROR(__xludf.DUMMYFUNCTION("SPLIT(C2,"","")"),57.0482555)</f>
        <v>57.0482555</v>
      </c>
      <c r="E2" s="11">
        <f>IFERROR(__xludf.DUMMYFUNCTION("""COMPUTED_VALUE"""),9.913457)</f>
        <v>9.913457</v>
      </c>
      <c r="F2" s="12" t="s">
        <v>11</v>
      </c>
      <c r="G2" s="7">
        <v>3.0</v>
      </c>
      <c r="H2" s="13" t="s">
        <v>12</v>
      </c>
    </row>
    <row r="3">
      <c r="A3" s="13" t="s">
        <v>8</v>
      </c>
      <c r="B3" s="13" t="s">
        <v>9</v>
      </c>
      <c r="C3" s="13" t="s">
        <v>277</v>
      </c>
      <c r="D3" s="10">
        <f>IFERROR(__xludf.DUMMYFUNCTION("SPLIT(C3,"","")"),57.0782773)</f>
        <v>57.0782773</v>
      </c>
      <c r="E3" s="15">
        <f>IFERROR(__xludf.DUMMYFUNCTION("""COMPUTED_VALUE"""),9.9121597)</f>
        <v>9.9121597</v>
      </c>
      <c r="F3" s="13" t="s">
        <v>278</v>
      </c>
      <c r="G3" s="13">
        <v>4.0</v>
      </c>
    </row>
    <row r="4">
      <c r="A4" s="13" t="s">
        <v>127</v>
      </c>
      <c r="B4" s="13" t="s">
        <v>43</v>
      </c>
      <c r="C4" s="13" t="s">
        <v>279</v>
      </c>
      <c r="D4" s="10">
        <f>IFERROR(__xludf.DUMMYFUNCTION("SPLIT(C4,"","")"),56.1212154)</f>
        <v>56.1212154</v>
      </c>
      <c r="E4" s="15">
        <f>IFERROR(__xludf.DUMMYFUNCTION("""COMPUTED_VALUE"""),10.2263854)</f>
        <v>10.2263854</v>
      </c>
      <c r="F4" s="13" t="s">
        <v>280</v>
      </c>
      <c r="G4" s="13">
        <v>5.0</v>
      </c>
    </row>
    <row r="5">
      <c r="A5" s="13" t="s">
        <v>127</v>
      </c>
      <c r="B5" s="13" t="s">
        <v>43</v>
      </c>
      <c r="C5" s="13" t="s">
        <v>281</v>
      </c>
      <c r="D5" s="10">
        <f>IFERROR(__xludf.DUMMYFUNCTION("SPLIT(C5,"","")"),56.1604056)</f>
        <v>56.1604056</v>
      </c>
      <c r="E5" s="15">
        <f>IFERROR(__xludf.DUMMYFUNCTION("""COMPUTED_VALUE"""),10.2227878)</f>
        <v>10.2227878</v>
      </c>
    </row>
    <row r="6">
      <c r="A6" s="13" t="s">
        <v>282</v>
      </c>
      <c r="B6" s="13" t="s">
        <v>283</v>
      </c>
      <c r="C6" s="13" t="s">
        <v>284</v>
      </c>
      <c r="D6" s="10">
        <f>IFERROR(__xludf.DUMMYFUNCTION("SPLIT(C6,"","")"),56.7243699)</f>
        <v>56.7243699</v>
      </c>
      <c r="E6" s="15">
        <f>IFERROR(__xludf.DUMMYFUNCTION("""COMPUTED_VALUE"""),9.8218164)</f>
        <v>9.8218164</v>
      </c>
      <c r="F6" s="13" t="s">
        <v>285</v>
      </c>
    </row>
    <row r="7">
      <c r="A7" s="13" t="s">
        <v>286</v>
      </c>
      <c r="B7" s="13" t="s">
        <v>43</v>
      </c>
      <c r="C7" s="13" t="s">
        <v>287</v>
      </c>
      <c r="D7" s="10">
        <f>IFERROR(__xludf.DUMMYFUNCTION("SPLIT(C7,"","")"),56.8949441)</f>
        <v>56.8949441</v>
      </c>
      <c r="E7" s="15">
        <f>IFERROR(__xludf.DUMMYFUNCTION("""COMPUTED_VALUE"""),8.7517242)</f>
        <v>8.7517242</v>
      </c>
      <c r="F7" s="13" t="s">
        <v>288</v>
      </c>
      <c r="G7" s="13">
        <v>5.0</v>
      </c>
    </row>
    <row r="8">
      <c r="A8" s="13" t="s">
        <v>289</v>
      </c>
      <c r="B8" s="13" t="s">
        <v>9</v>
      </c>
      <c r="C8" s="13" t="s">
        <v>290</v>
      </c>
      <c r="D8" s="10">
        <f>IFERROR(__xludf.DUMMYFUNCTION("SPLIT(C8,"","")"),56.4494857)</f>
        <v>56.4494857</v>
      </c>
      <c r="E8" s="15">
        <f>IFERROR(__xludf.DUMMYFUNCTION("""COMPUTED_VALUE"""),9.4079267)</f>
        <v>9.4079267</v>
      </c>
      <c r="F8" s="13" t="s">
        <v>291</v>
      </c>
    </row>
    <row r="9">
      <c r="A9" s="13" t="s">
        <v>127</v>
      </c>
      <c r="B9" s="13" t="s">
        <v>51</v>
      </c>
      <c r="C9" s="28" t="s">
        <v>292</v>
      </c>
      <c r="D9" s="10">
        <f>IFERROR(__xludf.DUMMYFUNCTION("SPLIT(C9,"","")"),56.1724375)</f>
        <v>56.1724375</v>
      </c>
      <c r="E9" s="15">
        <f>IFERROR(__xludf.DUMMYFUNCTION("""COMPUTED_VALUE"""),10.2006663)</f>
        <v>10.2006663</v>
      </c>
      <c r="F9" s="13" t="s">
        <v>293</v>
      </c>
      <c r="G9" s="13">
        <v>1.0</v>
      </c>
    </row>
    <row r="10">
      <c r="A10" s="13" t="s">
        <v>294</v>
      </c>
      <c r="B10" s="15"/>
      <c r="C10" s="13" t="s">
        <v>295</v>
      </c>
      <c r="D10" s="10">
        <f>IFERROR(__xludf.DUMMYFUNCTION("SPLIT(C10,"","")"),56.0005861)</f>
        <v>56.0005861</v>
      </c>
      <c r="E10" s="15">
        <f>IFERROR(__xludf.DUMMYFUNCTION("""COMPUTED_VALUE"""),10.0823332)</f>
        <v>10.0823332</v>
      </c>
      <c r="F10" s="29" t="s">
        <v>296</v>
      </c>
    </row>
    <row r="11">
      <c r="A11" s="13" t="s">
        <v>127</v>
      </c>
      <c r="B11" s="13" t="s">
        <v>9</v>
      </c>
      <c r="C11" s="13" t="s">
        <v>297</v>
      </c>
      <c r="D11" s="10">
        <f>IFERROR(__xludf.DUMMYFUNCTION("SPLIT(C11,"","")"),56.1373784)</f>
        <v>56.1373784</v>
      </c>
      <c r="E11" s="15">
        <f>IFERROR(__xludf.DUMMYFUNCTION("""COMPUTED_VALUE"""),10.1961905)</f>
        <v>10.1961905</v>
      </c>
      <c r="F11" s="13" t="s">
        <v>298</v>
      </c>
      <c r="G11" s="13">
        <v>1.0</v>
      </c>
    </row>
    <row r="12">
      <c r="A12" s="13" t="s">
        <v>127</v>
      </c>
      <c r="B12" s="15"/>
      <c r="C12" s="13" t="s">
        <v>299</v>
      </c>
      <c r="D12" s="10">
        <f>IFERROR(__xludf.DUMMYFUNCTION("SPLIT(C12,"","")"),56.1825118)</f>
        <v>56.1825118</v>
      </c>
      <c r="E12" s="15">
        <f>IFERROR(__xludf.DUMMYFUNCTION("""COMPUTED_VALUE"""),10.1820681)</f>
        <v>10.1820681</v>
      </c>
      <c r="F12" s="13" t="s">
        <v>300</v>
      </c>
      <c r="G12" s="13">
        <v>1.0</v>
      </c>
    </row>
    <row r="13">
      <c r="A13" s="13" t="s">
        <v>301</v>
      </c>
      <c r="B13" s="13" t="s">
        <v>17</v>
      </c>
      <c r="C13" s="13" t="s">
        <v>302</v>
      </c>
      <c r="D13" s="10">
        <f>IFERROR(__xludf.DUMMYFUNCTION("SPLIT(C13,"","")"),54.8596096)</f>
        <v>54.8596096</v>
      </c>
      <c r="E13" s="15">
        <f>IFERROR(__xludf.DUMMYFUNCTION("""COMPUTED_VALUE"""),9.4962192)</f>
        <v>9.4962192</v>
      </c>
      <c r="F13" s="13" t="s">
        <v>303</v>
      </c>
    </row>
    <row r="14">
      <c r="A14" s="13" t="s">
        <v>289</v>
      </c>
      <c r="B14" s="13" t="s">
        <v>43</v>
      </c>
      <c r="C14" s="13" t="s">
        <v>304</v>
      </c>
      <c r="D14" s="10">
        <f>IFERROR(__xludf.DUMMYFUNCTION("SPLIT(C14,"","")"),56.4793265)</f>
        <v>56.4793265</v>
      </c>
      <c r="E14" s="15">
        <f>IFERROR(__xludf.DUMMYFUNCTION("""COMPUTED_VALUE"""),9.3751815)</f>
        <v>9.3751815</v>
      </c>
      <c r="F14" s="13" t="s">
        <v>305</v>
      </c>
      <c r="G14" s="13">
        <v>4.0</v>
      </c>
    </row>
    <row r="15">
      <c r="A15" s="13" t="s">
        <v>127</v>
      </c>
      <c r="B15" s="13" t="s">
        <v>43</v>
      </c>
      <c r="C15" s="13" t="s">
        <v>306</v>
      </c>
      <c r="D15" s="10">
        <f>IFERROR(__xludf.DUMMYFUNCTION("SPLIT(C15,"","")"),56.2024179)</f>
        <v>56.2024179</v>
      </c>
      <c r="E15" s="15">
        <f>IFERROR(__xludf.DUMMYFUNCTION("""COMPUTED_VALUE"""),10.2021879)</f>
        <v>10.2021879</v>
      </c>
      <c r="F15" s="13" t="s">
        <v>307</v>
      </c>
      <c r="G15" s="13">
        <v>4.0</v>
      </c>
    </row>
    <row r="16">
      <c r="B16" s="15"/>
      <c r="D16" s="10" t="str">
        <f>IFERROR(__xludf.DUMMYFUNCTION("SPLIT(C16,"","")"),"#VALUE!")</f>
        <v>#VALUE!</v>
      </c>
    </row>
    <row r="17">
      <c r="A17" s="13" t="s">
        <v>183</v>
      </c>
      <c r="B17" s="13" t="s">
        <v>9</v>
      </c>
      <c r="C17" s="13" t="s">
        <v>308</v>
      </c>
      <c r="D17" s="10">
        <f>IFERROR(__xludf.DUMMYFUNCTION("SPLIT(C17,"","")"),55.3984075)</f>
        <v>55.3984075</v>
      </c>
      <c r="E17" s="15">
        <f>IFERROR(__xludf.DUMMYFUNCTION("""COMPUTED_VALUE"""),10.3879438)</f>
        <v>10.3879438</v>
      </c>
      <c r="F17" s="13" t="s">
        <v>309</v>
      </c>
    </row>
    <row r="18">
      <c r="B18" s="15"/>
      <c r="D18" s="10" t="str">
        <f>IFERROR(__xludf.DUMMYFUNCTION("SPLIT(C18,"","")"),"#VALUE!")</f>
        <v>#VALUE!</v>
      </c>
    </row>
    <row r="19">
      <c r="B19" s="15"/>
      <c r="D19" s="10" t="str">
        <f>IFERROR(__xludf.DUMMYFUNCTION("SPLIT(C19,"","")"),"#VALUE!")</f>
        <v>#VALUE!</v>
      </c>
    </row>
    <row r="20">
      <c r="A20" s="13" t="s">
        <v>8</v>
      </c>
      <c r="B20" s="13" t="s">
        <v>51</v>
      </c>
      <c r="C20" s="13" t="s">
        <v>310</v>
      </c>
      <c r="D20" s="10">
        <f>IFERROR(__xludf.DUMMYFUNCTION("SPLIT(C20,"","")"),57.0515096)</f>
        <v>57.0515096</v>
      </c>
      <c r="E20" s="15">
        <f>IFERROR(__xludf.DUMMYFUNCTION("""COMPUTED_VALUE"""),9.9137669)</f>
        <v>9.9137669</v>
      </c>
      <c r="F20" s="13" t="s">
        <v>311</v>
      </c>
      <c r="G20" s="13">
        <v>4.0</v>
      </c>
    </row>
    <row r="21">
      <c r="A21" s="13" t="s">
        <v>312</v>
      </c>
      <c r="B21" s="13" t="s">
        <v>43</v>
      </c>
      <c r="C21" s="13" t="s">
        <v>313</v>
      </c>
      <c r="D21" s="10">
        <f>IFERROR(__xludf.DUMMYFUNCTION("SPLIT(C21,"","")"),55.6258852)</f>
        <v>55.6258852</v>
      </c>
      <c r="E21" s="15">
        <f>IFERROR(__xludf.DUMMYFUNCTION("""COMPUTED_VALUE"""),12.1728262)</f>
        <v>12.1728262</v>
      </c>
      <c r="F21" s="13" t="s">
        <v>314</v>
      </c>
      <c r="G21" s="13">
        <v>4.0</v>
      </c>
    </row>
    <row r="22">
      <c r="A22" s="13" t="s">
        <v>127</v>
      </c>
      <c r="B22" s="13" t="s">
        <v>17</v>
      </c>
      <c r="C22" s="13" t="s">
        <v>315</v>
      </c>
      <c r="D22" s="10">
        <f>IFERROR(__xludf.DUMMYFUNCTION("SPLIT(C22,"","")"),56.1586863)</f>
        <v>56.1586863</v>
      </c>
      <c r="E22" s="15">
        <f>IFERROR(__xludf.DUMMYFUNCTION("""COMPUTED_VALUE"""),10.2104028)</f>
        <v>10.2104028</v>
      </c>
      <c r="F22" s="13" t="s">
        <v>316</v>
      </c>
      <c r="G22" s="13">
        <v>4.0</v>
      </c>
    </row>
    <row r="23">
      <c r="A23" s="13" t="s">
        <v>317</v>
      </c>
      <c r="B23" s="13" t="s">
        <v>43</v>
      </c>
      <c r="C23" s="13" t="s">
        <v>318</v>
      </c>
      <c r="D23" s="10">
        <f>IFERROR(__xludf.DUMMYFUNCTION("SPLIT(C23,"","")"),55.5678293)</f>
        <v>55.5678293</v>
      </c>
      <c r="E23" s="15">
        <f>IFERROR(__xludf.DUMMYFUNCTION("""COMPUTED_VALUE"""),9.7483656)</f>
        <v>9.7483656</v>
      </c>
      <c r="F23" s="13" t="s">
        <v>319</v>
      </c>
      <c r="G23" s="13">
        <v>4.0</v>
      </c>
    </row>
    <row r="24">
      <c r="A24" s="30" t="s">
        <v>320</v>
      </c>
      <c r="B24" s="13" t="s">
        <v>43</v>
      </c>
      <c r="C24" s="13" t="s">
        <v>321</v>
      </c>
      <c r="D24" s="10">
        <f>IFERROR(__xludf.DUMMYFUNCTION("SPLIT(C24,"","")"),54.9657332)</f>
        <v>54.9657332</v>
      </c>
      <c r="E24" s="15">
        <f>IFERROR(__xludf.DUMMYFUNCTION("""COMPUTED_VALUE"""),12.5480077)</f>
        <v>12.5480077</v>
      </c>
      <c r="F24" s="13" t="s">
        <v>322</v>
      </c>
      <c r="G24" s="13">
        <v>5.0</v>
      </c>
    </row>
    <row r="25">
      <c r="B25" s="15"/>
      <c r="D25" s="10" t="str">
        <f>IFERROR(__xludf.DUMMYFUNCTION("SPLIT(C25,"","")"),"#VALUE!")</f>
        <v>#VALUE!</v>
      </c>
    </row>
    <row r="26">
      <c r="A26" s="13" t="s">
        <v>323</v>
      </c>
      <c r="B26" s="13" t="s">
        <v>43</v>
      </c>
      <c r="C26" s="13" t="s">
        <v>324</v>
      </c>
      <c r="D26" s="10">
        <f>IFERROR(__xludf.DUMMYFUNCTION("SPLIT(C26,"","")"),55.6784866)</f>
        <v>55.6784866</v>
      </c>
      <c r="E26" s="15">
        <f>IFERROR(__xludf.DUMMYFUNCTION("""COMPUTED_VALUE"""),9.810002)</f>
        <v>9.810002</v>
      </c>
      <c r="F26" s="13" t="s">
        <v>325</v>
      </c>
    </row>
    <row r="27">
      <c r="A27" s="13" t="s">
        <v>186</v>
      </c>
      <c r="B27" s="13" t="s">
        <v>9</v>
      </c>
      <c r="C27" s="31" t="s">
        <v>326</v>
      </c>
      <c r="D27" s="10">
        <f>IFERROR(__xludf.DUMMYFUNCTION("SPLIT(C27,"","")"),56.1168184)</f>
        <v>56.1168184</v>
      </c>
      <c r="E27" s="15">
        <f>IFERROR(__xludf.DUMMYFUNCTION("""COMPUTED_VALUE"""),8.8693314)</f>
        <v>8.8693314</v>
      </c>
      <c r="F27" s="31" t="s">
        <v>327</v>
      </c>
      <c r="G27" s="13">
        <v>4.0</v>
      </c>
    </row>
    <row r="28">
      <c r="B28" s="15"/>
      <c r="D28" s="10" t="str">
        <f>IFERROR(__xludf.DUMMYFUNCTION("SPLIT(C28,"","")"),"#VALUE!")</f>
        <v>#VALUE!</v>
      </c>
    </row>
    <row r="29">
      <c r="B29" s="15"/>
      <c r="D29" s="10" t="str">
        <f>IFERROR(__xludf.DUMMYFUNCTION("SPLIT(C29,"","")"),"#VALUE!")</f>
        <v>#VALUE!</v>
      </c>
    </row>
    <row r="30">
      <c r="B30" s="15"/>
      <c r="D30" s="10" t="str">
        <f>IFERROR(__xludf.DUMMYFUNCTION("SPLIT(C30,"","")"),"#VALUE!")</f>
        <v>#VALUE!</v>
      </c>
    </row>
    <row r="31">
      <c r="D31" s="10" t="str">
        <f>IFERROR(__xludf.DUMMYFUNCTION("SPLIT(C31,"","")"),"#VALUE!")</f>
        <v>#VALUE!</v>
      </c>
    </row>
    <row r="32">
      <c r="D32" s="10" t="str">
        <f>IFERROR(__xludf.DUMMYFUNCTION("SPLIT(C32,"","")"),"#VALUE!")</f>
        <v>#VALUE!</v>
      </c>
    </row>
    <row r="33">
      <c r="D33" s="10" t="str">
        <f>IFERROR(__xludf.DUMMYFUNCTION("SPLIT(C33,"","")"),"#VALUE!")</f>
        <v>#VALUE!</v>
      </c>
    </row>
    <row r="34">
      <c r="D34" s="10" t="str">
        <f>IFERROR(__xludf.DUMMYFUNCTION("SPLIT(C34,"","")"),"#VALUE!")</f>
        <v>#VALUE!</v>
      </c>
    </row>
    <row r="35">
      <c r="D35" s="10" t="str">
        <f>IFERROR(__xludf.DUMMYFUNCTION("SPLIT(C35,"","")"),"#VALUE!")</f>
        <v>#VALUE!</v>
      </c>
    </row>
    <row r="36">
      <c r="D36" s="10" t="str">
        <f>IFERROR(__xludf.DUMMYFUNCTION("SPLIT(C36,"","")"),"#VALUE!")</f>
        <v>#VALUE!</v>
      </c>
    </row>
    <row r="37">
      <c r="D37" s="15" t="str">
        <f>IFERROR(__xludf.DUMMYFUNCTION("SPLIT(C37,"","")"),"#VALUE!")</f>
        <v>#VALUE!</v>
      </c>
    </row>
  </sheetData>
  <dataValidations>
    <dataValidation type="list" allowBlank="1" sqref="B3:B30">
      <formula1>Lookups!$A$1:$A$6</formula1>
    </dataValidation>
    <dataValidation type="list" allowBlank="1" sqref="B2">
      <formula1>Lookups!$A$1:$A$6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3" max="3" width="22.63"/>
    <col customWidth="1" min="6" max="6" width="32.5"/>
  </cols>
  <sheetData>
    <row r="1">
      <c r="A1" s="1" t="s">
        <v>0</v>
      </c>
      <c r="B1" s="2" t="s">
        <v>1</v>
      </c>
      <c r="C1" s="27" t="s">
        <v>276</v>
      </c>
      <c r="D1" s="4" t="s">
        <v>3</v>
      </c>
      <c r="E1" s="5" t="s">
        <v>4</v>
      </c>
      <c r="F1" s="2" t="s">
        <v>5</v>
      </c>
      <c r="G1" s="6" t="s">
        <v>6</v>
      </c>
      <c r="H1" s="7" t="s">
        <v>7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7" t="s">
        <v>8</v>
      </c>
      <c r="B2" s="7" t="s">
        <v>9</v>
      </c>
      <c r="C2" s="9" t="s">
        <v>10</v>
      </c>
      <c r="D2" s="10">
        <f>IFERROR(__xludf.DUMMYFUNCTION("SPLIT(C2,"","")"),57.0482555)</f>
        <v>57.0482555</v>
      </c>
      <c r="E2" s="11">
        <f>IFERROR(__xludf.DUMMYFUNCTION("""COMPUTED_VALUE"""),9.913457)</f>
        <v>9.913457</v>
      </c>
      <c r="F2" s="12" t="s">
        <v>11</v>
      </c>
      <c r="G2" s="7">
        <v>3.0</v>
      </c>
      <c r="H2" s="13" t="s">
        <v>12</v>
      </c>
    </row>
    <row r="3">
      <c r="A3" s="13" t="s">
        <v>328</v>
      </c>
      <c r="C3" s="14" t="s">
        <v>329</v>
      </c>
      <c r="D3" s="10">
        <f>IFERROR(__xludf.DUMMYFUNCTION("SPLIT(C3,"","")"),55.4905388)</f>
        <v>55.4905388</v>
      </c>
      <c r="E3" s="11">
        <f>IFERROR(__xludf.DUMMYFUNCTION("""COMPUTED_VALUE"""),9.4799818)</f>
        <v>9.4799818</v>
      </c>
      <c r="F3" s="13" t="s">
        <v>330</v>
      </c>
      <c r="G3" s="13">
        <v>5.0</v>
      </c>
    </row>
    <row r="4">
      <c r="A4" s="13" t="s">
        <v>331</v>
      </c>
      <c r="C4" s="14" t="s">
        <v>332</v>
      </c>
      <c r="D4" s="10">
        <f>IFERROR(__xludf.DUMMYFUNCTION("SPLIT(C4,"","")"),55.0375842)</f>
        <v>55.0375842</v>
      </c>
      <c r="E4" s="11">
        <f>IFERROR(__xludf.DUMMYFUNCTION("""COMPUTED_VALUE"""),9.3623004)</f>
        <v>9.3623004</v>
      </c>
      <c r="F4" s="13" t="s">
        <v>333</v>
      </c>
      <c r="G4" s="13">
        <v>3.0</v>
      </c>
    </row>
    <row r="5">
      <c r="A5" s="13" t="s">
        <v>76</v>
      </c>
      <c r="C5" s="14" t="s">
        <v>334</v>
      </c>
      <c r="D5" s="10">
        <f>IFERROR(__xludf.DUMMYFUNCTION("SPLIT(C5,"","")"),55.673992)</f>
        <v>55.673992</v>
      </c>
      <c r="E5" s="11">
        <f>IFERROR(__xludf.DUMMYFUNCTION("""COMPUTED_VALUE"""),12.5925423)</f>
        <v>12.5925423</v>
      </c>
      <c r="F5" s="13" t="s">
        <v>335</v>
      </c>
      <c r="G5" s="13">
        <v>4.0</v>
      </c>
    </row>
    <row r="6">
      <c r="A6" s="13" t="s">
        <v>336</v>
      </c>
      <c r="C6" s="14" t="s">
        <v>337</v>
      </c>
      <c r="D6" s="10">
        <f>IFERROR(__xludf.DUMMYFUNCTION("SPLIT(C6,"","")"),55.2516569)</f>
        <v>55.2516569</v>
      </c>
      <c r="E6" s="11">
        <f>IFERROR(__xludf.DUMMYFUNCTION("""COMPUTED_VALUE"""),9.485808)</f>
        <v>9.485808</v>
      </c>
      <c r="F6" s="13" t="s">
        <v>338</v>
      </c>
      <c r="G6" s="13">
        <v>4.0</v>
      </c>
    </row>
    <row r="7">
      <c r="A7" s="13" t="s">
        <v>339</v>
      </c>
      <c r="C7" s="14" t="s">
        <v>340</v>
      </c>
      <c r="D7" s="10">
        <f>IFERROR(__xludf.DUMMYFUNCTION("SPLIT(C7,"","")"),56.17305)</f>
        <v>56.17305</v>
      </c>
      <c r="E7" s="11">
        <f>IFERROR(__xludf.DUMMYFUNCTION("""COMPUTED_VALUE"""),10.20657)</f>
        <v>10.20657</v>
      </c>
      <c r="F7" s="13" t="s">
        <v>341</v>
      </c>
      <c r="G7" s="13">
        <v>4.0</v>
      </c>
      <c r="H7" s="13" t="s">
        <v>342</v>
      </c>
    </row>
    <row r="8">
      <c r="A8" s="13" t="s">
        <v>343</v>
      </c>
      <c r="C8" s="14" t="s">
        <v>344</v>
      </c>
      <c r="D8" s="32">
        <v>57.72093</v>
      </c>
      <c r="E8" s="32">
        <v>10.58394</v>
      </c>
      <c r="F8" s="13" t="s">
        <v>345</v>
      </c>
      <c r="G8" s="13">
        <v>4.0</v>
      </c>
    </row>
    <row r="9">
      <c r="A9" s="13" t="s">
        <v>127</v>
      </c>
      <c r="C9" s="14" t="s">
        <v>346</v>
      </c>
      <c r="D9" s="33">
        <v>56.1566075280608</v>
      </c>
      <c r="E9" s="26">
        <v>10.2067652576076</v>
      </c>
      <c r="F9" s="13" t="s">
        <v>347</v>
      </c>
    </row>
    <row r="10">
      <c r="A10" s="13" t="s">
        <v>320</v>
      </c>
      <c r="C10" s="14" t="s">
        <v>348</v>
      </c>
      <c r="D10" s="33">
        <v>54.96</v>
      </c>
      <c r="E10" s="26">
        <v>12.55</v>
      </c>
      <c r="F10" s="13" t="s">
        <v>349</v>
      </c>
    </row>
    <row r="11">
      <c r="A11" s="13" t="s">
        <v>350</v>
      </c>
      <c r="C11" s="34" t="s">
        <v>351</v>
      </c>
      <c r="D11" s="33">
        <v>55.9637</v>
      </c>
      <c r="E11" s="26">
        <v>10.5529</v>
      </c>
      <c r="F11" s="13" t="s">
        <v>352</v>
      </c>
      <c r="G11" s="13">
        <v>5.0</v>
      </c>
    </row>
    <row r="12">
      <c r="A12" s="13" t="s">
        <v>353</v>
      </c>
      <c r="C12" s="14" t="s">
        <v>354</v>
      </c>
      <c r="D12" s="33">
        <v>55.73</v>
      </c>
      <c r="E12" s="26">
        <v>9.13</v>
      </c>
      <c r="F12" s="13" t="s">
        <v>355</v>
      </c>
    </row>
    <row r="13">
      <c r="A13" s="13" t="s">
        <v>356</v>
      </c>
      <c r="C13" s="14" t="s">
        <v>357</v>
      </c>
      <c r="D13" s="33">
        <v>56.1586958037448</v>
      </c>
      <c r="E13" s="26">
        <v>10.2107721708142</v>
      </c>
      <c r="F13" s="13" t="s">
        <v>358</v>
      </c>
    </row>
    <row r="14">
      <c r="A14" s="13" t="s">
        <v>359</v>
      </c>
      <c r="C14" s="14" t="s">
        <v>360</v>
      </c>
      <c r="D14" s="33">
        <v>56.7029402243908</v>
      </c>
      <c r="E14" s="26">
        <v>11.5679014224197</v>
      </c>
      <c r="F14" s="13" t="s">
        <v>359</v>
      </c>
      <c r="G14" s="13">
        <v>4.0</v>
      </c>
    </row>
    <row r="15">
      <c r="A15" s="13" t="s">
        <v>361</v>
      </c>
      <c r="C15" s="14" t="s">
        <v>362</v>
      </c>
      <c r="D15" s="33">
        <v>56.1524745287842</v>
      </c>
      <c r="E15" s="26">
        <v>9.54344115051169</v>
      </c>
    </row>
    <row r="16">
      <c r="A16" s="13" t="s">
        <v>363</v>
      </c>
      <c r="C16" s="35" t="s">
        <v>364</v>
      </c>
      <c r="D16" s="36">
        <v>53.38297</v>
      </c>
      <c r="E16" s="36">
        <v>-1.4659</v>
      </c>
      <c r="F16" s="13" t="s">
        <v>365</v>
      </c>
      <c r="G16" s="13">
        <v>4.0</v>
      </c>
    </row>
    <row r="17">
      <c r="A17" s="13" t="s">
        <v>366</v>
      </c>
      <c r="C17" s="14" t="s">
        <v>367</v>
      </c>
      <c r="D17" s="33">
        <v>55.0954914602316</v>
      </c>
      <c r="E17" s="26">
        <v>10.2394677882558</v>
      </c>
      <c r="F17" s="13" t="s">
        <v>368</v>
      </c>
      <c r="G17" s="13">
        <v>5.0</v>
      </c>
      <c r="H17" s="13">
        <v>5.0</v>
      </c>
    </row>
    <row r="18">
      <c r="A18" s="13" t="s">
        <v>369</v>
      </c>
      <c r="C18" s="14" t="s">
        <v>370</v>
      </c>
      <c r="D18" s="33">
        <v>55.9994764081005</v>
      </c>
      <c r="E18" s="26">
        <v>9.63429335678218</v>
      </c>
      <c r="F18" s="13" t="s">
        <v>369</v>
      </c>
    </row>
    <row r="19">
      <c r="A19" s="13" t="s">
        <v>371</v>
      </c>
      <c r="C19" s="14" t="s">
        <v>372</v>
      </c>
      <c r="D19" s="33">
        <v>57.6498706344402</v>
      </c>
      <c r="E19" s="26">
        <v>10.4098770795045</v>
      </c>
      <c r="F19" s="13" t="s">
        <v>373</v>
      </c>
      <c r="G19" s="13">
        <v>4.0</v>
      </c>
    </row>
    <row r="20">
      <c r="A20" s="13" t="s">
        <v>374</v>
      </c>
      <c r="C20" s="14" t="s">
        <v>375</v>
      </c>
      <c r="D20" s="33">
        <v>55.9724024</v>
      </c>
      <c r="E20" s="26">
        <v>10.5516869</v>
      </c>
      <c r="F20" s="13" t="s">
        <v>376</v>
      </c>
      <c r="G20" s="13">
        <v>4.0</v>
      </c>
    </row>
    <row r="21">
      <c r="A21" s="13" t="s">
        <v>377</v>
      </c>
      <c r="C21" s="14" t="s">
        <v>378</v>
      </c>
      <c r="D21" s="33">
        <v>56.1619485418172</v>
      </c>
      <c r="E21" s="26">
        <v>9.55826534591616</v>
      </c>
      <c r="F21" s="13" t="s">
        <v>379</v>
      </c>
      <c r="G21" s="13">
        <v>4.0</v>
      </c>
    </row>
    <row r="22">
      <c r="A22" s="13" t="s">
        <v>380</v>
      </c>
      <c r="C22" s="14" t="s">
        <v>381</v>
      </c>
      <c r="D22" s="33">
        <v>55.2823169</v>
      </c>
      <c r="E22" s="26">
        <v>14.7584575</v>
      </c>
      <c r="F22" s="13" t="s">
        <v>382</v>
      </c>
      <c r="G22" s="13">
        <v>4.0</v>
      </c>
    </row>
    <row r="23">
      <c r="C23" s="18"/>
      <c r="D23" s="10"/>
      <c r="E23" s="11"/>
    </row>
    <row r="24">
      <c r="C24" s="18"/>
      <c r="D24" s="10"/>
      <c r="E24" s="11"/>
    </row>
    <row r="25">
      <c r="C25" s="18"/>
      <c r="D25" s="10"/>
      <c r="E25" s="11"/>
    </row>
    <row r="26">
      <c r="C26" s="18"/>
      <c r="D26" s="10"/>
      <c r="E26" s="11"/>
    </row>
    <row r="27">
      <c r="C27" s="18"/>
      <c r="D27" s="10"/>
      <c r="E27" s="11"/>
    </row>
    <row r="28">
      <c r="C28" s="18"/>
      <c r="D28" s="11"/>
      <c r="E28" s="11"/>
    </row>
    <row r="29">
      <c r="C29" s="18"/>
      <c r="D29" s="11"/>
      <c r="E29" s="11"/>
    </row>
    <row r="30">
      <c r="C30" s="18"/>
      <c r="D30" s="11"/>
      <c r="E30" s="11"/>
    </row>
    <row r="31">
      <c r="C31" s="18"/>
      <c r="D31" s="11"/>
      <c r="E31" s="11"/>
    </row>
    <row r="32">
      <c r="C32" s="18"/>
      <c r="D32" s="11"/>
      <c r="E32" s="11"/>
    </row>
    <row r="33">
      <c r="C33" s="18"/>
      <c r="D33" s="11"/>
      <c r="E33" s="11"/>
    </row>
    <row r="34">
      <c r="C34" s="18"/>
      <c r="D34" s="11"/>
      <c r="E34" s="11"/>
    </row>
    <row r="35">
      <c r="C35" s="18"/>
      <c r="D35" s="11"/>
      <c r="E35" s="11"/>
    </row>
    <row r="36">
      <c r="C36" s="18"/>
      <c r="D36" s="11"/>
      <c r="E36" s="11"/>
    </row>
    <row r="37">
      <c r="C37" s="18"/>
      <c r="D37" s="11"/>
      <c r="E37" s="11"/>
    </row>
    <row r="38">
      <c r="C38" s="18"/>
      <c r="D38" s="11"/>
      <c r="E38" s="11"/>
    </row>
    <row r="39">
      <c r="C39" s="18"/>
      <c r="D39" s="11"/>
      <c r="E39" s="11"/>
    </row>
    <row r="40">
      <c r="C40" s="18"/>
      <c r="D40" s="11"/>
      <c r="E40" s="11"/>
    </row>
    <row r="41">
      <c r="C41" s="18"/>
      <c r="D41" s="11"/>
      <c r="E41" s="11"/>
    </row>
    <row r="42">
      <c r="C42" s="18"/>
      <c r="D42" s="11"/>
      <c r="E42" s="11"/>
    </row>
    <row r="43">
      <c r="C43" s="18"/>
      <c r="D43" s="11"/>
      <c r="E43" s="11"/>
    </row>
    <row r="44">
      <c r="C44" s="18"/>
      <c r="D44" s="11"/>
      <c r="E44" s="11"/>
    </row>
    <row r="45">
      <c r="C45" s="18"/>
      <c r="D45" s="11"/>
      <c r="E45" s="11"/>
    </row>
    <row r="46">
      <c r="C46" s="18"/>
      <c r="D46" s="11"/>
      <c r="E46" s="11"/>
    </row>
    <row r="47">
      <c r="C47" s="18"/>
      <c r="D47" s="11"/>
      <c r="E47" s="11"/>
    </row>
    <row r="48">
      <c r="C48" s="18"/>
      <c r="D48" s="11"/>
      <c r="E48" s="11"/>
    </row>
    <row r="49">
      <c r="C49" s="18"/>
      <c r="D49" s="11"/>
      <c r="E49" s="11"/>
    </row>
    <row r="50">
      <c r="C50" s="18"/>
      <c r="D50" s="11"/>
      <c r="E50" s="11"/>
    </row>
    <row r="51">
      <c r="C51" s="18"/>
      <c r="D51" s="11"/>
      <c r="E51" s="11"/>
    </row>
    <row r="52">
      <c r="C52" s="18"/>
      <c r="D52" s="11"/>
      <c r="E52" s="11"/>
    </row>
    <row r="53">
      <c r="C53" s="18"/>
      <c r="D53" s="11"/>
      <c r="E53" s="11"/>
    </row>
    <row r="54">
      <c r="C54" s="18"/>
      <c r="D54" s="11"/>
      <c r="E54" s="11"/>
    </row>
    <row r="55">
      <c r="C55" s="18"/>
      <c r="D55" s="11"/>
      <c r="E55" s="11"/>
    </row>
    <row r="56">
      <c r="C56" s="18"/>
      <c r="D56" s="11"/>
      <c r="E56" s="11"/>
    </row>
    <row r="57">
      <c r="C57" s="18"/>
      <c r="D57" s="11"/>
      <c r="E57" s="11"/>
    </row>
    <row r="58">
      <c r="C58" s="18"/>
      <c r="D58" s="11"/>
      <c r="E58" s="11"/>
    </row>
    <row r="59">
      <c r="C59" s="18"/>
      <c r="D59" s="11"/>
      <c r="E59" s="11"/>
    </row>
    <row r="60">
      <c r="C60" s="18"/>
      <c r="D60" s="11"/>
      <c r="E60" s="11"/>
    </row>
    <row r="61">
      <c r="C61" s="18"/>
      <c r="D61" s="11"/>
      <c r="E61" s="11"/>
    </row>
    <row r="62">
      <c r="C62" s="18"/>
      <c r="D62" s="11"/>
      <c r="E62" s="11"/>
    </row>
    <row r="63">
      <c r="C63" s="18"/>
      <c r="D63" s="11"/>
      <c r="E63" s="11"/>
    </row>
    <row r="64">
      <c r="C64" s="18"/>
      <c r="D64" s="11"/>
      <c r="E64" s="11"/>
    </row>
    <row r="65">
      <c r="C65" s="18"/>
      <c r="D65" s="11"/>
      <c r="E65" s="11"/>
    </row>
    <row r="66">
      <c r="C66" s="18"/>
      <c r="D66" s="11"/>
      <c r="E66" s="11"/>
    </row>
    <row r="67">
      <c r="C67" s="18"/>
      <c r="D67" s="11"/>
      <c r="E67" s="11"/>
    </row>
    <row r="68">
      <c r="C68" s="18"/>
      <c r="D68" s="11"/>
      <c r="E68" s="11"/>
    </row>
    <row r="69">
      <c r="C69" s="18"/>
      <c r="D69" s="11"/>
      <c r="E69" s="11"/>
    </row>
    <row r="70">
      <c r="C70" s="18"/>
      <c r="D70" s="11"/>
      <c r="E70" s="11"/>
    </row>
    <row r="71">
      <c r="C71" s="18"/>
      <c r="D71" s="11"/>
      <c r="E71" s="11"/>
    </row>
    <row r="72">
      <c r="C72" s="18"/>
      <c r="D72" s="11"/>
      <c r="E72" s="11"/>
    </row>
    <row r="73">
      <c r="C73" s="18"/>
      <c r="D73" s="11"/>
      <c r="E73" s="11"/>
    </row>
    <row r="74">
      <c r="C74" s="18"/>
      <c r="D74" s="11"/>
      <c r="E74" s="11"/>
    </row>
    <row r="75">
      <c r="C75" s="18"/>
      <c r="D75" s="11"/>
      <c r="E75" s="11"/>
    </row>
    <row r="76">
      <c r="C76" s="18"/>
      <c r="D76" s="11"/>
      <c r="E76" s="11"/>
    </row>
    <row r="77">
      <c r="C77" s="18"/>
      <c r="D77" s="11"/>
      <c r="E77" s="11"/>
    </row>
    <row r="78">
      <c r="C78" s="18"/>
      <c r="D78" s="11"/>
      <c r="E78" s="11"/>
    </row>
    <row r="79">
      <c r="C79" s="18"/>
      <c r="D79" s="11"/>
      <c r="E79" s="11"/>
    </row>
    <row r="80">
      <c r="C80" s="18"/>
      <c r="D80" s="11"/>
      <c r="E80" s="11"/>
    </row>
    <row r="81">
      <c r="C81" s="18"/>
      <c r="D81" s="11"/>
      <c r="E81" s="11"/>
    </row>
    <row r="82">
      <c r="C82" s="18"/>
      <c r="D82" s="11"/>
      <c r="E82" s="11"/>
    </row>
    <row r="83">
      <c r="C83" s="18"/>
      <c r="D83" s="11"/>
      <c r="E83" s="11"/>
    </row>
    <row r="84">
      <c r="C84" s="18"/>
      <c r="D84" s="11"/>
      <c r="E84" s="11"/>
    </row>
    <row r="85">
      <c r="C85" s="18"/>
      <c r="D85" s="11"/>
      <c r="E85" s="11"/>
    </row>
    <row r="86">
      <c r="C86" s="18"/>
      <c r="D86" s="11"/>
      <c r="E86" s="11"/>
    </row>
    <row r="87">
      <c r="C87" s="18"/>
      <c r="D87" s="11"/>
      <c r="E87" s="11"/>
    </row>
    <row r="88">
      <c r="C88" s="18"/>
      <c r="D88" s="11"/>
      <c r="E88" s="11"/>
    </row>
    <row r="89">
      <c r="C89" s="18"/>
      <c r="D89" s="11"/>
      <c r="E89" s="11"/>
    </row>
    <row r="90">
      <c r="C90" s="18"/>
      <c r="D90" s="11"/>
      <c r="E90" s="11"/>
    </row>
    <row r="91">
      <c r="C91" s="18"/>
      <c r="D91" s="11"/>
      <c r="E91" s="11"/>
    </row>
    <row r="92">
      <c r="C92" s="18"/>
      <c r="D92" s="11"/>
      <c r="E92" s="11"/>
    </row>
    <row r="93">
      <c r="C93" s="18"/>
      <c r="D93" s="11"/>
      <c r="E93" s="11"/>
    </row>
    <row r="94">
      <c r="C94" s="18"/>
      <c r="D94" s="11"/>
      <c r="E94" s="11"/>
    </row>
    <row r="95">
      <c r="C95" s="18"/>
      <c r="D95" s="11"/>
      <c r="E95" s="11"/>
    </row>
    <row r="96">
      <c r="C96" s="18"/>
      <c r="D96" s="11"/>
      <c r="E96" s="11"/>
    </row>
    <row r="97">
      <c r="C97" s="18"/>
      <c r="D97" s="11"/>
      <c r="E97" s="11"/>
    </row>
    <row r="98">
      <c r="C98" s="18"/>
      <c r="D98" s="11"/>
      <c r="E98" s="11"/>
    </row>
    <row r="99">
      <c r="C99" s="18"/>
      <c r="D99" s="11"/>
      <c r="E99" s="11"/>
    </row>
    <row r="100">
      <c r="C100" s="18"/>
      <c r="D100" s="11"/>
      <c r="E100" s="11"/>
    </row>
    <row r="101">
      <c r="C101" s="18"/>
      <c r="D101" s="11"/>
      <c r="E101" s="11"/>
    </row>
    <row r="102">
      <c r="C102" s="18"/>
      <c r="D102" s="11"/>
      <c r="E102" s="11"/>
    </row>
    <row r="103">
      <c r="C103" s="18"/>
      <c r="D103" s="11"/>
      <c r="E103" s="11"/>
    </row>
    <row r="104">
      <c r="C104" s="18"/>
      <c r="D104" s="11"/>
      <c r="E104" s="11"/>
    </row>
    <row r="105">
      <c r="C105" s="18"/>
      <c r="D105" s="11"/>
      <c r="E105" s="11"/>
    </row>
    <row r="106">
      <c r="C106" s="18"/>
      <c r="D106" s="11"/>
      <c r="E106" s="11"/>
    </row>
    <row r="107">
      <c r="C107" s="18"/>
      <c r="D107" s="11"/>
      <c r="E107" s="11"/>
    </row>
    <row r="108">
      <c r="C108" s="18"/>
      <c r="D108" s="11"/>
      <c r="E108" s="11"/>
    </row>
    <row r="109">
      <c r="C109" s="18"/>
      <c r="D109" s="11"/>
      <c r="E109" s="11"/>
    </row>
    <row r="110">
      <c r="C110" s="18"/>
      <c r="D110" s="11"/>
      <c r="E110" s="11"/>
    </row>
    <row r="111">
      <c r="C111" s="18"/>
      <c r="D111" s="11"/>
      <c r="E111" s="11"/>
    </row>
    <row r="112">
      <c r="C112" s="18"/>
      <c r="D112" s="11"/>
      <c r="E112" s="11"/>
    </row>
    <row r="113">
      <c r="C113" s="18"/>
      <c r="D113" s="11"/>
      <c r="E113" s="11"/>
    </row>
    <row r="114">
      <c r="C114" s="18"/>
      <c r="D114" s="11"/>
      <c r="E114" s="11"/>
    </row>
    <row r="115">
      <c r="C115" s="18"/>
      <c r="D115" s="11"/>
      <c r="E115" s="11"/>
    </row>
    <row r="116">
      <c r="C116" s="18"/>
      <c r="D116" s="11"/>
      <c r="E116" s="11"/>
    </row>
    <row r="117">
      <c r="C117" s="18"/>
      <c r="D117" s="11"/>
      <c r="E117" s="11"/>
    </row>
    <row r="118">
      <c r="C118" s="18"/>
      <c r="D118" s="11"/>
      <c r="E118" s="11"/>
    </row>
    <row r="119">
      <c r="C119" s="18"/>
      <c r="D119" s="11"/>
      <c r="E119" s="11"/>
    </row>
    <row r="120">
      <c r="C120" s="18"/>
      <c r="D120" s="11"/>
      <c r="E120" s="11"/>
    </row>
    <row r="121">
      <c r="C121" s="18"/>
      <c r="D121" s="11"/>
      <c r="E121" s="11"/>
    </row>
    <row r="122">
      <c r="C122" s="18"/>
      <c r="D122" s="11"/>
      <c r="E122" s="11"/>
    </row>
    <row r="123">
      <c r="C123" s="18"/>
      <c r="D123" s="11"/>
      <c r="E123" s="11"/>
    </row>
    <row r="124">
      <c r="C124" s="18"/>
      <c r="D124" s="11"/>
      <c r="E124" s="11"/>
    </row>
    <row r="125">
      <c r="C125" s="18"/>
      <c r="D125" s="11"/>
      <c r="E125" s="11"/>
    </row>
    <row r="126">
      <c r="C126" s="18"/>
      <c r="D126" s="11"/>
      <c r="E126" s="11"/>
    </row>
    <row r="127">
      <c r="C127" s="18"/>
      <c r="D127" s="11"/>
      <c r="E127" s="11"/>
    </row>
    <row r="128">
      <c r="C128" s="18"/>
      <c r="D128" s="11"/>
      <c r="E128" s="11"/>
    </row>
    <row r="129">
      <c r="C129" s="18"/>
      <c r="D129" s="11"/>
      <c r="E129" s="11"/>
    </row>
    <row r="130">
      <c r="C130" s="18"/>
      <c r="D130" s="11"/>
      <c r="E130" s="11"/>
    </row>
    <row r="131">
      <c r="C131" s="18"/>
      <c r="D131" s="11"/>
      <c r="E131" s="11"/>
    </row>
    <row r="132">
      <c r="C132" s="18"/>
      <c r="D132" s="11"/>
      <c r="E132" s="11"/>
    </row>
    <row r="133">
      <c r="C133" s="18"/>
      <c r="D133" s="11"/>
      <c r="E133" s="11"/>
    </row>
    <row r="134">
      <c r="C134" s="18"/>
      <c r="D134" s="11"/>
      <c r="E134" s="11"/>
    </row>
    <row r="135">
      <c r="C135" s="18"/>
      <c r="D135" s="11"/>
      <c r="E135" s="11"/>
    </row>
    <row r="136">
      <c r="C136" s="18"/>
      <c r="D136" s="11"/>
      <c r="E136" s="11"/>
    </row>
    <row r="137">
      <c r="C137" s="18"/>
      <c r="D137" s="11"/>
      <c r="E137" s="11"/>
    </row>
    <row r="138">
      <c r="C138" s="18"/>
      <c r="D138" s="11"/>
      <c r="E138" s="11"/>
    </row>
    <row r="139">
      <c r="C139" s="18"/>
      <c r="D139" s="11"/>
      <c r="E139" s="11"/>
    </row>
    <row r="140">
      <c r="C140" s="18"/>
      <c r="D140" s="11"/>
      <c r="E140" s="11"/>
    </row>
    <row r="141">
      <c r="C141" s="18"/>
      <c r="D141" s="11"/>
      <c r="E141" s="11"/>
    </row>
    <row r="142">
      <c r="C142" s="18"/>
      <c r="D142" s="11"/>
      <c r="E142" s="11"/>
    </row>
    <row r="143">
      <c r="C143" s="18"/>
      <c r="D143" s="11"/>
      <c r="E143" s="11"/>
    </row>
    <row r="144">
      <c r="C144" s="18"/>
      <c r="D144" s="11"/>
      <c r="E144" s="11"/>
    </row>
    <row r="145">
      <c r="C145" s="18"/>
      <c r="D145" s="11"/>
      <c r="E145" s="11"/>
    </row>
    <row r="146">
      <c r="C146" s="18"/>
      <c r="D146" s="11"/>
      <c r="E146" s="11"/>
    </row>
    <row r="147">
      <c r="C147" s="18"/>
      <c r="D147" s="11"/>
      <c r="E147" s="11"/>
    </row>
    <row r="148">
      <c r="C148" s="18"/>
      <c r="D148" s="11"/>
      <c r="E148" s="11"/>
    </row>
    <row r="149">
      <c r="C149" s="18"/>
      <c r="D149" s="11"/>
      <c r="E149" s="11"/>
    </row>
    <row r="150">
      <c r="C150" s="18"/>
      <c r="D150" s="11"/>
      <c r="E150" s="11"/>
    </row>
    <row r="151">
      <c r="C151" s="18"/>
      <c r="D151" s="11"/>
      <c r="E151" s="11"/>
    </row>
    <row r="152">
      <c r="C152" s="18"/>
      <c r="D152" s="11"/>
      <c r="E152" s="11"/>
    </row>
    <row r="153">
      <c r="C153" s="18"/>
      <c r="D153" s="11"/>
      <c r="E153" s="11"/>
    </row>
    <row r="154">
      <c r="C154" s="18"/>
      <c r="D154" s="11"/>
      <c r="E154" s="11"/>
    </row>
    <row r="155">
      <c r="C155" s="18"/>
      <c r="D155" s="11"/>
      <c r="E155" s="11"/>
    </row>
    <row r="156">
      <c r="C156" s="18"/>
      <c r="D156" s="11"/>
      <c r="E156" s="11"/>
    </row>
    <row r="157">
      <c r="C157" s="18"/>
      <c r="D157" s="11"/>
      <c r="E157" s="11"/>
    </row>
    <row r="158">
      <c r="C158" s="18"/>
      <c r="D158" s="11"/>
      <c r="E158" s="11"/>
    </row>
    <row r="159">
      <c r="C159" s="18"/>
      <c r="D159" s="11"/>
      <c r="E159" s="11"/>
    </row>
    <row r="160">
      <c r="C160" s="18"/>
      <c r="D160" s="11"/>
      <c r="E160" s="11"/>
    </row>
    <row r="161">
      <c r="C161" s="18"/>
      <c r="D161" s="11"/>
      <c r="E161" s="11"/>
    </row>
    <row r="162">
      <c r="C162" s="18"/>
      <c r="D162" s="11"/>
      <c r="E162" s="11"/>
    </row>
    <row r="163">
      <c r="C163" s="18"/>
      <c r="D163" s="11"/>
      <c r="E163" s="11"/>
    </row>
    <row r="164">
      <c r="C164" s="18"/>
      <c r="D164" s="11"/>
      <c r="E164" s="11"/>
    </row>
    <row r="165">
      <c r="C165" s="18"/>
      <c r="D165" s="11"/>
      <c r="E165" s="11"/>
    </row>
    <row r="166">
      <c r="C166" s="18"/>
      <c r="D166" s="11"/>
      <c r="E166" s="11"/>
    </row>
    <row r="167">
      <c r="C167" s="18"/>
      <c r="D167" s="11"/>
      <c r="E167" s="11"/>
    </row>
    <row r="168">
      <c r="C168" s="18"/>
      <c r="D168" s="11"/>
      <c r="E168" s="11"/>
    </row>
    <row r="169">
      <c r="C169" s="18"/>
      <c r="D169" s="11"/>
      <c r="E169" s="11"/>
    </row>
    <row r="170">
      <c r="C170" s="18"/>
      <c r="D170" s="11"/>
      <c r="E170" s="11"/>
    </row>
    <row r="171">
      <c r="C171" s="18"/>
      <c r="D171" s="11"/>
      <c r="E171" s="11"/>
    </row>
    <row r="172">
      <c r="C172" s="18"/>
      <c r="D172" s="11"/>
      <c r="E172" s="11"/>
    </row>
    <row r="173">
      <c r="C173" s="18"/>
      <c r="D173" s="11"/>
      <c r="E173" s="11"/>
    </row>
    <row r="174">
      <c r="C174" s="18"/>
      <c r="D174" s="11"/>
      <c r="E174" s="11"/>
    </row>
    <row r="175">
      <c r="C175" s="18"/>
      <c r="D175" s="11"/>
      <c r="E175" s="11"/>
    </row>
    <row r="176">
      <c r="C176" s="18"/>
      <c r="D176" s="11"/>
      <c r="E176" s="11"/>
    </row>
    <row r="177">
      <c r="C177" s="18"/>
      <c r="D177" s="11"/>
      <c r="E177" s="11"/>
    </row>
    <row r="178">
      <c r="C178" s="18"/>
      <c r="D178" s="11"/>
      <c r="E178" s="11"/>
    </row>
    <row r="179">
      <c r="C179" s="18"/>
      <c r="D179" s="11"/>
      <c r="E179" s="11"/>
    </row>
    <row r="180">
      <c r="C180" s="18"/>
      <c r="D180" s="11"/>
      <c r="E180" s="11"/>
    </row>
    <row r="181">
      <c r="C181" s="18"/>
      <c r="D181" s="11"/>
      <c r="E181" s="11"/>
    </row>
    <row r="182">
      <c r="C182" s="18"/>
      <c r="D182" s="11"/>
      <c r="E182" s="11"/>
    </row>
    <row r="183">
      <c r="C183" s="18"/>
      <c r="D183" s="11"/>
      <c r="E183" s="11"/>
    </row>
    <row r="184">
      <c r="C184" s="18"/>
      <c r="D184" s="11"/>
      <c r="E184" s="11"/>
    </row>
    <row r="185">
      <c r="C185" s="18"/>
      <c r="D185" s="11"/>
      <c r="E185" s="11"/>
    </row>
    <row r="186">
      <c r="C186" s="18"/>
      <c r="D186" s="11"/>
      <c r="E186" s="11"/>
    </row>
    <row r="187">
      <c r="C187" s="18"/>
      <c r="D187" s="11"/>
      <c r="E187" s="11"/>
    </row>
    <row r="188">
      <c r="C188" s="18"/>
      <c r="D188" s="11"/>
      <c r="E188" s="11"/>
    </row>
    <row r="189">
      <c r="C189" s="18"/>
      <c r="D189" s="11"/>
      <c r="E189" s="11"/>
    </row>
    <row r="190">
      <c r="C190" s="18"/>
      <c r="D190" s="11"/>
      <c r="E190" s="11"/>
    </row>
    <row r="191">
      <c r="C191" s="18"/>
      <c r="D191" s="11"/>
      <c r="E191" s="11"/>
    </row>
    <row r="192">
      <c r="C192" s="18"/>
      <c r="D192" s="11"/>
      <c r="E192" s="11"/>
    </row>
    <row r="193">
      <c r="C193" s="18"/>
      <c r="D193" s="11"/>
      <c r="E193" s="11"/>
    </row>
    <row r="194">
      <c r="C194" s="18"/>
      <c r="D194" s="11"/>
      <c r="E194" s="11"/>
    </row>
    <row r="195">
      <c r="C195" s="18"/>
      <c r="D195" s="11"/>
      <c r="E195" s="11"/>
    </row>
    <row r="196">
      <c r="C196" s="18"/>
      <c r="D196" s="11"/>
      <c r="E196" s="11"/>
    </row>
    <row r="197">
      <c r="C197" s="18"/>
      <c r="D197" s="11"/>
      <c r="E197" s="11"/>
    </row>
    <row r="198">
      <c r="C198" s="18"/>
      <c r="D198" s="11"/>
      <c r="E198" s="11"/>
    </row>
    <row r="199">
      <c r="C199" s="18"/>
      <c r="D199" s="11"/>
      <c r="E199" s="11"/>
    </row>
    <row r="200">
      <c r="C200" s="18"/>
      <c r="D200" s="11"/>
      <c r="E200" s="11"/>
    </row>
    <row r="201">
      <c r="C201" s="18"/>
      <c r="D201" s="11"/>
      <c r="E201" s="11"/>
    </row>
    <row r="202">
      <c r="C202" s="18"/>
      <c r="D202" s="11"/>
      <c r="E202" s="11"/>
    </row>
    <row r="203">
      <c r="C203" s="18"/>
      <c r="D203" s="11"/>
      <c r="E203" s="11"/>
    </row>
    <row r="204">
      <c r="C204" s="18"/>
      <c r="D204" s="11"/>
      <c r="E204" s="11"/>
    </row>
    <row r="205">
      <c r="C205" s="18"/>
      <c r="D205" s="11"/>
      <c r="E205" s="11"/>
    </row>
    <row r="206">
      <c r="C206" s="18"/>
      <c r="D206" s="11"/>
      <c r="E206" s="11"/>
    </row>
    <row r="207">
      <c r="C207" s="18"/>
      <c r="D207" s="11"/>
      <c r="E207" s="11"/>
    </row>
    <row r="208">
      <c r="C208" s="18"/>
      <c r="D208" s="11"/>
      <c r="E208" s="11"/>
    </row>
    <row r="209">
      <c r="C209" s="18"/>
      <c r="D209" s="11"/>
      <c r="E209" s="11"/>
    </row>
    <row r="210">
      <c r="C210" s="18"/>
      <c r="D210" s="11"/>
      <c r="E210" s="11"/>
    </row>
    <row r="211">
      <c r="C211" s="18"/>
      <c r="D211" s="11"/>
      <c r="E211" s="11"/>
    </row>
    <row r="212">
      <c r="C212" s="18"/>
      <c r="D212" s="11"/>
      <c r="E212" s="11"/>
    </row>
    <row r="213">
      <c r="C213" s="18"/>
      <c r="D213" s="11"/>
      <c r="E213" s="11"/>
    </row>
    <row r="214">
      <c r="C214" s="18"/>
      <c r="D214" s="11"/>
      <c r="E214" s="11"/>
    </row>
    <row r="215">
      <c r="C215" s="18"/>
      <c r="D215" s="11"/>
      <c r="E215" s="11"/>
    </row>
    <row r="216">
      <c r="C216" s="18"/>
      <c r="D216" s="11"/>
      <c r="E216" s="11"/>
    </row>
    <row r="217">
      <c r="C217" s="18"/>
      <c r="D217" s="11"/>
      <c r="E217" s="11"/>
    </row>
    <row r="218">
      <c r="C218" s="18"/>
      <c r="D218" s="11"/>
      <c r="E218" s="11"/>
    </row>
    <row r="219">
      <c r="C219" s="18"/>
      <c r="D219" s="11"/>
      <c r="E219" s="11"/>
    </row>
    <row r="220">
      <c r="C220" s="18"/>
      <c r="D220" s="11"/>
      <c r="E220" s="11"/>
    </row>
    <row r="221">
      <c r="C221" s="18"/>
      <c r="D221" s="11"/>
      <c r="E221" s="11"/>
    </row>
    <row r="222">
      <c r="C222" s="18"/>
      <c r="D222" s="11"/>
      <c r="E222" s="11"/>
    </row>
    <row r="223">
      <c r="C223" s="18"/>
      <c r="D223" s="11"/>
      <c r="E223" s="11"/>
    </row>
    <row r="224">
      <c r="C224" s="18"/>
      <c r="D224" s="11"/>
      <c r="E224" s="11"/>
    </row>
    <row r="225">
      <c r="C225" s="18"/>
      <c r="D225" s="11"/>
      <c r="E225" s="11"/>
    </row>
    <row r="226">
      <c r="C226" s="18"/>
      <c r="D226" s="11"/>
      <c r="E226" s="11"/>
    </row>
    <row r="227">
      <c r="C227" s="18"/>
      <c r="D227" s="11"/>
      <c r="E227" s="11"/>
    </row>
    <row r="228">
      <c r="C228" s="18"/>
      <c r="D228" s="11"/>
      <c r="E228" s="11"/>
    </row>
    <row r="229">
      <c r="C229" s="18"/>
      <c r="D229" s="11"/>
      <c r="E229" s="11"/>
    </row>
    <row r="230">
      <c r="C230" s="18"/>
      <c r="D230" s="11"/>
      <c r="E230" s="11"/>
    </row>
    <row r="231">
      <c r="C231" s="18"/>
      <c r="D231" s="11"/>
      <c r="E231" s="11"/>
    </row>
    <row r="232">
      <c r="C232" s="18"/>
      <c r="D232" s="11"/>
      <c r="E232" s="11"/>
    </row>
    <row r="233">
      <c r="C233" s="18"/>
      <c r="D233" s="11"/>
      <c r="E233" s="11"/>
    </row>
    <row r="234">
      <c r="C234" s="18"/>
      <c r="D234" s="11"/>
      <c r="E234" s="11"/>
    </row>
    <row r="235">
      <c r="C235" s="18"/>
      <c r="D235" s="11"/>
      <c r="E235" s="11"/>
    </row>
    <row r="236">
      <c r="C236" s="18"/>
      <c r="D236" s="11"/>
      <c r="E236" s="11"/>
    </row>
    <row r="237">
      <c r="C237" s="18"/>
      <c r="D237" s="11"/>
      <c r="E237" s="11"/>
    </row>
    <row r="238">
      <c r="C238" s="18"/>
      <c r="D238" s="11"/>
      <c r="E238" s="11"/>
    </row>
    <row r="239">
      <c r="C239" s="18"/>
      <c r="D239" s="11"/>
      <c r="E239" s="11"/>
    </row>
    <row r="240">
      <c r="C240" s="18"/>
      <c r="D240" s="11"/>
      <c r="E240" s="11"/>
    </row>
    <row r="241">
      <c r="C241" s="18"/>
      <c r="D241" s="11"/>
      <c r="E241" s="11"/>
    </row>
    <row r="242">
      <c r="C242" s="18"/>
      <c r="D242" s="11"/>
      <c r="E242" s="11"/>
    </row>
    <row r="243">
      <c r="C243" s="18"/>
      <c r="D243" s="11"/>
      <c r="E243" s="11"/>
    </row>
    <row r="244">
      <c r="C244" s="18"/>
      <c r="D244" s="11"/>
      <c r="E244" s="11"/>
    </row>
    <row r="245">
      <c r="C245" s="18"/>
      <c r="D245" s="11"/>
      <c r="E245" s="11"/>
    </row>
    <row r="246">
      <c r="C246" s="18"/>
      <c r="D246" s="11"/>
      <c r="E246" s="11"/>
    </row>
    <row r="247">
      <c r="C247" s="18"/>
      <c r="D247" s="11"/>
      <c r="E247" s="11"/>
    </row>
    <row r="248">
      <c r="C248" s="18"/>
      <c r="D248" s="11"/>
      <c r="E248" s="11"/>
    </row>
    <row r="249">
      <c r="C249" s="18"/>
      <c r="D249" s="11"/>
      <c r="E249" s="11"/>
    </row>
    <row r="250">
      <c r="C250" s="18"/>
      <c r="D250" s="11"/>
      <c r="E250" s="11"/>
    </row>
    <row r="251">
      <c r="C251" s="18"/>
      <c r="D251" s="11"/>
      <c r="E251" s="11"/>
    </row>
    <row r="252">
      <c r="C252" s="18"/>
      <c r="D252" s="11"/>
      <c r="E252" s="11"/>
    </row>
    <row r="253">
      <c r="C253" s="18"/>
      <c r="D253" s="11"/>
      <c r="E253" s="11"/>
    </row>
    <row r="254">
      <c r="C254" s="18"/>
      <c r="D254" s="11"/>
      <c r="E254" s="11"/>
    </row>
    <row r="255">
      <c r="C255" s="18"/>
      <c r="D255" s="11"/>
      <c r="E255" s="11"/>
    </row>
    <row r="256">
      <c r="C256" s="18"/>
      <c r="D256" s="11"/>
      <c r="E256" s="11"/>
    </row>
    <row r="257">
      <c r="C257" s="18"/>
      <c r="D257" s="11"/>
      <c r="E257" s="11"/>
    </row>
    <row r="258">
      <c r="C258" s="18"/>
      <c r="D258" s="11"/>
      <c r="E258" s="11"/>
    </row>
    <row r="259">
      <c r="C259" s="18"/>
      <c r="D259" s="11"/>
      <c r="E259" s="11"/>
    </row>
    <row r="260">
      <c r="C260" s="18"/>
      <c r="D260" s="11"/>
      <c r="E260" s="11"/>
    </row>
    <row r="261">
      <c r="C261" s="18"/>
      <c r="D261" s="11"/>
      <c r="E261" s="11"/>
    </row>
    <row r="262">
      <c r="C262" s="18"/>
      <c r="D262" s="11"/>
      <c r="E262" s="11"/>
    </row>
    <row r="263">
      <c r="C263" s="18"/>
      <c r="D263" s="11"/>
      <c r="E263" s="11"/>
    </row>
    <row r="264">
      <c r="C264" s="18"/>
      <c r="D264" s="11"/>
      <c r="E264" s="11"/>
    </row>
    <row r="265">
      <c r="C265" s="18"/>
      <c r="D265" s="11"/>
      <c r="E265" s="11"/>
    </row>
    <row r="266">
      <c r="C266" s="18"/>
      <c r="D266" s="11"/>
      <c r="E266" s="11"/>
    </row>
    <row r="267">
      <c r="C267" s="18"/>
      <c r="D267" s="11"/>
      <c r="E267" s="11"/>
    </row>
    <row r="268">
      <c r="C268" s="18"/>
      <c r="D268" s="11"/>
      <c r="E268" s="11"/>
    </row>
    <row r="269">
      <c r="C269" s="18"/>
      <c r="D269" s="11"/>
      <c r="E269" s="11"/>
    </row>
    <row r="270">
      <c r="C270" s="18"/>
      <c r="D270" s="11"/>
      <c r="E270" s="11"/>
    </row>
    <row r="271">
      <c r="C271" s="18"/>
      <c r="D271" s="11"/>
      <c r="E271" s="11"/>
    </row>
    <row r="272">
      <c r="C272" s="18"/>
      <c r="D272" s="11"/>
      <c r="E272" s="11"/>
    </row>
    <row r="273">
      <c r="C273" s="18"/>
      <c r="D273" s="11"/>
      <c r="E273" s="11"/>
    </row>
    <row r="274">
      <c r="C274" s="18"/>
      <c r="D274" s="11"/>
      <c r="E274" s="11"/>
    </row>
    <row r="275">
      <c r="C275" s="18"/>
      <c r="D275" s="11"/>
      <c r="E275" s="11"/>
    </row>
    <row r="276">
      <c r="C276" s="18"/>
      <c r="D276" s="11"/>
      <c r="E276" s="11"/>
    </row>
    <row r="277">
      <c r="C277" s="18"/>
      <c r="D277" s="11"/>
      <c r="E277" s="11"/>
    </row>
    <row r="278">
      <c r="C278" s="18"/>
      <c r="D278" s="11"/>
      <c r="E278" s="11"/>
    </row>
    <row r="279">
      <c r="C279" s="18"/>
      <c r="D279" s="11"/>
      <c r="E279" s="11"/>
    </row>
    <row r="280">
      <c r="C280" s="18"/>
      <c r="D280" s="11"/>
      <c r="E280" s="11"/>
    </row>
    <row r="281">
      <c r="C281" s="18"/>
      <c r="D281" s="11"/>
      <c r="E281" s="11"/>
    </row>
    <row r="282">
      <c r="C282" s="18"/>
      <c r="D282" s="11"/>
      <c r="E282" s="11"/>
    </row>
    <row r="283">
      <c r="C283" s="18"/>
      <c r="D283" s="11"/>
      <c r="E283" s="11"/>
    </row>
    <row r="284">
      <c r="C284" s="18"/>
      <c r="D284" s="11"/>
      <c r="E284" s="11"/>
    </row>
    <row r="285">
      <c r="C285" s="18"/>
      <c r="D285" s="11"/>
      <c r="E285" s="11"/>
    </row>
    <row r="286">
      <c r="C286" s="18"/>
      <c r="D286" s="11"/>
      <c r="E286" s="11"/>
    </row>
    <row r="287">
      <c r="C287" s="18"/>
      <c r="D287" s="11"/>
      <c r="E287" s="11"/>
    </row>
    <row r="288">
      <c r="C288" s="18"/>
      <c r="D288" s="11"/>
      <c r="E288" s="11"/>
    </row>
    <row r="289">
      <c r="C289" s="18"/>
      <c r="D289" s="11"/>
      <c r="E289" s="11"/>
    </row>
    <row r="290">
      <c r="C290" s="18"/>
      <c r="D290" s="11"/>
      <c r="E290" s="11"/>
    </row>
    <row r="291">
      <c r="C291" s="18"/>
      <c r="D291" s="11"/>
      <c r="E291" s="11"/>
    </row>
    <row r="292">
      <c r="C292" s="18"/>
      <c r="D292" s="11"/>
      <c r="E292" s="11"/>
    </row>
    <row r="293">
      <c r="C293" s="18"/>
      <c r="D293" s="11"/>
      <c r="E293" s="11"/>
    </row>
    <row r="294">
      <c r="C294" s="18"/>
      <c r="D294" s="11"/>
      <c r="E294" s="11"/>
    </row>
    <row r="295">
      <c r="C295" s="18"/>
      <c r="D295" s="11"/>
      <c r="E295" s="11"/>
    </row>
    <row r="296">
      <c r="C296" s="18"/>
      <c r="D296" s="11"/>
      <c r="E296" s="11"/>
    </row>
    <row r="297">
      <c r="C297" s="18"/>
      <c r="D297" s="11"/>
      <c r="E297" s="11"/>
    </row>
    <row r="298">
      <c r="C298" s="18"/>
      <c r="D298" s="11"/>
      <c r="E298" s="11"/>
    </row>
    <row r="299">
      <c r="C299" s="18"/>
      <c r="D299" s="11"/>
      <c r="E299" s="11"/>
    </row>
    <row r="300">
      <c r="C300" s="18"/>
      <c r="D300" s="11"/>
      <c r="E300" s="11"/>
    </row>
    <row r="301">
      <c r="C301" s="18"/>
      <c r="D301" s="11"/>
      <c r="E301" s="11"/>
    </row>
    <row r="302">
      <c r="C302" s="18"/>
      <c r="D302" s="11"/>
      <c r="E302" s="11"/>
    </row>
    <row r="303">
      <c r="C303" s="18"/>
      <c r="D303" s="11"/>
      <c r="E303" s="11"/>
    </row>
    <row r="304">
      <c r="C304" s="18"/>
      <c r="D304" s="11"/>
      <c r="E304" s="11"/>
    </row>
    <row r="305">
      <c r="C305" s="18"/>
      <c r="D305" s="11"/>
      <c r="E305" s="11"/>
    </row>
    <row r="306">
      <c r="C306" s="18"/>
      <c r="D306" s="11"/>
      <c r="E306" s="11"/>
    </row>
    <row r="307">
      <c r="C307" s="18"/>
      <c r="D307" s="11"/>
      <c r="E307" s="11"/>
    </row>
    <row r="308">
      <c r="C308" s="18"/>
      <c r="D308" s="11"/>
      <c r="E308" s="11"/>
    </row>
    <row r="309">
      <c r="C309" s="18"/>
      <c r="D309" s="11"/>
      <c r="E309" s="11"/>
    </row>
    <row r="310">
      <c r="C310" s="18"/>
      <c r="D310" s="11"/>
      <c r="E310" s="11"/>
    </row>
    <row r="311">
      <c r="C311" s="18"/>
      <c r="D311" s="11"/>
      <c r="E311" s="11"/>
    </row>
    <row r="312">
      <c r="C312" s="18"/>
      <c r="D312" s="11"/>
      <c r="E312" s="11"/>
    </row>
    <row r="313">
      <c r="C313" s="18"/>
      <c r="D313" s="11"/>
      <c r="E313" s="11"/>
    </row>
    <row r="314">
      <c r="C314" s="18"/>
      <c r="D314" s="11"/>
      <c r="E314" s="11"/>
    </row>
    <row r="315">
      <c r="C315" s="18"/>
      <c r="D315" s="11"/>
      <c r="E315" s="11"/>
    </row>
    <row r="316">
      <c r="C316" s="18"/>
      <c r="D316" s="11"/>
      <c r="E316" s="11"/>
    </row>
    <row r="317">
      <c r="C317" s="18"/>
      <c r="D317" s="11"/>
      <c r="E317" s="11"/>
    </row>
    <row r="318">
      <c r="C318" s="18"/>
      <c r="D318" s="11"/>
      <c r="E318" s="11"/>
    </row>
    <row r="319">
      <c r="C319" s="18"/>
      <c r="D319" s="11"/>
      <c r="E319" s="11"/>
    </row>
    <row r="320">
      <c r="C320" s="18"/>
      <c r="D320" s="11"/>
      <c r="E320" s="11"/>
    </row>
    <row r="321">
      <c r="C321" s="18"/>
      <c r="D321" s="11"/>
      <c r="E321" s="11"/>
    </row>
    <row r="322">
      <c r="C322" s="18"/>
      <c r="D322" s="11"/>
      <c r="E322" s="11"/>
    </row>
    <row r="323">
      <c r="C323" s="18"/>
      <c r="D323" s="11"/>
      <c r="E323" s="11"/>
    </row>
    <row r="324">
      <c r="C324" s="18"/>
      <c r="D324" s="11"/>
      <c r="E324" s="11"/>
    </row>
    <row r="325">
      <c r="C325" s="18"/>
      <c r="D325" s="11"/>
      <c r="E325" s="11"/>
    </row>
    <row r="326">
      <c r="C326" s="18"/>
      <c r="D326" s="11"/>
      <c r="E326" s="11"/>
    </row>
    <row r="327">
      <c r="C327" s="18"/>
      <c r="D327" s="11"/>
      <c r="E327" s="11"/>
    </row>
    <row r="328">
      <c r="C328" s="18"/>
      <c r="D328" s="11"/>
      <c r="E328" s="11"/>
    </row>
    <row r="329">
      <c r="C329" s="18"/>
      <c r="D329" s="11"/>
      <c r="E329" s="11"/>
    </row>
    <row r="330">
      <c r="C330" s="18"/>
      <c r="D330" s="11"/>
      <c r="E330" s="11"/>
    </row>
    <row r="331">
      <c r="C331" s="18"/>
      <c r="D331" s="11"/>
      <c r="E331" s="11"/>
    </row>
    <row r="332">
      <c r="C332" s="18"/>
      <c r="D332" s="11"/>
      <c r="E332" s="11"/>
    </row>
    <row r="333">
      <c r="C333" s="18"/>
      <c r="D333" s="11"/>
      <c r="E333" s="11"/>
    </row>
    <row r="334">
      <c r="C334" s="18"/>
      <c r="D334" s="11"/>
      <c r="E334" s="11"/>
    </row>
    <row r="335">
      <c r="C335" s="18"/>
      <c r="D335" s="11"/>
      <c r="E335" s="11"/>
    </row>
    <row r="336">
      <c r="C336" s="18"/>
      <c r="D336" s="11"/>
      <c r="E336" s="11"/>
    </row>
    <row r="337">
      <c r="C337" s="18"/>
      <c r="D337" s="11"/>
      <c r="E337" s="11"/>
    </row>
    <row r="338">
      <c r="C338" s="18"/>
      <c r="D338" s="11"/>
      <c r="E338" s="11"/>
    </row>
    <row r="339">
      <c r="C339" s="18"/>
      <c r="D339" s="11"/>
      <c r="E339" s="11"/>
    </row>
    <row r="340">
      <c r="C340" s="18"/>
      <c r="D340" s="11"/>
      <c r="E340" s="11"/>
    </row>
    <row r="341">
      <c r="C341" s="18"/>
      <c r="D341" s="11"/>
      <c r="E341" s="11"/>
    </row>
    <row r="342">
      <c r="C342" s="18"/>
      <c r="D342" s="11"/>
      <c r="E342" s="11"/>
    </row>
    <row r="343">
      <c r="C343" s="18"/>
      <c r="D343" s="11"/>
      <c r="E343" s="11"/>
    </row>
    <row r="344">
      <c r="C344" s="18"/>
      <c r="D344" s="11"/>
      <c r="E344" s="11"/>
    </row>
    <row r="345">
      <c r="C345" s="18"/>
      <c r="D345" s="11"/>
      <c r="E345" s="11"/>
    </row>
    <row r="346">
      <c r="C346" s="18"/>
      <c r="D346" s="11"/>
      <c r="E346" s="11"/>
    </row>
    <row r="347">
      <c r="C347" s="18"/>
      <c r="D347" s="11"/>
      <c r="E347" s="11"/>
    </row>
    <row r="348">
      <c r="C348" s="18"/>
      <c r="D348" s="11"/>
      <c r="E348" s="11"/>
    </row>
    <row r="349">
      <c r="C349" s="18"/>
      <c r="D349" s="11"/>
      <c r="E349" s="11"/>
    </row>
    <row r="350">
      <c r="C350" s="18"/>
      <c r="D350" s="11"/>
      <c r="E350" s="11"/>
    </row>
    <row r="351">
      <c r="C351" s="18"/>
      <c r="D351" s="11"/>
      <c r="E351" s="11"/>
    </row>
    <row r="352">
      <c r="C352" s="18"/>
      <c r="D352" s="11"/>
      <c r="E352" s="11"/>
    </row>
    <row r="353">
      <c r="C353" s="18"/>
      <c r="D353" s="11"/>
      <c r="E353" s="11"/>
    </row>
    <row r="354">
      <c r="C354" s="18"/>
      <c r="D354" s="11"/>
      <c r="E354" s="11"/>
    </row>
    <row r="355">
      <c r="C355" s="18"/>
      <c r="D355" s="11"/>
      <c r="E355" s="11"/>
    </row>
    <row r="356">
      <c r="C356" s="18"/>
      <c r="D356" s="11"/>
      <c r="E356" s="11"/>
    </row>
    <row r="357">
      <c r="C357" s="18"/>
      <c r="D357" s="11"/>
      <c r="E357" s="11"/>
    </row>
    <row r="358">
      <c r="C358" s="18"/>
      <c r="D358" s="11"/>
      <c r="E358" s="11"/>
    </row>
    <row r="359">
      <c r="C359" s="18"/>
      <c r="D359" s="11"/>
      <c r="E359" s="11"/>
    </row>
    <row r="360">
      <c r="C360" s="18"/>
      <c r="D360" s="11"/>
      <c r="E360" s="11"/>
    </row>
    <row r="361">
      <c r="C361" s="18"/>
      <c r="D361" s="11"/>
      <c r="E361" s="11"/>
    </row>
    <row r="362">
      <c r="C362" s="18"/>
      <c r="D362" s="11"/>
      <c r="E362" s="11"/>
    </row>
    <row r="363">
      <c r="C363" s="18"/>
      <c r="D363" s="11"/>
      <c r="E363" s="11"/>
    </row>
    <row r="364">
      <c r="C364" s="18"/>
      <c r="D364" s="11"/>
      <c r="E364" s="11"/>
    </row>
    <row r="365">
      <c r="C365" s="18"/>
      <c r="D365" s="11"/>
      <c r="E365" s="11"/>
    </row>
    <row r="366">
      <c r="C366" s="18"/>
      <c r="D366" s="11"/>
      <c r="E366" s="11"/>
    </row>
    <row r="367">
      <c r="C367" s="18"/>
      <c r="D367" s="11"/>
      <c r="E367" s="11"/>
    </row>
    <row r="368">
      <c r="C368" s="18"/>
      <c r="D368" s="11"/>
      <c r="E368" s="11"/>
    </row>
    <row r="369">
      <c r="C369" s="18"/>
      <c r="D369" s="11"/>
      <c r="E369" s="11"/>
    </row>
    <row r="370">
      <c r="C370" s="18"/>
      <c r="D370" s="11"/>
      <c r="E370" s="11"/>
    </row>
    <row r="371">
      <c r="C371" s="18"/>
      <c r="D371" s="11"/>
      <c r="E371" s="11"/>
    </row>
    <row r="372">
      <c r="C372" s="18"/>
      <c r="D372" s="11"/>
      <c r="E372" s="11"/>
    </row>
    <row r="373">
      <c r="C373" s="18"/>
      <c r="D373" s="11"/>
      <c r="E373" s="11"/>
    </row>
    <row r="374">
      <c r="C374" s="18"/>
      <c r="D374" s="11"/>
      <c r="E374" s="11"/>
    </row>
    <row r="375">
      <c r="C375" s="18"/>
      <c r="D375" s="11"/>
      <c r="E375" s="11"/>
    </row>
    <row r="376">
      <c r="C376" s="18"/>
      <c r="D376" s="11"/>
      <c r="E376" s="11"/>
    </row>
    <row r="377">
      <c r="C377" s="18"/>
      <c r="D377" s="11"/>
      <c r="E377" s="11"/>
    </row>
    <row r="378">
      <c r="C378" s="18"/>
      <c r="D378" s="11"/>
      <c r="E378" s="11"/>
    </row>
    <row r="379">
      <c r="C379" s="18"/>
      <c r="D379" s="11"/>
      <c r="E379" s="11"/>
    </row>
    <row r="380">
      <c r="C380" s="18"/>
      <c r="D380" s="11"/>
      <c r="E380" s="11"/>
    </row>
    <row r="381">
      <c r="C381" s="18"/>
      <c r="D381" s="11"/>
      <c r="E381" s="11"/>
    </row>
    <row r="382">
      <c r="C382" s="18"/>
      <c r="D382" s="11"/>
      <c r="E382" s="11"/>
    </row>
    <row r="383">
      <c r="C383" s="18"/>
      <c r="D383" s="11"/>
      <c r="E383" s="11"/>
    </row>
    <row r="384">
      <c r="C384" s="18"/>
      <c r="D384" s="11"/>
      <c r="E384" s="11"/>
    </row>
    <row r="385">
      <c r="C385" s="18"/>
      <c r="D385" s="11"/>
      <c r="E385" s="11"/>
    </row>
    <row r="386">
      <c r="C386" s="18"/>
      <c r="D386" s="11"/>
      <c r="E386" s="11"/>
    </row>
    <row r="387">
      <c r="C387" s="18"/>
      <c r="D387" s="11"/>
      <c r="E387" s="11"/>
    </row>
    <row r="388">
      <c r="C388" s="18"/>
      <c r="D388" s="11"/>
      <c r="E388" s="11"/>
    </row>
    <row r="389">
      <c r="C389" s="18"/>
      <c r="D389" s="11"/>
      <c r="E389" s="11"/>
    </row>
    <row r="390">
      <c r="C390" s="18"/>
      <c r="D390" s="11"/>
      <c r="E390" s="11"/>
    </row>
    <row r="391">
      <c r="C391" s="18"/>
      <c r="D391" s="11"/>
      <c r="E391" s="11"/>
    </row>
    <row r="392">
      <c r="C392" s="18"/>
      <c r="D392" s="11"/>
      <c r="E392" s="11"/>
    </row>
    <row r="393">
      <c r="C393" s="18"/>
      <c r="D393" s="11"/>
      <c r="E393" s="11"/>
    </row>
    <row r="394">
      <c r="C394" s="18"/>
      <c r="D394" s="11"/>
      <c r="E394" s="11"/>
    </row>
    <row r="395">
      <c r="C395" s="18"/>
      <c r="D395" s="11"/>
      <c r="E395" s="11"/>
    </row>
    <row r="396">
      <c r="C396" s="18"/>
      <c r="D396" s="11"/>
      <c r="E396" s="11"/>
    </row>
    <row r="397">
      <c r="C397" s="18"/>
      <c r="D397" s="11"/>
      <c r="E397" s="11"/>
    </row>
    <row r="398">
      <c r="C398" s="18"/>
      <c r="D398" s="11"/>
      <c r="E398" s="11"/>
    </row>
    <row r="399">
      <c r="C399" s="18"/>
      <c r="D399" s="11"/>
      <c r="E399" s="11"/>
    </row>
    <row r="400">
      <c r="C400" s="18"/>
      <c r="D400" s="11"/>
      <c r="E400" s="11"/>
    </row>
    <row r="401">
      <c r="C401" s="18"/>
      <c r="D401" s="11"/>
      <c r="E401" s="11"/>
    </row>
    <row r="402">
      <c r="C402" s="18"/>
      <c r="D402" s="11"/>
      <c r="E402" s="11"/>
    </row>
    <row r="403">
      <c r="C403" s="18"/>
      <c r="D403" s="11"/>
      <c r="E403" s="11"/>
    </row>
    <row r="404">
      <c r="C404" s="18"/>
      <c r="D404" s="11"/>
      <c r="E404" s="11"/>
    </row>
    <row r="405">
      <c r="C405" s="18"/>
      <c r="D405" s="11"/>
      <c r="E405" s="11"/>
    </row>
    <row r="406">
      <c r="C406" s="18"/>
      <c r="D406" s="11"/>
      <c r="E406" s="11"/>
    </row>
    <row r="407">
      <c r="C407" s="18"/>
      <c r="D407" s="11"/>
      <c r="E407" s="11"/>
    </row>
    <row r="408">
      <c r="C408" s="18"/>
      <c r="D408" s="11"/>
      <c r="E408" s="11"/>
    </row>
    <row r="409">
      <c r="C409" s="18"/>
      <c r="D409" s="11"/>
      <c r="E409" s="11"/>
    </row>
    <row r="410">
      <c r="C410" s="18"/>
      <c r="D410" s="11"/>
      <c r="E410" s="11"/>
    </row>
    <row r="411">
      <c r="C411" s="18"/>
      <c r="D411" s="11"/>
      <c r="E411" s="11"/>
    </row>
    <row r="412">
      <c r="C412" s="18"/>
      <c r="D412" s="11"/>
      <c r="E412" s="11"/>
    </row>
    <row r="413">
      <c r="C413" s="18"/>
      <c r="D413" s="11"/>
      <c r="E413" s="11"/>
    </row>
    <row r="414">
      <c r="C414" s="18"/>
      <c r="D414" s="11"/>
      <c r="E414" s="11"/>
    </row>
    <row r="415">
      <c r="C415" s="18"/>
      <c r="D415" s="11"/>
      <c r="E415" s="11"/>
    </row>
    <row r="416">
      <c r="C416" s="18"/>
      <c r="D416" s="11"/>
      <c r="E416" s="11"/>
    </row>
    <row r="417">
      <c r="C417" s="18"/>
      <c r="D417" s="11"/>
      <c r="E417" s="11"/>
    </row>
    <row r="418">
      <c r="C418" s="18"/>
      <c r="D418" s="11"/>
      <c r="E418" s="11"/>
    </row>
    <row r="419">
      <c r="C419" s="18"/>
      <c r="D419" s="11"/>
      <c r="E419" s="11"/>
    </row>
    <row r="420">
      <c r="C420" s="18"/>
      <c r="D420" s="11"/>
      <c r="E420" s="11"/>
    </row>
    <row r="421">
      <c r="C421" s="18"/>
      <c r="D421" s="11"/>
      <c r="E421" s="11"/>
    </row>
    <row r="422">
      <c r="C422" s="18"/>
      <c r="D422" s="11"/>
      <c r="E422" s="11"/>
    </row>
    <row r="423">
      <c r="C423" s="18"/>
      <c r="D423" s="11"/>
      <c r="E423" s="11"/>
    </row>
    <row r="424">
      <c r="C424" s="18"/>
      <c r="D424" s="11"/>
      <c r="E424" s="11"/>
    </row>
    <row r="425">
      <c r="C425" s="18"/>
      <c r="D425" s="11"/>
      <c r="E425" s="11"/>
    </row>
    <row r="426">
      <c r="C426" s="18"/>
      <c r="D426" s="11"/>
      <c r="E426" s="11"/>
    </row>
    <row r="427">
      <c r="C427" s="18"/>
      <c r="D427" s="11"/>
      <c r="E427" s="11"/>
    </row>
    <row r="428">
      <c r="C428" s="18"/>
      <c r="D428" s="11"/>
      <c r="E428" s="11"/>
    </row>
    <row r="429">
      <c r="C429" s="18"/>
      <c r="D429" s="11"/>
      <c r="E429" s="11"/>
    </row>
    <row r="430">
      <c r="C430" s="18"/>
      <c r="D430" s="11"/>
      <c r="E430" s="11"/>
    </row>
    <row r="431">
      <c r="C431" s="18"/>
      <c r="D431" s="11"/>
      <c r="E431" s="11"/>
    </row>
    <row r="432">
      <c r="C432" s="18"/>
      <c r="D432" s="11"/>
      <c r="E432" s="11"/>
    </row>
    <row r="433">
      <c r="C433" s="18"/>
      <c r="D433" s="11"/>
      <c r="E433" s="11"/>
    </row>
    <row r="434">
      <c r="C434" s="18"/>
      <c r="D434" s="11"/>
      <c r="E434" s="11"/>
    </row>
    <row r="435">
      <c r="C435" s="18"/>
      <c r="D435" s="11"/>
      <c r="E435" s="11"/>
    </row>
    <row r="436">
      <c r="C436" s="18"/>
      <c r="D436" s="11"/>
      <c r="E436" s="11"/>
    </row>
    <row r="437">
      <c r="C437" s="18"/>
      <c r="D437" s="11"/>
      <c r="E437" s="11"/>
    </row>
    <row r="438">
      <c r="C438" s="18"/>
      <c r="D438" s="11"/>
      <c r="E438" s="11"/>
    </row>
    <row r="439">
      <c r="C439" s="18"/>
      <c r="D439" s="11"/>
      <c r="E439" s="11"/>
    </row>
    <row r="440">
      <c r="C440" s="18"/>
      <c r="D440" s="11"/>
      <c r="E440" s="11"/>
    </row>
    <row r="441">
      <c r="C441" s="18"/>
      <c r="D441" s="11"/>
      <c r="E441" s="11"/>
    </row>
    <row r="442">
      <c r="C442" s="18"/>
      <c r="D442" s="11"/>
      <c r="E442" s="11"/>
    </row>
    <row r="443">
      <c r="C443" s="18"/>
      <c r="D443" s="11"/>
      <c r="E443" s="11"/>
    </row>
    <row r="444">
      <c r="C444" s="18"/>
      <c r="D444" s="11"/>
      <c r="E444" s="11"/>
    </row>
    <row r="445">
      <c r="C445" s="18"/>
      <c r="D445" s="11"/>
      <c r="E445" s="11"/>
    </row>
    <row r="446">
      <c r="C446" s="18"/>
      <c r="D446" s="11"/>
      <c r="E446" s="11"/>
    </row>
    <row r="447">
      <c r="C447" s="18"/>
      <c r="D447" s="11"/>
      <c r="E447" s="11"/>
    </row>
    <row r="448">
      <c r="C448" s="18"/>
      <c r="D448" s="11"/>
      <c r="E448" s="11"/>
    </row>
    <row r="449">
      <c r="C449" s="18"/>
      <c r="D449" s="11"/>
      <c r="E449" s="11"/>
    </row>
    <row r="450">
      <c r="C450" s="18"/>
      <c r="D450" s="11"/>
      <c r="E450" s="11"/>
    </row>
    <row r="451">
      <c r="C451" s="18"/>
      <c r="D451" s="11"/>
      <c r="E451" s="11"/>
    </row>
    <row r="452">
      <c r="C452" s="18"/>
      <c r="D452" s="11"/>
      <c r="E452" s="11"/>
    </row>
    <row r="453">
      <c r="C453" s="18"/>
      <c r="D453" s="11"/>
      <c r="E453" s="11"/>
    </row>
    <row r="454">
      <c r="C454" s="18"/>
      <c r="D454" s="11"/>
      <c r="E454" s="11"/>
    </row>
    <row r="455">
      <c r="C455" s="18"/>
      <c r="D455" s="11"/>
      <c r="E455" s="11"/>
    </row>
    <row r="456">
      <c r="C456" s="18"/>
      <c r="D456" s="11"/>
      <c r="E456" s="11"/>
    </row>
    <row r="457">
      <c r="C457" s="18"/>
      <c r="D457" s="11"/>
      <c r="E457" s="11"/>
    </row>
    <row r="458">
      <c r="C458" s="18"/>
      <c r="D458" s="11"/>
      <c r="E458" s="11"/>
    </row>
    <row r="459">
      <c r="C459" s="18"/>
      <c r="D459" s="11"/>
      <c r="E459" s="11"/>
    </row>
    <row r="460">
      <c r="C460" s="18"/>
      <c r="D460" s="11"/>
      <c r="E460" s="11"/>
    </row>
    <row r="461">
      <c r="C461" s="18"/>
      <c r="D461" s="11"/>
      <c r="E461" s="11"/>
    </row>
    <row r="462">
      <c r="C462" s="18"/>
      <c r="D462" s="11"/>
      <c r="E462" s="11"/>
    </row>
    <row r="463">
      <c r="C463" s="18"/>
      <c r="D463" s="11"/>
      <c r="E463" s="11"/>
    </row>
    <row r="464">
      <c r="C464" s="18"/>
      <c r="D464" s="11"/>
      <c r="E464" s="11"/>
    </row>
    <row r="465">
      <c r="C465" s="18"/>
      <c r="D465" s="11"/>
      <c r="E465" s="11"/>
    </row>
    <row r="466">
      <c r="C466" s="18"/>
      <c r="D466" s="11"/>
      <c r="E466" s="11"/>
    </row>
    <row r="467">
      <c r="C467" s="18"/>
      <c r="D467" s="11"/>
      <c r="E467" s="11"/>
    </row>
    <row r="468">
      <c r="C468" s="18"/>
      <c r="D468" s="11"/>
      <c r="E468" s="11"/>
    </row>
    <row r="469">
      <c r="C469" s="18"/>
      <c r="D469" s="11"/>
      <c r="E469" s="11"/>
    </row>
    <row r="470">
      <c r="C470" s="18"/>
      <c r="D470" s="11"/>
      <c r="E470" s="11"/>
    </row>
    <row r="471">
      <c r="C471" s="18"/>
      <c r="D471" s="11"/>
      <c r="E471" s="11"/>
    </row>
    <row r="472">
      <c r="C472" s="18"/>
      <c r="D472" s="11"/>
      <c r="E472" s="11"/>
    </row>
    <row r="473">
      <c r="C473" s="18"/>
      <c r="D473" s="11"/>
      <c r="E473" s="11"/>
    </row>
    <row r="474">
      <c r="C474" s="18"/>
      <c r="D474" s="11"/>
      <c r="E474" s="11"/>
    </row>
    <row r="475">
      <c r="C475" s="18"/>
      <c r="D475" s="11"/>
      <c r="E475" s="11"/>
    </row>
    <row r="476">
      <c r="C476" s="18"/>
      <c r="D476" s="11"/>
      <c r="E476" s="11"/>
    </row>
    <row r="477">
      <c r="C477" s="18"/>
      <c r="D477" s="11"/>
      <c r="E477" s="11"/>
    </row>
    <row r="478">
      <c r="C478" s="18"/>
      <c r="D478" s="11"/>
      <c r="E478" s="11"/>
    </row>
    <row r="479">
      <c r="C479" s="18"/>
      <c r="D479" s="11"/>
      <c r="E479" s="11"/>
    </row>
    <row r="480">
      <c r="C480" s="18"/>
      <c r="D480" s="11"/>
      <c r="E480" s="11"/>
    </row>
    <row r="481">
      <c r="C481" s="18"/>
      <c r="D481" s="11"/>
      <c r="E481" s="11"/>
    </row>
    <row r="482">
      <c r="C482" s="18"/>
      <c r="D482" s="11"/>
      <c r="E482" s="11"/>
    </row>
    <row r="483">
      <c r="C483" s="18"/>
      <c r="D483" s="11"/>
      <c r="E483" s="11"/>
    </row>
    <row r="484">
      <c r="C484" s="18"/>
      <c r="D484" s="11"/>
      <c r="E484" s="11"/>
    </row>
    <row r="485">
      <c r="C485" s="18"/>
      <c r="D485" s="11"/>
      <c r="E485" s="11"/>
    </row>
    <row r="486">
      <c r="C486" s="18"/>
      <c r="D486" s="11"/>
      <c r="E486" s="11"/>
    </row>
    <row r="487">
      <c r="C487" s="18"/>
      <c r="D487" s="11"/>
      <c r="E487" s="11"/>
    </row>
    <row r="488">
      <c r="C488" s="18"/>
      <c r="D488" s="11"/>
      <c r="E488" s="11"/>
    </row>
    <row r="489">
      <c r="C489" s="18"/>
      <c r="D489" s="11"/>
      <c r="E489" s="11"/>
    </row>
    <row r="490">
      <c r="C490" s="18"/>
      <c r="D490" s="11"/>
      <c r="E490" s="11"/>
    </row>
    <row r="491">
      <c r="C491" s="18"/>
      <c r="D491" s="11"/>
      <c r="E491" s="11"/>
    </row>
    <row r="492">
      <c r="C492" s="18"/>
      <c r="D492" s="11"/>
      <c r="E492" s="11"/>
    </row>
    <row r="493">
      <c r="C493" s="18"/>
      <c r="D493" s="11"/>
      <c r="E493" s="11"/>
    </row>
    <row r="494">
      <c r="C494" s="18"/>
      <c r="D494" s="11"/>
      <c r="E494" s="11"/>
    </row>
    <row r="495">
      <c r="C495" s="18"/>
      <c r="D495" s="11"/>
      <c r="E495" s="11"/>
    </row>
    <row r="496">
      <c r="C496" s="18"/>
      <c r="D496" s="11"/>
      <c r="E496" s="11"/>
    </row>
    <row r="497">
      <c r="C497" s="18"/>
      <c r="D497" s="11"/>
      <c r="E497" s="11"/>
    </row>
    <row r="498">
      <c r="C498" s="18"/>
      <c r="D498" s="11"/>
      <c r="E498" s="11"/>
    </row>
    <row r="499">
      <c r="C499" s="18"/>
      <c r="D499" s="11"/>
      <c r="E499" s="11"/>
    </row>
    <row r="500">
      <c r="C500" s="18"/>
      <c r="D500" s="11"/>
      <c r="E500" s="11"/>
    </row>
    <row r="501">
      <c r="C501" s="18"/>
      <c r="D501" s="11"/>
      <c r="E501" s="11"/>
    </row>
    <row r="502">
      <c r="C502" s="18"/>
      <c r="D502" s="11"/>
      <c r="E502" s="11"/>
    </row>
    <row r="503">
      <c r="C503" s="18"/>
      <c r="D503" s="11"/>
      <c r="E503" s="11"/>
    </row>
    <row r="504">
      <c r="C504" s="18"/>
      <c r="D504" s="11"/>
      <c r="E504" s="11"/>
    </row>
    <row r="505">
      <c r="C505" s="18"/>
      <c r="D505" s="11"/>
      <c r="E505" s="11"/>
    </row>
    <row r="506">
      <c r="C506" s="18"/>
      <c r="D506" s="11"/>
      <c r="E506" s="11"/>
    </row>
    <row r="507">
      <c r="C507" s="18"/>
      <c r="D507" s="11"/>
      <c r="E507" s="11"/>
    </row>
    <row r="508">
      <c r="C508" s="18"/>
      <c r="D508" s="11"/>
      <c r="E508" s="11"/>
    </row>
    <row r="509">
      <c r="C509" s="18"/>
      <c r="D509" s="11"/>
      <c r="E509" s="11"/>
    </row>
    <row r="510">
      <c r="C510" s="18"/>
      <c r="D510" s="11"/>
      <c r="E510" s="11"/>
    </row>
    <row r="511">
      <c r="C511" s="18"/>
      <c r="D511" s="11"/>
      <c r="E511" s="11"/>
    </row>
    <row r="512">
      <c r="C512" s="18"/>
      <c r="D512" s="11"/>
      <c r="E512" s="11"/>
    </row>
    <row r="513">
      <c r="C513" s="18"/>
      <c r="D513" s="11"/>
      <c r="E513" s="11"/>
    </row>
    <row r="514">
      <c r="C514" s="18"/>
      <c r="D514" s="11"/>
      <c r="E514" s="11"/>
    </row>
    <row r="515">
      <c r="C515" s="18"/>
      <c r="D515" s="11"/>
      <c r="E515" s="11"/>
    </row>
    <row r="516">
      <c r="C516" s="18"/>
      <c r="D516" s="11"/>
      <c r="E516" s="11"/>
    </row>
    <row r="517">
      <c r="C517" s="18"/>
      <c r="D517" s="11"/>
      <c r="E517" s="11"/>
    </row>
    <row r="518">
      <c r="C518" s="18"/>
      <c r="D518" s="11"/>
      <c r="E518" s="11"/>
    </row>
    <row r="519">
      <c r="C519" s="18"/>
      <c r="D519" s="11"/>
      <c r="E519" s="11"/>
    </row>
    <row r="520">
      <c r="C520" s="18"/>
      <c r="D520" s="11"/>
      <c r="E520" s="11"/>
    </row>
    <row r="521">
      <c r="C521" s="18"/>
      <c r="D521" s="11"/>
      <c r="E521" s="11"/>
    </row>
    <row r="522">
      <c r="C522" s="18"/>
      <c r="D522" s="11"/>
      <c r="E522" s="11"/>
    </row>
    <row r="523">
      <c r="C523" s="18"/>
      <c r="D523" s="11"/>
      <c r="E523" s="11"/>
    </row>
    <row r="524">
      <c r="C524" s="18"/>
      <c r="D524" s="11"/>
      <c r="E524" s="11"/>
    </row>
    <row r="525">
      <c r="C525" s="18"/>
      <c r="D525" s="11"/>
      <c r="E525" s="11"/>
    </row>
    <row r="526">
      <c r="C526" s="18"/>
      <c r="D526" s="11"/>
      <c r="E526" s="11"/>
    </row>
    <row r="527">
      <c r="C527" s="18"/>
      <c r="D527" s="11"/>
      <c r="E527" s="11"/>
    </row>
    <row r="528">
      <c r="C528" s="18"/>
      <c r="D528" s="11"/>
      <c r="E528" s="11"/>
    </row>
    <row r="529">
      <c r="C529" s="18"/>
      <c r="D529" s="11"/>
      <c r="E529" s="11"/>
    </row>
    <row r="530">
      <c r="C530" s="18"/>
      <c r="D530" s="11"/>
      <c r="E530" s="11"/>
    </row>
    <row r="531">
      <c r="C531" s="18"/>
      <c r="D531" s="11"/>
      <c r="E531" s="11"/>
    </row>
    <row r="532">
      <c r="C532" s="18"/>
      <c r="D532" s="11"/>
      <c r="E532" s="11"/>
    </row>
    <row r="533">
      <c r="C533" s="18"/>
      <c r="D533" s="11"/>
      <c r="E533" s="11"/>
    </row>
    <row r="534">
      <c r="C534" s="18"/>
      <c r="D534" s="11"/>
      <c r="E534" s="11"/>
    </row>
    <row r="535">
      <c r="C535" s="18"/>
      <c r="D535" s="11"/>
      <c r="E535" s="11"/>
    </row>
    <row r="536">
      <c r="C536" s="18"/>
      <c r="D536" s="11"/>
      <c r="E536" s="11"/>
    </row>
    <row r="537">
      <c r="C537" s="18"/>
      <c r="D537" s="11"/>
      <c r="E537" s="11"/>
    </row>
    <row r="538">
      <c r="C538" s="18"/>
      <c r="D538" s="11"/>
      <c r="E538" s="11"/>
    </row>
    <row r="539">
      <c r="C539" s="18"/>
      <c r="D539" s="11"/>
      <c r="E539" s="11"/>
    </row>
    <row r="540">
      <c r="C540" s="18"/>
      <c r="D540" s="11"/>
      <c r="E540" s="11"/>
    </row>
    <row r="541">
      <c r="C541" s="18"/>
      <c r="D541" s="11"/>
      <c r="E541" s="11"/>
    </row>
    <row r="542">
      <c r="C542" s="18"/>
      <c r="D542" s="11"/>
      <c r="E542" s="11"/>
    </row>
    <row r="543">
      <c r="C543" s="18"/>
      <c r="D543" s="11"/>
      <c r="E543" s="11"/>
    </row>
    <row r="544">
      <c r="C544" s="18"/>
      <c r="D544" s="11"/>
      <c r="E544" s="11"/>
    </row>
    <row r="545">
      <c r="C545" s="18"/>
      <c r="D545" s="11"/>
      <c r="E545" s="11"/>
    </row>
    <row r="546">
      <c r="C546" s="18"/>
      <c r="D546" s="11"/>
      <c r="E546" s="11"/>
    </row>
    <row r="547">
      <c r="C547" s="18"/>
      <c r="D547" s="11"/>
      <c r="E547" s="11"/>
    </row>
    <row r="548">
      <c r="C548" s="18"/>
      <c r="D548" s="11"/>
      <c r="E548" s="11"/>
    </row>
    <row r="549">
      <c r="C549" s="18"/>
      <c r="D549" s="11"/>
      <c r="E549" s="11"/>
    </row>
    <row r="550">
      <c r="C550" s="18"/>
      <c r="D550" s="11"/>
      <c r="E550" s="11"/>
    </row>
    <row r="551">
      <c r="C551" s="18"/>
      <c r="D551" s="11"/>
      <c r="E551" s="11"/>
    </row>
    <row r="552">
      <c r="C552" s="18"/>
      <c r="D552" s="11"/>
      <c r="E552" s="11"/>
    </row>
    <row r="553">
      <c r="C553" s="18"/>
      <c r="D553" s="11"/>
      <c r="E553" s="11"/>
    </row>
    <row r="554">
      <c r="C554" s="18"/>
      <c r="D554" s="11"/>
      <c r="E554" s="11"/>
    </row>
    <row r="555">
      <c r="C555" s="18"/>
      <c r="D555" s="11"/>
      <c r="E555" s="11"/>
    </row>
    <row r="556">
      <c r="C556" s="18"/>
      <c r="D556" s="11"/>
      <c r="E556" s="11"/>
    </row>
    <row r="557">
      <c r="C557" s="18"/>
      <c r="D557" s="11"/>
      <c r="E557" s="11"/>
    </row>
    <row r="558">
      <c r="C558" s="18"/>
      <c r="D558" s="11"/>
      <c r="E558" s="11"/>
    </row>
    <row r="559">
      <c r="C559" s="18"/>
      <c r="D559" s="11"/>
      <c r="E559" s="11"/>
    </row>
    <row r="560">
      <c r="C560" s="18"/>
      <c r="D560" s="11"/>
      <c r="E560" s="11"/>
    </row>
    <row r="561">
      <c r="C561" s="18"/>
      <c r="D561" s="11"/>
      <c r="E561" s="11"/>
    </row>
    <row r="562">
      <c r="C562" s="18"/>
      <c r="D562" s="11"/>
      <c r="E562" s="11"/>
    </row>
    <row r="563">
      <c r="C563" s="18"/>
      <c r="D563" s="11"/>
      <c r="E563" s="11"/>
    </row>
    <row r="564">
      <c r="C564" s="18"/>
      <c r="D564" s="11"/>
      <c r="E564" s="11"/>
    </row>
    <row r="565">
      <c r="C565" s="18"/>
      <c r="D565" s="11"/>
      <c r="E565" s="11"/>
    </row>
    <row r="566">
      <c r="C566" s="18"/>
      <c r="D566" s="11"/>
      <c r="E566" s="11"/>
    </row>
    <row r="567">
      <c r="C567" s="18"/>
      <c r="D567" s="11"/>
      <c r="E567" s="11"/>
    </row>
    <row r="568">
      <c r="C568" s="18"/>
      <c r="D568" s="11"/>
      <c r="E568" s="11"/>
    </row>
    <row r="569">
      <c r="C569" s="18"/>
      <c r="D569" s="11"/>
      <c r="E569" s="11"/>
    </row>
    <row r="570">
      <c r="C570" s="18"/>
      <c r="D570" s="11"/>
      <c r="E570" s="11"/>
    </row>
    <row r="571">
      <c r="C571" s="18"/>
      <c r="D571" s="11"/>
      <c r="E571" s="11"/>
    </row>
    <row r="572">
      <c r="C572" s="18"/>
      <c r="D572" s="11"/>
      <c r="E572" s="11"/>
    </row>
    <row r="573">
      <c r="C573" s="18"/>
      <c r="D573" s="11"/>
      <c r="E573" s="11"/>
    </row>
    <row r="574">
      <c r="C574" s="18"/>
      <c r="D574" s="11"/>
      <c r="E574" s="11"/>
    </row>
    <row r="575">
      <c r="C575" s="18"/>
      <c r="D575" s="11"/>
      <c r="E575" s="11"/>
    </row>
    <row r="576">
      <c r="C576" s="18"/>
      <c r="D576" s="11"/>
      <c r="E576" s="11"/>
    </row>
    <row r="577">
      <c r="C577" s="18"/>
      <c r="D577" s="11"/>
      <c r="E577" s="11"/>
    </row>
    <row r="578">
      <c r="C578" s="18"/>
      <c r="D578" s="11"/>
      <c r="E578" s="11"/>
    </row>
    <row r="579">
      <c r="C579" s="18"/>
      <c r="D579" s="11"/>
      <c r="E579" s="11"/>
    </row>
    <row r="580">
      <c r="C580" s="18"/>
      <c r="D580" s="11"/>
      <c r="E580" s="11"/>
    </row>
    <row r="581">
      <c r="C581" s="18"/>
      <c r="D581" s="11"/>
      <c r="E581" s="11"/>
    </row>
    <row r="582">
      <c r="C582" s="18"/>
      <c r="D582" s="11"/>
      <c r="E582" s="11"/>
    </row>
    <row r="583">
      <c r="C583" s="18"/>
      <c r="D583" s="11"/>
      <c r="E583" s="11"/>
    </row>
    <row r="584">
      <c r="C584" s="18"/>
      <c r="D584" s="11"/>
      <c r="E584" s="11"/>
    </row>
    <row r="585">
      <c r="C585" s="18"/>
      <c r="D585" s="11"/>
      <c r="E585" s="11"/>
    </row>
    <row r="586">
      <c r="C586" s="18"/>
      <c r="D586" s="11"/>
      <c r="E586" s="11"/>
    </row>
    <row r="587">
      <c r="C587" s="18"/>
      <c r="D587" s="11"/>
      <c r="E587" s="11"/>
    </row>
    <row r="588">
      <c r="C588" s="18"/>
      <c r="D588" s="11"/>
      <c r="E588" s="11"/>
    </row>
    <row r="589">
      <c r="C589" s="18"/>
      <c r="D589" s="11"/>
      <c r="E589" s="11"/>
    </row>
    <row r="590">
      <c r="C590" s="18"/>
      <c r="D590" s="11"/>
      <c r="E590" s="11"/>
    </row>
    <row r="591">
      <c r="C591" s="18"/>
      <c r="D591" s="11"/>
      <c r="E591" s="11"/>
    </row>
    <row r="592">
      <c r="C592" s="18"/>
      <c r="D592" s="11"/>
      <c r="E592" s="11"/>
    </row>
    <row r="593">
      <c r="C593" s="18"/>
      <c r="D593" s="11"/>
      <c r="E593" s="11"/>
    </row>
    <row r="594">
      <c r="C594" s="18"/>
      <c r="D594" s="11"/>
      <c r="E594" s="11"/>
    </row>
    <row r="595">
      <c r="C595" s="18"/>
      <c r="D595" s="11"/>
      <c r="E595" s="11"/>
    </row>
    <row r="596">
      <c r="C596" s="18"/>
      <c r="D596" s="11"/>
      <c r="E596" s="11"/>
    </row>
    <row r="597">
      <c r="C597" s="18"/>
      <c r="D597" s="11"/>
      <c r="E597" s="11"/>
    </row>
    <row r="598">
      <c r="C598" s="18"/>
      <c r="D598" s="11"/>
      <c r="E598" s="11"/>
    </row>
    <row r="599">
      <c r="C599" s="18"/>
      <c r="D599" s="11"/>
      <c r="E599" s="11"/>
    </row>
    <row r="600">
      <c r="C600" s="18"/>
      <c r="D600" s="11"/>
      <c r="E600" s="11"/>
    </row>
    <row r="601">
      <c r="C601" s="18"/>
      <c r="D601" s="11"/>
      <c r="E601" s="11"/>
    </row>
    <row r="602">
      <c r="C602" s="18"/>
      <c r="D602" s="11"/>
      <c r="E602" s="11"/>
    </row>
    <row r="603">
      <c r="C603" s="18"/>
      <c r="D603" s="11"/>
      <c r="E603" s="11"/>
    </row>
    <row r="604">
      <c r="C604" s="18"/>
      <c r="D604" s="11"/>
      <c r="E604" s="11"/>
    </row>
    <row r="605">
      <c r="C605" s="18"/>
      <c r="D605" s="11"/>
      <c r="E605" s="11"/>
    </row>
    <row r="606">
      <c r="C606" s="18"/>
      <c r="D606" s="11"/>
      <c r="E606" s="11"/>
    </row>
    <row r="607">
      <c r="C607" s="18"/>
      <c r="D607" s="11"/>
      <c r="E607" s="11"/>
    </row>
    <row r="608">
      <c r="C608" s="18"/>
      <c r="D608" s="11"/>
      <c r="E608" s="11"/>
    </row>
    <row r="609">
      <c r="C609" s="18"/>
      <c r="D609" s="11"/>
      <c r="E609" s="11"/>
    </row>
    <row r="610">
      <c r="C610" s="18"/>
      <c r="D610" s="11"/>
      <c r="E610" s="11"/>
    </row>
    <row r="611">
      <c r="C611" s="18"/>
      <c r="D611" s="11"/>
      <c r="E611" s="11"/>
    </row>
    <row r="612">
      <c r="C612" s="18"/>
      <c r="D612" s="11"/>
      <c r="E612" s="11"/>
    </row>
    <row r="613">
      <c r="C613" s="18"/>
      <c r="D613" s="11"/>
      <c r="E613" s="11"/>
    </row>
    <row r="614">
      <c r="C614" s="18"/>
      <c r="D614" s="11"/>
      <c r="E614" s="11"/>
    </row>
    <row r="615">
      <c r="C615" s="18"/>
      <c r="D615" s="11"/>
      <c r="E615" s="11"/>
    </row>
    <row r="616">
      <c r="C616" s="18"/>
      <c r="D616" s="11"/>
      <c r="E616" s="11"/>
    </row>
    <row r="617">
      <c r="C617" s="18"/>
      <c r="D617" s="11"/>
      <c r="E617" s="11"/>
    </row>
    <row r="618">
      <c r="C618" s="18"/>
      <c r="D618" s="11"/>
      <c r="E618" s="11"/>
    </row>
    <row r="619">
      <c r="C619" s="18"/>
      <c r="D619" s="11"/>
      <c r="E619" s="11"/>
    </row>
    <row r="620">
      <c r="C620" s="18"/>
      <c r="D620" s="11"/>
      <c r="E620" s="11"/>
    </row>
    <row r="621">
      <c r="C621" s="18"/>
      <c r="D621" s="11"/>
      <c r="E621" s="11"/>
    </row>
    <row r="622">
      <c r="C622" s="18"/>
      <c r="D622" s="11"/>
      <c r="E622" s="11"/>
    </row>
    <row r="623">
      <c r="C623" s="18"/>
      <c r="D623" s="11"/>
      <c r="E623" s="11"/>
    </row>
    <row r="624">
      <c r="C624" s="18"/>
      <c r="D624" s="11"/>
      <c r="E624" s="11"/>
    </row>
    <row r="625">
      <c r="C625" s="18"/>
      <c r="D625" s="11"/>
      <c r="E625" s="11"/>
    </row>
    <row r="626">
      <c r="C626" s="18"/>
      <c r="D626" s="11"/>
      <c r="E626" s="11"/>
    </row>
    <row r="627">
      <c r="C627" s="18"/>
      <c r="D627" s="11"/>
      <c r="E627" s="11"/>
    </row>
    <row r="628">
      <c r="C628" s="18"/>
      <c r="D628" s="11"/>
      <c r="E628" s="11"/>
    </row>
    <row r="629">
      <c r="C629" s="18"/>
      <c r="D629" s="11"/>
      <c r="E629" s="11"/>
    </row>
    <row r="630">
      <c r="C630" s="18"/>
      <c r="D630" s="11"/>
      <c r="E630" s="11"/>
    </row>
    <row r="631">
      <c r="C631" s="18"/>
      <c r="D631" s="11"/>
      <c r="E631" s="11"/>
    </row>
    <row r="632">
      <c r="C632" s="18"/>
      <c r="D632" s="11"/>
      <c r="E632" s="11"/>
    </row>
    <row r="633">
      <c r="C633" s="18"/>
      <c r="D633" s="11"/>
      <c r="E633" s="11"/>
    </row>
    <row r="634">
      <c r="C634" s="18"/>
      <c r="D634" s="11"/>
      <c r="E634" s="11"/>
    </row>
    <row r="635">
      <c r="C635" s="18"/>
      <c r="D635" s="11"/>
      <c r="E635" s="11"/>
    </row>
    <row r="636">
      <c r="C636" s="18"/>
      <c r="D636" s="11"/>
      <c r="E636" s="11"/>
    </row>
    <row r="637">
      <c r="C637" s="18"/>
      <c r="D637" s="11"/>
      <c r="E637" s="11"/>
    </row>
    <row r="638">
      <c r="C638" s="18"/>
      <c r="D638" s="11"/>
      <c r="E638" s="11"/>
    </row>
    <row r="639">
      <c r="C639" s="18"/>
      <c r="D639" s="11"/>
      <c r="E639" s="11"/>
    </row>
    <row r="640">
      <c r="C640" s="18"/>
      <c r="D640" s="11"/>
      <c r="E640" s="11"/>
    </row>
    <row r="641">
      <c r="C641" s="18"/>
      <c r="D641" s="11"/>
      <c r="E641" s="11"/>
    </row>
    <row r="642">
      <c r="C642" s="18"/>
      <c r="D642" s="11"/>
      <c r="E642" s="11"/>
    </row>
    <row r="643">
      <c r="C643" s="18"/>
      <c r="D643" s="11"/>
      <c r="E643" s="11"/>
    </row>
    <row r="644">
      <c r="C644" s="18"/>
      <c r="D644" s="11"/>
      <c r="E644" s="11"/>
    </row>
    <row r="645">
      <c r="C645" s="18"/>
      <c r="D645" s="11"/>
      <c r="E645" s="11"/>
    </row>
    <row r="646">
      <c r="C646" s="18"/>
      <c r="D646" s="11"/>
      <c r="E646" s="11"/>
    </row>
    <row r="647">
      <c r="C647" s="18"/>
      <c r="D647" s="11"/>
      <c r="E647" s="11"/>
    </row>
    <row r="648">
      <c r="C648" s="18"/>
      <c r="D648" s="11"/>
      <c r="E648" s="11"/>
    </row>
    <row r="649">
      <c r="C649" s="18"/>
      <c r="D649" s="11"/>
      <c r="E649" s="11"/>
    </row>
    <row r="650">
      <c r="C650" s="18"/>
      <c r="D650" s="11"/>
      <c r="E650" s="11"/>
    </row>
    <row r="651">
      <c r="C651" s="18"/>
      <c r="D651" s="11"/>
      <c r="E651" s="11"/>
    </row>
    <row r="652">
      <c r="C652" s="18"/>
      <c r="D652" s="11"/>
      <c r="E652" s="11"/>
    </row>
    <row r="653">
      <c r="C653" s="18"/>
      <c r="D653" s="11"/>
      <c r="E653" s="11"/>
    </row>
    <row r="654">
      <c r="C654" s="18"/>
      <c r="D654" s="11"/>
      <c r="E654" s="11"/>
    </row>
    <row r="655">
      <c r="C655" s="18"/>
      <c r="D655" s="11"/>
      <c r="E655" s="11"/>
    </row>
    <row r="656">
      <c r="C656" s="18"/>
      <c r="D656" s="11"/>
      <c r="E656" s="11"/>
    </row>
    <row r="657">
      <c r="C657" s="18"/>
      <c r="D657" s="11"/>
      <c r="E657" s="11"/>
    </row>
    <row r="658">
      <c r="C658" s="18"/>
      <c r="D658" s="11"/>
      <c r="E658" s="11"/>
    </row>
    <row r="659">
      <c r="C659" s="18"/>
      <c r="D659" s="11"/>
      <c r="E659" s="11"/>
    </row>
    <row r="660">
      <c r="C660" s="18"/>
      <c r="D660" s="11"/>
      <c r="E660" s="11"/>
    </row>
    <row r="661">
      <c r="C661" s="18"/>
      <c r="D661" s="11"/>
      <c r="E661" s="11"/>
    </row>
    <row r="662">
      <c r="C662" s="18"/>
      <c r="D662" s="11"/>
      <c r="E662" s="11"/>
    </row>
    <row r="663">
      <c r="C663" s="18"/>
      <c r="D663" s="11"/>
      <c r="E663" s="11"/>
    </row>
    <row r="664">
      <c r="C664" s="18"/>
      <c r="D664" s="11"/>
      <c r="E664" s="11"/>
    </row>
    <row r="665">
      <c r="C665" s="18"/>
      <c r="D665" s="11"/>
      <c r="E665" s="11"/>
    </row>
    <row r="666">
      <c r="C666" s="18"/>
      <c r="D666" s="11"/>
      <c r="E666" s="11"/>
    </row>
    <row r="667">
      <c r="C667" s="18"/>
      <c r="D667" s="11"/>
      <c r="E667" s="11"/>
    </row>
    <row r="668">
      <c r="C668" s="18"/>
      <c r="D668" s="11"/>
      <c r="E668" s="11"/>
    </row>
    <row r="669">
      <c r="C669" s="18"/>
      <c r="D669" s="11"/>
      <c r="E669" s="11"/>
    </row>
    <row r="670">
      <c r="C670" s="18"/>
      <c r="D670" s="11"/>
      <c r="E670" s="11"/>
    </row>
    <row r="671">
      <c r="C671" s="18"/>
      <c r="D671" s="11"/>
      <c r="E671" s="11"/>
    </row>
    <row r="672">
      <c r="C672" s="18"/>
      <c r="D672" s="11"/>
      <c r="E672" s="11"/>
    </row>
    <row r="673">
      <c r="C673" s="18"/>
      <c r="D673" s="11"/>
      <c r="E673" s="11"/>
    </row>
    <row r="674">
      <c r="C674" s="18"/>
      <c r="D674" s="11"/>
      <c r="E674" s="11"/>
    </row>
    <row r="675">
      <c r="C675" s="18"/>
      <c r="D675" s="11"/>
      <c r="E675" s="11"/>
    </row>
    <row r="676">
      <c r="C676" s="18"/>
      <c r="D676" s="11"/>
      <c r="E676" s="11"/>
    </row>
    <row r="677">
      <c r="C677" s="18"/>
      <c r="D677" s="11"/>
      <c r="E677" s="11"/>
    </row>
    <row r="678">
      <c r="C678" s="18"/>
      <c r="D678" s="11"/>
      <c r="E678" s="11"/>
    </row>
    <row r="679">
      <c r="C679" s="18"/>
      <c r="D679" s="11"/>
      <c r="E679" s="11"/>
    </row>
    <row r="680">
      <c r="C680" s="18"/>
      <c r="D680" s="11"/>
      <c r="E680" s="11"/>
    </row>
    <row r="681">
      <c r="C681" s="18"/>
      <c r="D681" s="11"/>
      <c r="E681" s="11"/>
    </row>
    <row r="682">
      <c r="C682" s="18"/>
      <c r="D682" s="11"/>
      <c r="E682" s="11"/>
    </row>
    <row r="683">
      <c r="C683" s="18"/>
      <c r="D683" s="11"/>
      <c r="E683" s="11"/>
    </row>
    <row r="684">
      <c r="C684" s="18"/>
      <c r="D684" s="11"/>
      <c r="E684" s="11"/>
    </row>
    <row r="685">
      <c r="C685" s="18"/>
      <c r="D685" s="11"/>
      <c r="E685" s="11"/>
    </row>
    <row r="686">
      <c r="C686" s="18"/>
      <c r="D686" s="11"/>
      <c r="E686" s="11"/>
    </row>
    <row r="687">
      <c r="C687" s="18"/>
      <c r="D687" s="11"/>
      <c r="E687" s="11"/>
    </row>
    <row r="688">
      <c r="C688" s="18"/>
      <c r="D688" s="11"/>
      <c r="E688" s="11"/>
    </row>
    <row r="689">
      <c r="C689" s="18"/>
      <c r="D689" s="11"/>
      <c r="E689" s="11"/>
    </row>
    <row r="690">
      <c r="C690" s="18"/>
      <c r="D690" s="11"/>
      <c r="E690" s="11"/>
    </row>
    <row r="691">
      <c r="C691" s="18"/>
      <c r="D691" s="11"/>
      <c r="E691" s="11"/>
    </row>
    <row r="692">
      <c r="C692" s="18"/>
      <c r="D692" s="11"/>
      <c r="E692" s="11"/>
    </row>
    <row r="693">
      <c r="C693" s="18"/>
      <c r="D693" s="11"/>
      <c r="E693" s="11"/>
    </row>
    <row r="694">
      <c r="C694" s="18"/>
      <c r="D694" s="11"/>
      <c r="E694" s="11"/>
    </row>
    <row r="695">
      <c r="C695" s="18"/>
      <c r="D695" s="11"/>
      <c r="E695" s="11"/>
    </row>
    <row r="696">
      <c r="C696" s="18"/>
      <c r="D696" s="11"/>
      <c r="E696" s="11"/>
    </row>
    <row r="697">
      <c r="C697" s="18"/>
      <c r="D697" s="11"/>
      <c r="E697" s="11"/>
    </row>
    <row r="698">
      <c r="C698" s="18"/>
      <c r="D698" s="11"/>
      <c r="E698" s="11"/>
    </row>
    <row r="699">
      <c r="C699" s="18"/>
      <c r="D699" s="11"/>
      <c r="E699" s="11"/>
    </row>
    <row r="700">
      <c r="C700" s="18"/>
      <c r="D700" s="11"/>
      <c r="E700" s="11"/>
    </row>
    <row r="701">
      <c r="C701" s="18"/>
      <c r="D701" s="11"/>
      <c r="E701" s="11"/>
    </row>
    <row r="702">
      <c r="C702" s="18"/>
      <c r="D702" s="11"/>
      <c r="E702" s="11"/>
    </row>
    <row r="703">
      <c r="C703" s="18"/>
      <c r="D703" s="11"/>
      <c r="E703" s="11"/>
    </row>
    <row r="704">
      <c r="C704" s="18"/>
      <c r="D704" s="11"/>
      <c r="E704" s="11"/>
    </row>
    <row r="705">
      <c r="C705" s="18"/>
      <c r="D705" s="11"/>
      <c r="E705" s="11"/>
    </row>
    <row r="706">
      <c r="C706" s="18"/>
      <c r="D706" s="11"/>
      <c r="E706" s="11"/>
    </row>
    <row r="707">
      <c r="C707" s="18"/>
      <c r="D707" s="11"/>
      <c r="E707" s="11"/>
    </row>
    <row r="708">
      <c r="C708" s="18"/>
      <c r="D708" s="11"/>
      <c r="E708" s="11"/>
    </row>
    <row r="709">
      <c r="C709" s="18"/>
      <c r="D709" s="11"/>
      <c r="E709" s="11"/>
    </row>
    <row r="710">
      <c r="C710" s="18"/>
      <c r="D710" s="11"/>
      <c r="E710" s="11"/>
    </row>
    <row r="711">
      <c r="C711" s="18"/>
      <c r="D711" s="11"/>
      <c r="E711" s="11"/>
    </row>
    <row r="712">
      <c r="C712" s="18"/>
      <c r="D712" s="11"/>
      <c r="E712" s="11"/>
    </row>
    <row r="713">
      <c r="C713" s="18"/>
      <c r="D713" s="11"/>
      <c r="E713" s="11"/>
    </row>
    <row r="714">
      <c r="C714" s="18"/>
      <c r="D714" s="11"/>
      <c r="E714" s="11"/>
    </row>
    <row r="715">
      <c r="C715" s="18"/>
      <c r="D715" s="11"/>
      <c r="E715" s="11"/>
    </row>
    <row r="716">
      <c r="C716" s="18"/>
      <c r="D716" s="11"/>
      <c r="E716" s="11"/>
    </row>
    <row r="717">
      <c r="C717" s="18"/>
      <c r="D717" s="11"/>
      <c r="E717" s="11"/>
    </row>
    <row r="718">
      <c r="C718" s="18"/>
      <c r="D718" s="11"/>
      <c r="E718" s="11"/>
    </row>
    <row r="719">
      <c r="C719" s="18"/>
      <c r="D719" s="11"/>
      <c r="E719" s="11"/>
    </row>
    <row r="720">
      <c r="C720" s="18"/>
      <c r="D720" s="11"/>
      <c r="E720" s="11"/>
    </row>
    <row r="721">
      <c r="C721" s="18"/>
      <c r="D721" s="11"/>
      <c r="E721" s="11"/>
    </row>
    <row r="722">
      <c r="C722" s="18"/>
      <c r="D722" s="11"/>
      <c r="E722" s="11"/>
    </row>
    <row r="723">
      <c r="C723" s="18"/>
      <c r="D723" s="11"/>
      <c r="E723" s="11"/>
    </row>
    <row r="724">
      <c r="C724" s="18"/>
      <c r="D724" s="11"/>
      <c r="E724" s="11"/>
    </row>
    <row r="725">
      <c r="C725" s="18"/>
      <c r="D725" s="11"/>
      <c r="E725" s="11"/>
    </row>
    <row r="726">
      <c r="C726" s="18"/>
      <c r="D726" s="11"/>
      <c r="E726" s="11"/>
    </row>
    <row r="727">
      <c r="C727" s="18"/>
      <c r="D727" s="11"/>
      <c r="E727" s="11"/>
    </row>
    <row r="728">
      <c r="C728" s="18"/>
      <c r="D728" s="11"/>
      <c r="E728" s="11"/>
    </row>
    <row r="729">
      <c r="C729" s="18"/>
      <c r="D729" s="11"/>
      <c r="E729" s="11"/>
    </row>
    <row r="730">
      <c r="C730" s="18"/>
      <c r="D730" s="11"/>
      <c r="E730" s="11"/>
    </row>
    <row r="731">
      <c r="C731" s="18"/>
      <c r="D731" s="11"/>
      <c r="E731" s="11"/>
    </row>
    <row r="732">
      <c r="C732" s="18"/>
      <c r="D732" s="11"/>
      <c r="E732" s="11"/>
    </row>
    <row r="733">
      <c r="C733" s="18"/>
      <c r="D733" s="11"/>
      <c r="E733" s="11"/>
    </row>
    <row r="734">
      <c r="C734" s="18"/>
      <c r="D734" s="11"/>
      <c r="E734" s="11"/>
    </row>
    <row r="735">
      <c r="C735" s="18"/>
      <c r="D735" s="11"/>
      <c r="E735" s="11"/>
    </row>
    <row r="736">
      <c r="C736" s="18"/>
      <c r="D736" s="11"/>
      <c r="E736" s="11"/>
    </row>
    <row r="737">
      <c r="C737" s="18"/>
      <c r="D737" s="11"/>
      <c r="E737" s="11"/>
    </row>
    <row r="738">
      <c r="C738" s="18"/>
      <c r="D738" s="11"/>
      <c r="E738" s="11"/>
    </row>
    <row r="739">
      <c r="C739" s="18"/>
      <c r="D739" s="11"/>
      <c r="E739" s="11"/>
    </row>
    <row r="740">
      <c r="C740" s="18"/>
      <c r="D740" s="11"/>
      <c r="E740" s="11"/>
    </row>
    <row r="741">
      <c r="C741" s="18"/>
      <c r="D741" s="11"/>
      <c r="E741" s="11"/>
    </row>
    <row r="742">
      <c r="C742" s="18"/>
      <c r="D742" s="11"/>
      <c r="E742" s="11"/>
    </row>
    <row r="743">
      <c r="C743" s="18"/>
      <c r="D743" s="11"/>
      <c r="E743" s="11"/>
    </row>
    <row r="744">
      <c r="C744" s="18"/>
      <c r="D744" s="11"/>
      <c r="E744" s="11"/>
    </row>
    <row r="745">
      <c r="C745" s="18"/>
      <c r="D745" s="11"/>
      <c r="E745" s="11"/>
    </row>
    <row r="746">
      <c r="C746" s="18"/>
      <c r="D746" s="11"/>
      <c r="E746" s="11"/>
    </row>
    <row r="747">
      <c r="C747" s="18"/>
      <c r="D747" s="11"/>
      <c r="E747" s="11"/>
    </row>
    <row r="748">
      <c r="C748" s="18"/>
      <c r="D748" s="11"/>
      <c r="E748" s="11"/>
    </row>
    <row r="749">
      <c r="C749" s="18"/>
      <c r="D749" s="11"/>
      <c r="E749" s="11"/>
    </row>
    <row r="750">
      <c r="C750" s="18"/>
      <c r="D750" s="11"/>
      <c r="E750" s="11"/>
    </row>
    <row r="751">
      <c r="C751" s="18"/>
      <c r="D751" s="11"/>
      <c r="E751" s="11"/>
    </row>
    <row r="752">
      <c r="C752" s="18"/>
      <c r="D752" s="11"/>
      <c r="E752" s="11"/>
    </row>
    <row r="753">
      <c r="C753" s="18"/>
      <c r="D753" s="11"/>
      <c r="E753" s="11"/>
    </row>
    <row r="754">
      <c r="C754" s="18"/>
      <c r="D754" s="11"/>
      <c r="E754" s="11"/>
    </row>
    <row r="755">
      <c r="C755" s="18"/>
      <c r="D755" s="11"/>
      <c r="E755" s="11"/>
    </row>
    <row r="756">
      <c r="C756" s="18"/>
      <c r="D756" s="11"/>
      <c r="E756" s="11"/>
    </row>
    <row r="757">
      <c r="C757" s="18"/>
      <c r="D757" s="11"/>
      <c r="E757" s="11"/>
    </row>
    <row r="758">
      <c r="C758" s="18"/>
      <c r="D758" s="11"/>
      <c r="E758" s="11"/>
    </row>
    <row r="759">
      <c r="C759" s="18"/>
      <c r="D759" s="11"/>
      <c r="E759" s="11"/>
    </row>
    <row r="760">
      <c r="C760" s="18"/>
      <c r="D760" s="11"/>
      <c r="E760" s="11"/>
    </row>
    <row r="761">
      <c r="C761" s="18"/>
      <c r="D761" s="11"/>
      <c r="E761" s="11"/>
    </row>
    <row r="762">
      <c r="C762" s="18"/>
      <c r="D762" s="11"/>
      <c r="E762" s="11"/>
    </row>
    <row r="763">
      <c r="C763" s="18"/>
      <c r="D763" s="11"/>
      <c r="E763" s="11"/>
    </row>
    <row r="764">
      <c r="C764" s="18"/>
      <c r="D764" s="11"/>
      <c r="E764" s="11"/>
    </row>
    <row r="765">
      <c r="C765" s="18"/>
      <c r="D765" s="11"/>
      <c r="E765" s="11"/>
    </row>
    <row r="766">
      <c r="C766" s="18"/>
      <c r="D766" s="11"/>
      <c r="E766" s="11"/>
    </row>
    <row r="767">
      <c r="C767" s="18"/>
      <c r="D767" s="11"/>
      <c r="E767" s="11"/>
    </row>
    <row r="768">
      <c r="C768" s="18"/>
      <c r="D768" s="11"/>
      <c r="E768" s="11"/>
    </row>
    <row r="769">
      <c r="C769" s="18"/>
      <c r="D769" s="11"/>
      <c r="E769" s="11"/>
    </row>
    <row r="770">
      <c r="C770" s="18"/>
      <c r="D770" s="11"/>
      <c r="E770" s="11"/>
    </row>
    <row r="771">
      <c r="C771" s="18"/>
      <c r="D771" s="11"/>
      <c r="E771" s="11"/>
    </row>
    <row r="772">
      <c r="C772" s="18"/>
      <c r="D772" s="11"/>
      <c r="E772" s="11"/>
    </row>
    <row r="773">
      <c r="C773" s="18"/>
      <c r="D773" s="11"/>
      <c r="E773" s="11"/>
    </row>
    <row r="774">
      <c r="C774" s="18"/>
      <c r="D774" s="11"/>
      <c r="E774" s="11"/>
    </row>
    <row r="775">
      <c r="C775" s="18"/>
      <c r="D775" s="11"/>
      <c r="E775" s="11"/>
    </row>
    <row r="776">
      <c r="C776" s="18"/>
      <c r="D776" s="11"/>
      <c r="E776" s="11"/>
    </row>
    <row r="777">
      <c r="C777" s="18"/>
      <c r="D777" s="11"/>
      <c r="E777" s="11"/>
    </row>
    <row r="778">
      <c r="C778" s="18"/>
      <c r="D778" s="11"/>
      <c r="E778" s="11"/>
    </row>
    <row r="779">
      <c r="C779" s="18"/>
      <c r="D779" s="11"/>
      <c r="E779" s="11"/>
    </row>
    <row r="780">
      <c r="C780" s="18"/>
      <c r="D780" s="11"/>
      <c r="E780" s="11"/>
    </row>
    <row r="781">
      <c r="C781" s="18"/>
      <c r="D781" s="11"/>
      <c r="E781" s="11"/>
    </row>
    <row r="782">
      <c r="C782" s="18"/>
      <c r="D782" s="11"/>
      <c r="E782" s="11"/>
    </row>
    <row r="783">
      <c r="C783" s="18"/>
      <c r="D783" s="11"/>
      <c r="E783" s="11"/>
    </row>
    <row r="784">
      <c r="C784" s="18"/>
      <c r="D784" s="11"/>
      <c r="E784" s="11"/>
    </row>
    <row r="785">
      <c r="C785" s="18"/>
      <c r="D785" s="11"/>
      <c r="E785" s="11"/>
    </row>
    <row r="786">
      <c r="C786" s="18"/>
      <c r="D786" s="11"/>
      <c r="E786" s="11"/>
    </row>
    <row r="787">
      <c r="C787" s="18"/>
      <c r="D787" s="11"/>
      <c r="E787" s="11"/>
    </row>
    <row r="788">
      <c r="C788" s="18"/>
      <c r="D788" s="11"/>
      <c r="E788" s="11"/>
    </row>
    <row r="789">
      <c r="C789" s="18"/>
      <c r="D789" s="11"/>
      <c r="E789" s="11"/>
    </row>
    <row r="790">
      <c r="C790" s="18"/>
      <c r="D790" s="11"/>
      <c r="E790" s="11"/>
    </row>
    <row r="791">
      <c r="C791" s="18"/>
      <c r="D791" s="11"/>
      <c r="E791" s="11"/>
    </row>
    <row r="792">
      <c r="C792" s="18"/>
      <c r="D792" s="11"/>
      <c r="E792" s="11"/>
    </row>
    <row r="793">
      <c r="C793" s="18"/>
      <c r="D793" s="11"/>
      <c r="E793" s="11"/>
    </row>
    <row r="794">
      <c r="C794" s="18"/>
      <c r="D794" s="11"/>
      <c r="E794" s="11"/>
    </row>
    <row r="795">
      <c r="C795" s="18"/>
      <c r="D795" s="11"/>
      <c r="E795" s="11"/>
    </row>
    <row r="796">
      <c r="C796" s="18"/>
      <c r="D796" s="11"/>
      <c r="E796" s="11"/>
    </row>
    <row r="797">
      <c r="C797" s="18"/>
      <c r="D797" s="11"/>
      <c r="E797" s="11"/>
    </row>
    <row r="798">
      <c r="C798" s="18"/>
      <c r="D798" s="11"/>
      <c r="E798" s="11"/>
    </row>
    <row r="799">
      <c r="C799" s="18"/>
      <c r="D799" s="11"/>
      <c r="E799" s="11"/>
    </row>
    <row r="800">
      <c r="C800" s="18"/>
      <c r="D800" s="11"/>
      <c r="E800" s="11"/>
    </row>
    <row r="801">
      <c r="C801" s="18"/>
      <c r="D801" s="11"/>
      <c r="E801" s="11"/>
    </row>
    <row r="802">
      <c r="C802" s="18"/>
      <c r="D802" s="11"/>
      <c r="E802" s="11"/>
    </row>
    <row r="803">
      <c r="C803" s="18"/>
      <c r="D803" s="11"/>
      <c r="E803" s="11"/>
    </row>
    <row r="804">
      <c r="C804" s="18"/>
      <c r="D804" s="11"/>
      <c r="E804" s="11"/>
    </row>
    <row r="805">
      <c r="C805" s="18"/>
      <c r="D805" s="11"/>
      <c r="E805" s="11"/>
    </row>
    <row r="806">
      <c r="C806" s="18"/>
      <c r="D806" s="11"/>
      <c r="E806" s="11"/>
    </row>
    <row r="807">
      <c r="C807" s="18"/>
      <c r="D807" s="11"/>
      <c r="E807" s="11"/>
    </row>
    <row r="808">
      <c r="C808" s="18"/>
      <c r="D808" s="11"/>
      <c r="E808" s="11"/>
    </row>
    <row r="809">
      <c r="C809" s="18"/>
      <c r="D809" s="11"/>
      <c r="E809" s="11"/>
    </row>
    <row r="810">
      <c r="C810" s="18"/>
      <c r="D810" s="11"/>
      <c r="E810" s="11"/>
    </row>
    <row r="811">
      <c r="C811" s="18"/>
      <c r="D811" s="11"/>
      <c r="E811" s="11"/>
    </row>
    <row r="812">
      <c r="C812" s="18"/>
      <c r="D812" s="11"/>
      <c r="E812" s="11"/>
    </row>
    <row r="813">
      <c r="C813" s="18"/>
      <c r="D813" s="11"/>
      <c r="E813" s="11"/>
    </row>
    <row r="814">
      <c r="C814" s="18"/>
      <c r="D814" s="11"/>
      <c r="E814" s="11"/>
    </row>
    <row r="815">
      <c r="C815" s="18"/>
      <c r="D815" s="11"/>
      <c r="E815" s="11"/>
    </row>
    <row r="816">
      <c r="C816" s="18"/>
      <c r="D816" s="11"/>
      <c r="E816" s="11"/>
    </row>
    <row r="817">
      <c r="C817" s="18"/>
      <c r="D817" s="11"/>
      <c r="E817" s="11"/>
    </row>
    <row r="818">
      <c r="C818" s="18"/>
      <c r="D818" s="11"/>
      <c r="E818" s="11"/>
    </row>
    <row r="819">
      <c r="C819" s="18"/>
      <c r="D819" s="11"/>
      <c r="E819" s="11"/>
    </row>
    <row r="820">
      <c r="C820" s="18"/>
      <c r="D820" s="11"/>
      <c r="E820" s="11"/>
    </row>
    <row r="821">
      <c r="C821" s="18"/>
      <c r="D821" s="11"/>
      <c r="E821" s="11"/>
    </row>
    <row r="822">
      <c r="C822" s="18"/>
      <c r="D822" s="11"/>
      <c r="E822" s="11"/>
    </row>
    <row r="823">
      <c r="C823" s="18"/>
      <c r="D823" s="11"/>
      <c r="E823" s="11"/>
    </row>
    <row r="824">
      <c r="C824" s="18"/>
      <c r="D824" s="11"/>
      <c r="E824" s="11"/>
    </row>
    <row r="825">
      <c r="C825" s="18"/>
      <c r="D825" s="11"/>
      <c r="E825" s="11"/>
    </row>
    <row r="826">
      <c r="C826" s="18"/>
      <c r="D826" s="11"/>
      <c r="E826" s="11"/>
    </row>
    <row r="827">
      <c r="C827" s="18"/>
      <c r="D827" s="11"/>
      <c r="E827" s="11"/>
    </row>
    <row r="828">
      <c r="C828" s="18"/>
      <c r="D828" s="11"/>
      <c r="E828" s="11"/>
    </row>
    <row r="829">
      <c r="C829" s="18"/>
      <c r="D829" s="11"/>
      <c r="E829" s="11"/>
    </row>
    <row r="830">
      <c r="C830" s="18"/>
      <c r="D830" s="11"/>
      <c r="E830" s="11"/>
    </row>
    <row r="831">
      <c r="C831" s="18"/>
      <c r="D831" s="11"/>
      <c r="E831" s="11"/>
    </row>
    <row r="832">
      <c r="C832" s="18"/>
      <c r="D832" s="11"/>
      <c r="E832" s="11"/>
    </row>
    <row r="833">
      <c r="C833" s="18"/>
      <c r="D833" s="11"/>
      <c r="E833" s="11"/>
    </row>
    <row r="834">
      <c r="C834" s="18"/>
      <c r="D834" s="11"/>
      <c r="E834" s="11"/>
    </row>
    <row r="835">
      <c r="C835" s="18"/>
      <c r="D835" s="11"/>
      <c r="E835" s="11"/>
    </row>
    <row r="836">
      <c r="C836" s="18"/>
      <c r="D836" s="11"/>
      <c r="E836" s="11"/>
    </row>
    <row r="837">
      <c r="C837" s="18"/>
      <c r="D837" s="11"/>
      <c r="E837" s="11"/>
    </row>
    <row r="838">
      <c r="C838" s="18"/>
      <c r="D838" s="11"/>
      <c r="E838" s="11"/>
    </row>
    <row r="839">
      <c r="C839" s="18"/>
      <c r="D839" s="11"/>
      <c r="E839" s="11"/>
    </row>
    <row r="840">
      <c r="C840" s="18"/>
      <c r="D840" s="11"/>
      <c r="E840" s="11"/>
    </row>
    <row r="841">
      <c r="C841" s="18"/>
      <c r="D841" s="11"/>
      <c r="E841" s="11"/>
    </row>
    <row r="842">
      <c r="C842" s="18"/>
      <c r="D842" s="11"/>
      <c r="E842" s="11"/>
    </row>
    <row r="843">
      <c r="C843" s="18"/>
      <c r="D843" s="11"/>
      <c r="E843" s="11"/>
    </row>
    <row r="844">
      <c r="C844" s="18"/>
      <c r="D844" s="11"/>
      <c r="E844" s="11"/>
    </row>
    <row r="845">
      <c r="C845" s="18"/>
      <c r="D845" s="11"/>
      <c r="E845" s="11"/>
    </row>
    <row r="846">
      <c r="C846" s="18"/>
      <c r="D846" s="11"/>
      <c r="E846" s="11"/>
    </row>
    <row r="847">
      <c r="C847" s="18"/>
      <c r="D847" s="11"/>
      <c r="E847" s="11"/>
    </row>
    <row r="848">
      <c r="C848" s="18"/>
      <c r="D848" s="11"/>
      <c r="E848" s="11"/>
    </row>
    <row r="849">
      <c r="C849" s="18"/>
      <c r="D849" s="11"/>
      <c r="E849" s="11"/>
    </row>
    <row r="850">
      <c r="C850" s="18"/>
      <c r="D850" s="11"/>
      <c r="E850" s="11"/>
    </row>
    <row r="851">
      <c r="C851" s="18"/>
      <c r="D851" s="11"/>
      <c r="E851" s="11"/>
    </row>
    <row r="852">
      <c r="C852" s="18"/>
      <c r="D852" s="11"/>
      <c r="E852" s="11"/>
    </row>
    <row r="853">
      <c r="C853" s="18"/>
      <c r="D853" s="11"/>
      <c r="E853" s="11"/>
    </row>
    <row r="854">
      <c r="C854" s="18"/>
      <c r="D854" s="11"/>
      <c r="E854" s="11"/>
    </row>
    <row r="855">
      <c r="C855" s="18"/>
      <c r="D855" s="11"/>
      <c r="E855" s="11"/>
    </row>
    <row r="856">
      <c r="C856" s="18"/>
      <c r="D856" s="11"/>
      <c r="E856" s="11"/>
    </row>
    <row r="857">
      <c r="C857" s="18"/>
      <c r="D857" s="11"/>
      <c r="E857" s="11"/>
    </row>
    <row r="858">
      <c r="C858" s="18"/>
      <c r="D858" s="11"/>
      <c r="E858" s="11"/>
    </row>
    <row r="859">
      <c r="C859" s="18"/>
      <c r="D859" s="11"/>
      <c r="E859" s="11"/>
    </row>
    <row r="860">
      <c r="C860" s="18"/>
      <c r="D860" s="11"/>
      <c r="E860" s="11"/>
    </row>
    <row r="861">
      <c r="C861" s="18"/>
      <c r="D861" s="11"/>
      <c r="E861" s="11"/>
    </row>
    <row r="862">
      <c r="C862" s="18"/>
      <c r="D862" s="11"/>
      <c r="E862" s="11"/>
    </row>
    <row r="863">
      <c r="C863" s="18"/>
      <c r="D863" s="11"/>
      <c r="E863" s="11"/>
    </row>
    <row r="864">
      <c r="C864" s="18"/>
      <c r="D864" s="11"/>
      <c r="E864" s="11"/>
    </row>
    <row r="865">
      <c r="C865" s="18"/>
      <c r="D865" s="11"/>
      <c r="E865" s="11"/>
    </row>
    <row r="866">
      <c r="C866" s="18"/>
      <c r="D866" s="11"/>
      <c r="E866" s="11"/>
    </row>
    <row r="867">
      <c r="C867" s="18"/>
      <c r="D867" s="11"/>
      <c r="E867" s="11"/>
    </row>
    <row r="868">
      <c r="C868" s="18"/>
      <c r="D868" s="11"/>
      <c r="E868" s="11"/>
    </row>
    <row r="869">
      <c r="C869" s="18"/>
      <c r="D869" s="11"/>
      <c r="E869" s="11"/>
    </row>
    <row r="870">
      <c r="C870" s="18"/>
      <c r="D870" s="11"/>
      <c r="E870" s="11"/>
    </row>
    <row r="871">
      <c r="C871" s="18"/>
      <c r="D871" s="11"/>
      <c r="E871" s="11"/>
    </row>
    <row r="872">
      <c r="C872" s="18"/>
      <c r="D872" s="11"/>
      <c r="E872" s="11"/>
    </row>
    <row r="873">
      <c r="C873" s="18"/>
      <c r="D873" s="11"/>
      <c r="E873" s="11"/>
    </row>
    <row r="874">
      <c r="C874" s="18"/>
      <c r="D874" s="11"/>
      <c r="E874" s="11"/>
    </row>
    <row r="875">
      <c r="C875" s="18"/>
      <c r="D875" s="11"/>
      <c r="E875" s="11"/>
    </row>
    <row r="876">
      <c r="C876" s="18"/>
      <c r="D876" s="11"/>
      <c r="E876" s="11"/>
    </row>
    <row r="877">
      <c r="C877" s="18"/>
      <c r="D877" s="11"/>
      <c r="E877" s="11"/>
    </row>
    <row r="878">
      <c r="C878" s="18"/>
      <c r="D878" s="11"/>
      <c r="E878" s="11"/>
    </row>
    <row r="879">
      <c r="C879" s="18"/>
      <c r="D879" s="11"/>
      <c r="E879" s="11"/>
    </row>
    <row r="880">
      <c r="C880" s="18"/>
      <c r="D880" s="11"/>
      <c r="E880" s="11"/>
    </row>
    <row r="881">
      <c r="C881" s="18"/>
      <c r="D881" s="11"/>
      <c r="E881" s="11"/>
    </row>
    <row r="882">
      <c r="C882" s="18"/>
      <c r="D882" s="11"/>
      <c r="E882" s="11"/>
    </row>
    <row r="883">
      <c r="C883" s="18"/>
      <c r="D883" s="11"/>
      <c r="E883" s="11"/>
    </row>
    <row r="884">
      <c r="C884" s="18"/>
      <c r="D884" s="11"/>
      <c r="E884" s="11"/>
    </row>
    <row r="885">
      <c r="C885" s="18"/>
      <c r="D885" s="11"/>
      <c r="E885" s="11"/>
    </row>
    <row r="886">
      <c r="C886" s="18"/>
      <c r="D886" s="11"/>
      <c r="E886" s="11"/>
    </row>
    <row r="887">
      <c r="C887" s="18"/>
      <c r="D887" s="11"/>
      <c r="E887" s="11"/>
    </row>
    <row r="888">
      <c r="C888" s="18"/>
      <c r="D888" s="11"/>
      <c r="E888" s="11"/>
    </row>
    <row r="889">
      <c r="C889" s="18"/>
      <c r="D889" s="11"/>
      <c r="E889" s="11"/>
    </row>
    <row r="890">
      <c r="C890" s="18"/>
      <c r="D890" s="11"/>
      <c r="E890" s="11"/>
    </row>
    <row r="891">
      <c r="C891" s="18"/>
      <c r="D891" s="11"/>
      <c r="E891" s="11"/>
    </row>
    <row r="892">
      <c r="C892" s="18"/>
      <c r="D892" s="11"/>
      <c r="E892" s="11"/>
    </row>
    <row r="893">
      <c r="C893" s="18"/>
      <c r="D893" s="11"/>
      <c r="E893" s="11"/>
    </row>
    <row r="894">
      <c r="C894" s="18"/>
      <c r="D894" s="11"/>
      <c r="E894" s="11"/>
    </row>
    <row r="895">
      <c r="C895" s="18"/>
      <c r="D895" s="11"/>
      <c r="E895" s="11"/>
    </row>
    <row r="896">
      <c r="C896" s="18"/>
      <c r="D896" s="11"/>
      <c r="E896" s="11"/>
    </row>
    <row r="897">
      <c r="C897" s="18"/>
      <c r="D897" s="11"/>
      <c r="E897" s="11"/>
    </row>
    <row r="898">
      <c r="C898" s="18"/>
      <c r="D898" s="11"/>
      <c r="E898" s="11"/>
    </row>
    <row r="899">
      <c r="C899" s="18"/>
      <c r="D899" s="11"/>
      <c r="E899" s="11"/>
    </row>
    <row r="900">
      <c r="C900" s="18"/>
      <c r="D900" s="11"/>
      <c r="E900" s="11"/>
    </row>
    <row r="901">
      <c r="C901" s="18"/>
      <c r="D901" s="11"/>
      <c r="E901" s="11"/>
    </row>
    <row r="902">
      <c r="C902" s="18"/>
      <c r="D902" s="11"/>
      <c r="E902" s="11"/>
    </row>
    <row r="903">
      <c r="C903" s="18"/>
      <c r="D903" s="11"/>
      <c r="E903" s="11"/>
    </row>
    <row r="904">
      <c r="C904" s="18"/>
      <c r="D904" s="11"/>
      <c r="E904" s="11"/>
    </row>
    <row r="905">
      <c r="C905" s="18"/>
      <c r="D905" s="11"/>
      <c r="E905" s="11"/>
    </row>
    <row r="906">
      <c r="C906" s="18"/>
      <c r="D906" s="11"/>
      <c r="E906" s="11"/>
    </row>
    <row r="907">
      <c r="C907" s="18"/>
      <c r="D907" s="11"/>
      <c r="E907" s="11"/>
    </row>
    <row r="908">
      <c r="C908" s="18"/>
      <c r="D908" s="11"/>
      <c r="E908" s="11"/>
    </row>
    <row r="909">
      <c r="C909" s="18"/>
      <c r="D909" s="11"/>
      <c r="E909" s="11"/>
    </row>
    <row r="910">
      <c r="C910" s="18"/>
      <c r="D910" s="11"/>
      <c r="E910" s="11"/>
    </row>
    <row r="911">
      <c r="C911" s="18"/>
      <c r="D911" s="11"/>
      <c r="E911" s="11"/>
    </row>
    <row r="912">
      <c r="C912" s="18"/>
      <c r="D912" s="11"/>
      <c r="E912" s="11"/>
    </row>
    <row r="913">
      <c r="C913" s="18"/>
      <c r="D913" s="11"/>
      <c r="E913" s="11"/>
    </row>
    <row r="914">
      <c r="C914" s="18"/>
      <c r="D914" s="11"/>
      <c r="E914" s="11"/>
    </row>
    <row r="915">
      <c r="C915" s="18"/>
      <c r="D915" s="11"/>
      <c r="E915" s="11"/>
    </row>
    <row r="916">
      <c r="C916" s="18"/>
      <c r="D916" s="11"/>
      <c r="E916" s="11"/>
    </row>
    <row r="917">
      <c r="C917" s="18"/>
      <c r="D917" s="11"/>
      <c r="E917" s="11"/>
    </row>
    <row r="918">
      <c r="C918" s="18"/>
      <c r="D918" s="11"/>
      <c r="E918" s="11"/>
    </row>
    <row r="919">
      <c r="C919" s="18"/>
      <c r="D919" s="11"/>
      <c r="E919" s="11"/>
    </row>
    <row r="920">
      <c r="C920" s="18"/>
      <c r="D920" s="11"/>
      <c r="E920" s="11"/>
    </row>
    <row r="921">
      <c r="C921" s="18"/>
      <c r="D921" s="11"/>
      <c r="E921" s="11"/>
    </row>
    <row r="922">
      <c r="C922" s="18"/>
      <c r="D922" s="11"/>
      <c r="E922" s="11"/>
    </row>
    <row r="923">
      <c r="C923" s="18"/>
      <c r="D923" s="11"/>
      <c r="E923" s="11"/>
    </row>
    <row r="924">
      <c r="C924" s="18"/>
      <c r="D924" s="11"/>
      <c r="E924" s="11"/>
    </row>
    <row r="925">
      <c r="C925" s="18"/>
      <c r="D925" s="11"/>
      <c r="E925" s="11"/>
    </row>
    <row r="926">
      <c r="C926" s="18"/>
      <c r="D926" s="11"/>
      <c r="E926" s="11"/>
    </row>
    <row r="927">
      <c r="C927" s="18"/>
      <c r="D927" s="11"/>
      <c r="E927" s="11"/>
    </row>
    <row r="928">
      <c r="C928" s="18"/>
      <c r="D928" s="11"/>
      <c r="E928" s="11"/>
    </row>
    <row r="929">
      <c r="C929" s="18"/>
      <c r="D929" s="11"/>
      <c r="E929" s="11"/>
    </row>
    <row r="930">
      <c r="C930" s="18"/>
      <c r="D930" s="11"/>
      <c r="E930" s="11"/>
    </row>
    <row r="931">
      <c r="C931" s="18"/>
      <c r="D931" s="11"/>
      <c r="E931" s="11"/>
    </row>
    <row r="932">
      <c r="C932" s="18"/>
      <c r="D932" s="11"/>
      <c r="E932" s="11"/>
    </row>
    <row r="933">
      <c r="C933" s="18"/>
      <c r="D933" s="11"/>
      <c r="E933" s="11"/>
    </row>
    <row r="934">
      <c r="C934" s="18"/>
      <c r="D934" s="11"/>
      <c r="E934" s="11"/>
    </row>
    <row r="935">
      <c r="C935" s="18"/>
      <c r="D935" s="11"/>
      <c r="E935" s="11"/>
    </row>
    <row r="936">
      <c r="C936" s="18"/>
      <c r="D936" s="11"/>
      <c r="E936" s="11"/>
    </row>
    <row r="937">
      <c r="C937" s="18"/>
      <c r="D937" s="11"/>
      <c r="E937" s="11"/>
    </row>
    <row r="938">
      <c r="C938" s="18"/>
      <c r="D938" s="11"/>
      <c r="E938" s="11"/>
    </row>
    <row r="939">
      <c r="C939" s="18"/>
      <c r="D939" s="11"/>
      <c r="E939" s="11"/>
    </row>
    <row r="940">
      <c r="C940" s="18"/>
      <c r="D940" s="11"/>
      <c r="E940" s="11"/>
    </row>
    <row r="941">
      <c r="C941" s="18"/>
      <c r="D941" s="11"/>
      <c r="E941" s="11"/>
    </row>
    <row r="942">
      <c r="C942" s="18"/>
      <c r="D942" s="11"/>
      <c r="E942" s="11"/>
    </row>
    <row r="943">
      <c r="C943" s="18"/>
      <c r="D943" s="11"/>
      <c r="E943" s="11"/>
    </row>
    <row r="944">
      <c r="C944" s="18"/>
      <c r="D944" s="11"/>
      <c r="E944" s="11"/>
    </row>
    <row r="945">
      <c r="C945" s="18"/>
      <c r="D945" s="11"/>
      <c r="E945" s="11"/>
    </row>
    <row r="946">
      <c r="C946" s="18"/>
      <c r="D946" s="11"/>
      <c r="E946" s="11"/>
    </row>
    <row r="947">
      <c r="C947" s="18"/>
      <c r="D947" s="11"/>
      <c r="E947" s="11"/>
    </row>
    <row r="948">
      <c r="C948" s="18"/>
      <c r="D948" s="11"/>
      <c r="E948" s="11"/>
    </row>
    <row r="949">
      <c r="C949" s="18"/>
      <c r="D949" s="11"/>
      <c r="E949" s="11"/>
    </row>
    <row r="950">
      <c r="C950" s="18"/>
      <c r="D950" s="11"/>
      <c r="E950" s="11"/>
    </row>
    <row r="951">
      <c r="C951" s="18"/>
      <c r="D951" s="11"/>
      <c r="E951" s="11"/>
    </row>
    <row r="952">
      <c r="C952" s="18"/>
      <c r="D952" s="11"/>
      <c r="E952" s="11"/>
    </row>
    <row r="953">
      <c r="C953" s="18"/>
      <c r="D953" s="11"/>
      <c r="E953" s="11"/>
    </row>
    <row r="954">
      <c r="C954" s="18"/>
      <c r="D954" s="11"/>
      <c r="E954" s="11"/>
    </row>
    <row r="955">
      <c r="C955" s="18"/>
      <c r="D955" s="11"/>
      <c r="E955" s="11"/>
    </row>
    <row r="956">
      <c r="C956" s="18"/>
      <c r="D956" s="11"/>
      <c r="E956" s="11"/>
    </row>
    <row r="957">
      <c r="C957" s="18"/>
      <c r="D957" s="11"/>
      <c r="E957" s="11"/>
    </row>
    <row r="958">
      <c r="C958" s="18"/>
      <c r="D958" s="11"/>
      <c r="E958" s="11"/>
    </row>
    <row r="959">
      <c r="C959" s="18"/>
      <c r="D959" s="11"/>
      <c r="E959" s="11"/>
    </row>
    <row r="960">
      <c r="C960" s="18"/>
      <c r="D960" s="11"/>
      <c r="E960" s="11"/>
    </row>
    <row r="961">
      <c r="C961" s="18"/>
      <c r="D961" s="11"/>
      <c r="E961" s="11"/>
    </row>
    <row r="962">
      <c r="C962" s="18"/>
      <c r="D962" s="11"/>
      <c r="E962" s="11"/>
    </row>
    <row r="963">
      <c r="C963" s="18"/>
      <c r="D963" s="11"/>
      <c r="E963" s="11"/>
    </row>
    <row r="964">
      <c r="C964" s="18"/>
      <c r="D964" s="11"/>
      <c r="E964" s="11"/>
    </row>
    <row r="965">
      <c r="C965" s="18"/>
      <c r="D965" s="11"/>
      <c r="E965" s="11"/>
    </row>
    <row r="966">
      <c r="C966" s="18"/>
      <c r="D966" s="11"/>
      <c r="E966" s="11"/>
    </row>
    <row r="967">
      <c r="C967" s="18"/>
      <c r="D967" s="11"/>
      <c r="E967" s="11"/>
    </row>
    <row r="968">
      <c r="C968" s="18"/>
      <c r="D968" s="11"/>
      <c r="E968" s="11"/>
    </row>
    <row r="969">
      <c r="C969" s="18"/>
      <c r="D969" s="11"/>
      <c r="E969" s="11"/>
    </row>
    <row r="970">
      <c r="C970" s="18"/>
      <c r="D970" s="11"/>
      <c r="E970" s="11"/>
    </row>
    <row r="971">
      <c r="C971" s="18"/>
      <c r="D971" s="11"/>
      <c r="E971" s="11"/>
    </row>
    <row r="972">
      <c r="C972" s="18"/>
      <c r="D972" s="11"/>
      <c r="E972" s="11"/>
    </row>
    <row r="973">
      <c r="C973" s="18"/>
      <c r="D973" s="11"/>
      <c r="E973" s="11"/>
    </row>
    <row r="974">
      <c r="C974" s="18"/>
      <c r="D974" s="11"/>
      <c r="E974" s="11"/>
    </row>
    <row r="975">
      <c r="C975" s="18"/>
      <c r="D975" s="11"/>
      <c r="E975" s="11"/>
    </row>
    <row r="976">
      <c r="C976" s="18"/>
      <c r="D976" s="11"/>
      <c r="E976" s="11"/>
    </row>
    <row r="977">
      <c r="C977" s="18"/>
      <c r="D977" s="11"/>
      <c r="E977" s="11"/>
    </row>
    <row r="978">
      <c r="C978" s="18"/>
      <c r="D978" s="11"/>
      <c r="E978" s="11"/>
    </row>
    <row r="979">
      <c r="C979" s="18"/>
      <c r="D979" s="11"/>
      <c r="E979" s="11"/>
    </row>
    <row r="980">
      <c r="C980" s="18"/>
      <c r="D980" s="11"/>
      <c r="E980" s="11"/>
    </row>
    <row r="981">
      <c r="C981" s="18"/>
      <c r="D981" s="11"/>
      <c r="E981" s="11"/>
    </row>
    <row r="982">
      <c r="C982" s="18"/>
      <c r="D982" s="11"/>
      <c r="E982" s="11"/>
    </row>
    <row r="983">
      <c r="C983" s="18"/>
      <c r="D983" s="11"/>
      <c r="E983" s="11"/>
    </row>
    <row r="984">
      <c r="C984" s="18"/>
      <c r="D984" s="11"/>
      <c r="E984" s="11"/>
    </row>
    <row r="985">
      <c r="C985" s="18"/>
      <c r="D985" s="11"/>
      <c r="E985" s="11"/>
    </row>
    <row r="986">
      <c r="C986" s="18"/>
      <c r="D986" s="11"/>
      <c r="E986" s="11"/>
    </row>
    <row r="987">
      <c r="C987" s="18"/>
      <c r="D987" s="11"/>
      <c r="E987" s="11"/>
    </row>
    <row r="988">
      <c r="C988" s="18"/>
      <c r="D988" s="11"/>
      <c r="E988" s="11"/>
    </row>
    <row r="989">
      <c r="C989" s="18"/>
      <c r="D989" s="11"/>
      <c r="E989" s="11"/>
    </row>
    <row r="990">
      <c r="C990" s="18"/>
      <c r="D990" s="11"/>
      <c r="E990" s="11"/>
    </row>
    <row r="991">
      <c r="C991" s="18"/>
      <c r="D991" s="11"/>
      <c r="E991" s="11"/>
    </row>
    <row r="992">
      <c r="C992" s="18"/>
      <c r="D992" s="11"/>
      <c r="E992" s="11"/>
    </row>
    <row r="993">
      <c r="C993" s="18"/>
      <c r="D993" s="11"/>
      <c r="E993" s="11"/>
    </row>
    <row r="994">
      <c r="C994" s="18"/>
      <c r="D994" s="11"/>
      <c r="E994" s="11"/>
    </row>
    <row r="995">
      <c r="C995" s="18"/>
      <c r="D995" s="11"/>
      <c r="E995" s="11"/>
    </row>
    <row r="996">
      <c r="C996" s="18"/>
      <c r="D996" s="11"/>
      <c r="E996" s="11"/>
    </row>
    <row r="997">
      <c r="C997" s="18"/>
      <c r="D997" s="11"/>
      <c r="E997" s="11"/>
    </row>
    <row r="998">
      <c r="C998" s="18"/>
      <c r="D998" s="11"/>
      <c r="E998" s="11"/>
    </row>
    <row r="999">
      <c r="C999" s="18"/>
      <c r="D999" s="11"/>
      <c r="E999" s="11"/>
    </row>
    <row r="1000">
      <c r="C1000" s="18"/>
      <c r="D1000" s="11"/>
      <c r="E1000" s="11"/>
    </row>
  </sheetData>
  <dataValidations>
    <dataValidation type="list" allowBlank="1" sqref="B2">
      <formula1>Lookups!$A$1:$A$6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5"/>
    <col customWidth="1" min="2" max="3" width="18.0"/>
    <col customWidth="1" min="4" max="4" width="28.0"/>
    <col customWidth="1" min="5" max="5" width="12.13"/>
    <col customWidth="1" min="6" max="6" width="10.75"/>
    <col customWidth="1" min="7" max="7" width="79.13"/>
    <col customWidth="1" min="8" max="8" width="25.88"/>
  </cols>
  <sheetData>
    <row r="1">
      <c r="A1" s="2" t="s">
        <v>0</v>
      </c>
      <c r="B1" s="2" t="s">
        <v>1</v>
      </c>
      <c r="C1" s="2" t="s">
        <v>383</v>
      </c>
      <c r="D1" s="27" t="s">
        <v>276</v>
      </c>
      <c r="E1" s="4" t="s">
        <v>3</v>
      </c>
      <c r="F1" s="5" t="s">
        <v>4</v>
      </c>
      <c r="G1" s="2" t="s">
        <v>5</v>
      </c>
      <c r="H1" s="6" t="s">
        <v>384</v>
      </c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7" t="s">
        <v>385</v>
      </c>
      <c r="B2" s="7" t="s">
        <v>9</v>
      </c>
      <c r="C2" s="7" t="s">
        <v>386</v>
      </c>
      <c r="D2" s="9" t="s">
        <v>387</v>
      </c>
      <c r="E2" s="10">
        <f>IFERROR(__xludf.DUMMYFUNCTION("SPLIT(D2,"","")"),55.969552)</f>
        <v>55.969552</v>
      </c>
      <c r="F2" s="11">
        <f>IFERROR(__xludf.DUMMYFUNCTION("""COMPUTED_VALUE"""),12.5402037)</f>
        <v>12.5402037</v>
      </c>
      <c r="G2" s="12" t="s">
        <v>388</v>
      </c>
      <c r="H2" s="7">
        <v>4.0</v>
      </c>
    </row>
    <row r="3">
      <c r="A3" s="13" t="s">
        <v>389</v>
      </c>
      <c r="B3" s="13" t="s">
        <v>9</v>
      </c>
      <c r="C3" s="13" t="s">
        <v>390</v>
      </c>
      <c r="D3" s="14" t="s">
        <v>391</v>
      </c>
      <c r="E3" s="10">
        <f>IFERROR(__xludf.DUMMYFUNCTION("SPLIT(D3,"","")"),55.3985446013208)</f>
        <v>55.3985446</v>
      </c>
      <c r="F3" s="15">
        <f>IFERROR(__xludf.DUMMYFUNCTION("""COMPUTED_VALUE"""),10.3905830690932)</f>
        <v>10.39058307</v>
      </c>
      <c r="G3" s="13" t="s">
        <v>392</v>
      </c>
      <c r="H3" s="13">
        <v>3.0</v>
      </c>
    </row>
    <row r="4">
      <c r="A4" s="13" t="s">
        <v>393</v>
      </c>
      <c r="B4" s="13" t="s">
        <v>9</v>
      </c>
      <c r="C4" s="13" t="s">
        <v>386</v>
      </c>
      <c r="D4" s="14" t="s">
        <v>394</v>
      </c>
      <c r="E4" s="10">
        <f>IFERROR(__xludf.DUMMYFUNCTION("SPLIT(D4,"","")"),55.6744995)</f>
        <v>55.6744995</v>
      </c>
      <c r="F4" s="15">
        <f>IFERROR(__xludf.DUMMYFUNCTION("""COMPUTED_VALUE"""),12.565117)</f>
        <v>12.565117</v>
      </c>
      <c r="G4" s="13" t="s">
        <v>395</v>
      </c>
      <c r="H4" s="13">
        <v>3.0</v>
      </c>
    </row>
    <row r="5">
      <c r="A5" s="13" t="s">
        <v>396</v>
      </c>
      <c r="B5" s="13" t="s">
        <v>9</v>
      </c>
      <c r="C5" s="13" t="s">
        <v>397</v>
      </c>
      <c r="D5" s="14" t="s">
        <v>398</v>
      </c>
      <c r="E5" s="10">
        <f>IFERROR(__xludf.DUMMYFUNCTION("SPLIT(D5,"","")"),56.1540205578434)</f>
        <v>56.15402056</v>
      </c>
      <c r="F5" s="15">
        <f>IFERROR(__xludf.DUMMYFUNCTION("""COMPUTED_VALUE"""),10.199737453818)</f>
        <v>10.19973745</v>
      </c>
      <c r="G5" s="13" t="s">
        <v>399</v>
      </c>
      <c r="H5" s="13">
        <v>4.0</v>
      </c>
    </row>
    <row r="6">
      <c r="A6" s="13" t="s">
        <v>400</v>
      </c>
      <c r="B6" s="13" t="s">
        <v>9</v>
      </c>
      <c r="C6" s="13" t="s">
        <v>397</v>
      </c>
      <c r="D6" s="14" t="s">
        <v>401</v>
      </c>
      <c r="E6" s="10">
        <f>IFERROR(__xludf.DUMMYFUNCTION("SPLIT(D6,"","")"),56.0886884)</f>
        <v>56.0886884</v>
      </c>
      <c r="F6" s="15">
        <f>IFERROR(__xludf.DUMMYFUNCTION("""COMPUTED_VALUE"""),10.1411018)</f>
        <v>10.1411018</v>
      </c>
      <c r="G6" s="13" t="s">
        <v>402</v>
      </c>
      <c r="H6" s="13">
        <v>5.0</v>
      </c>
    </row>
    <row r="7">
      <c r="A7" s="13" t="s">
        <v>403</v>
      </c>
      <c r="B7" s="13" t="s">
        <v>9</v>
      </c>
      <c r="C7" s="13" t="s">
        <v>397</v>
      </c>
      <c r="D7" s="14" t="s">
        <v>404</v>
      </c>
      <c r="E7" s="10">
        <f>IFERROR(__xludf.DUMMYFUNCTION("SPLIT(D7,"","")"),56.1576011561251)</f>
        <v>56.15760116</v>
      </c>
      <c r="F7" s="15">
        <f>IFERROR(__xludf.DUMMYFUNCTION("""COMPUTED_VALUE"""),10.2112731028086)</f>
        <v>10.2112731</v>
      </c>
      <c r="G7" s="13" t="s">
        <v>405</v>
      </c>
      <c r="H7" s="13">
        <v>3.0</v>
      </c>
    </row>
    <row r="8">
      <c r="A8" s="13" t="s">
        <v>406</v>
      </c>
      <c r="B8" s="13" t="s">
        <v>9</v>
      </c>
      <c r="C8" s="13" t="s">
        <v>386</v>
      </c>
      <c r="D8" s="14" t="s">
        <v>407</v>
      </c>
      <c r="E8" s="10">
        <f>IFERROR(__xludf.DUMMYFUNCTION("SPLIT(D8,"","")"),55.6849141)</f>
        <v>55.6849141</v>
      </c>
      <c r="F8" s="15">
        <f>IFERROR(__xludf.DUMMYFUNCTION("""COMPUTED_VALUE"""),12.4877915)</f>
        <v>12.4877915</v>
      </c>
      <c r="G8" s="13" t="s">
        <v>408</v>
      </c>
      <c r="H8" s="13">
        <v>2.0</v>
      </c>
    </row>
    <row r="9">
      <c r="A9" s="13" t="s">
        <v>409</v>
      </c>
      <c r="B9" s="13" t="s">
        <v>9</v>
      </c>
      <c r="C9" s="13" t="s">
        <v>386</v>
      </c>
      <c r="D9" s="14" t="s">
        <v>410</v>
      </c>
      <c r="E9" s="10">
        <f>IFERROR(__xludf.DUMMYFUNCTION("SPLIT(D9,"","")"),56.022367)</f>
        <v>56.022367</v>
      </c>
      <c r="F9" s="15">
        <f>IFERROR(__xludf.DUMMYFUNCTION("""COMPUTED_VALUE"""),12.5535698)</f>
        <v>12.5535698</v>
      </c>
      <c r="G9" s="13" t="s">
        <v>411</v>
      </c>
      <c r="H9" s="13">
        <v>2.0</v>
      </c>
    </row>
    <row r="10">
      <c r="A10" s="13" t="s">
        <v>412</v>
      </c>
      <c r="B10" s="13" t="s">
        <v>9</v>
      </c>
      <c r="C10" s="13" t="s">
        <v>386</v>
      </c>
      <c r="D10" s="14" t="s">
        <v>413</v>
      </c>
      <c r="E10" s="10">
        <f>IFERROR(__xludf.DUMMYFUNCTION("SPLIT(D10,"","")"),55.6859301918296)</f>
        <v>55.68593019</v>
      </c>
      <c r="F10" s="15">
        <f>IFERROR(__xludf.DUMMYFUNCTION("""COMPUTED_VALUE"""),12.5771614077563)</f>
        <v>12.57716141</v>
      </c>
      <c r="G10" s="13" t="s">
        <v>414</v>
      </c>
      <c r="H10" s="13">
        <v>5.0</v>
      </c>
    </row>
    <row r="11">
      <c r="A11" s="13" t="s">
        <v>415</v>
      </c>
      <c r="B11" s="13" t="s">
        <v>9</v>
      </c>
      <c r="C11" s="13" t="s">
        <v>386</v>
      </c>
      <c r="D11" s="14" t="s">
        <v>416</v>
      </c>
      <c r="E11" s="10">
        <f>IFERROR(__xludf.DUMMYFUNCTION("SPLIT(D11,"","")"),54.7751791964096)</f>
        <v>54.7751792</v>
      </c>
      <c r="F11" s="15">
        <f>IFERROR(__xludf.DUMMYFUNCTION("""COMPUTED_VALUE"""),11.8410474968835)</f>
        <v>11.8410475</v>
      </c>
      <c r="G11" s="13" t="s">
        <v>417</v>
      </c>
      <c r="H11" s="13">
        <v>3.0</v>
      </c>
    </row>
    <row r="12">
      <c r="A12" s="13" t="s">
        <v>418</v>
      </c>
      <c r="B12" s="13" t="s">
        <v>9</v>
      </c>
      <c r="C12" s="13" t="s">
        <v>419</v>
      </c>
      <c r="D12" s="37" t="s">
        <v>420</v>
      </c>
      <c r="E12" s="10">
        <f>IFERROR(__xludf.DUMMYFUNCTION("SPLIT(D12,"","")"),55.059050047028)</f>
        <v>55.05905005</v>
      </c>
      <c r="F12" s="38">
        <f>IFERROR(__xludf.DUMMYFUNCTION("""COMPUTED_VALUE"""),10.6169757825588)</f>
        <v>10.61697578</v>
      </c>
      <c r="G12" s="13" t="s">
        <v>421</v>
      </c>
      <c r="H12" s="13">
        <v>3.0</v>
      </c>
    </row>
    <row r="13">
      <c r="A13" s="13" t="s">
        <v>422</v>
      </c>
      <c r="B13" s="13" t="s">
        <v>423</v>
      </c>
      <c r="C13" s="13" t="s">
        <v>419</v>
      </c>
      <c r="D13" s="39" t="s">
        <v>424</v>
      </c>
      <c r="E13" s="10">
        <f>IFERROR(__xludf.DUMMYFUNCTION("SPLIT(D13,"","")"),54.90694)</f>
        <v>54.90694</v>
      </c>
      <c r="F13" s="40">
        <f>IFERROR(__xludf.DUMMYFUNCTION("""COMPUTED_VALUE"""),9.7553901)</f>
        <v>9.7553901</v>
      </c>
      <c r="G13" s="13" t="s">
        <v>425</v>
      </c>
      <c r="H13" s="13">
        <v>4.0</v>
      </c>
    </row>
    <row r="14">
      <c r="A14" s="13" t="s">
        <v>426</v>
      </c>
      <c r="B14" s="13" t="s">
        <v>9</v>
      </c>
      <c r="C14" s="13" t="s">
        <v>419</v>
      </c>
      <c r="D14" s="39" t="s">
        <v>427</v>
      </c>
      <c r="E14" s="10">
        <f>IFERROR(__xludf.DUMMYFUNCTION("SPLIT(D14,"","")"),55.5613753)</f>
        <v>55.5613753</v>
      </c>
      <c r="F14" s="15">
        <f>IFERROR(__xludf.DUMMYFUNCTION("""COMPUTED_VALUE"""),9.4485626)</f>
        <v>9.4485626</v>
      </c>
      <c r="G14" s="13" t="s">
        <v>428</v>
      </c>
      <c r="H14" s="13">
        <v>3.0</v>
      </c>
    </row>
    <row r="15">
      <c r="A15" s="13" t="s">
        <v>429</v>
      </c>
      <c r="B15" s="13" t="s">
        <v>9</v>
      </c>
      <c r="C15" s="13" t="s">
        <v>419</v>
      </c>
      <c r="D15" s="41" t="s">
        <v>430</v>
      </c>
      <c r="E15" s="10">
        <f>IFERROR(__xludf.DUMMYFUNCTION("SPLIT(D15,"","")"),54.7524070497336)</f>
        <v>54.75240705</v>
      </c>
      <c r="F15" s="15">
        <f>IFERROR(__xludf.DUMMYFUNCTION("""COMPUTED_VALUE"""),10.7152406653465)</f>
        <v>10.71524067</v>
      </c>
      <c r="G15" s="13" t="s">
        <v>431</v>
      </c>
      <c r="H15" s="13">
        <v>4.0</v>
      </c>
    </row>
    <row r="16">
      <c r="A16" s="13" t="s">
        <v>432</v>
      </c>
      <c r="B16" s="13" t="s">
        <v>9</v>
      </c>
      <c r="C16" s="13" t="s">
        <v>433</v>
      </c>
      <c r="D16" s="14" t="s">
        <v>434</v>
      </c>
      <c r="E16" s="10">
        <f>IFERROR(__xludf.DUMMYFUNCTION("SPLIT(D16,"","")"),55.0924949)</f>
        <v>55.0924949</v>
      </c>
      <c r="F16" s="15">
        <f>IFERROR(__xludf.DUMMYFUNCTION("""COMPUTED_VALUE"""),14.7008354)</f>
        <v>14.7008354</v>
      </c>
      <c r="G16" s="13" t="s">
        <v>435</v>
      </c>
      <c r="H16" s="13">
        <v>4.0</v>
      </c>
    </row>
    <row r="17">
      <c r="A17" s="13" t="s">
        <v>436</v>
      </c>
      <c r="B17" s="13" t="s">
        <v>437</v>
      </c>
      <c r="C17" s="13" t="s">
        <v>438</v>
      </c>
      <c r="D17" s="14" t="s">
        <v>439</v>
      </c>
      <c r="E17" s="10">
        <f>IFERROR(__xludf.DUMMYFUNCTION("SPLIT(D17,"","")"),57.7248099)</f>
        <v>57.7248099</v>
      </c>
      <c r="F17" s="15">
        <f>IFERROR(__xludf.DUMMYFUNCTION("""COMPUTED_VALUE"""),10.5943461)</f>
        <v>10.5943461</v>
      </c>
      <c r="G17" s="13" t="s">
        <v>440</v>
      </c>
      <c r="H17" s="13">
        <v>5.0</v>
      </c>
    </row>
    <row r="18">
      <c r="A18" s="13" t="s">
        <v>441</v>
      </c>
      <c r="B18" s="13" t="s">
        <v>9</v>
      </c>
      <c r="C18" s="13" t="s">
        <v>386</v>
      </c>
      <c r="D18" s="14" t="s">
        <v>442</v>
      </c>
      <c r="E18" s="10">
        <f>IFERROR(__xludf.DUMMYFUNCTION("SPLIT(D18,"","")"),55.6844918878659)</f>
        <v>55.68449189</v>
      </c>
      <c r="F18" s="15">
        <f>IFERROR(__xludf.DUMMYFUNCTION("""COMPUTED_VALUE"""),12.5822562654264)</f>
        <v>12.58225627</v>
      </c>
      <c r="G18" s="13" t="s">
        <v>443</v>
      </c>
      <c r="H18" s="13">
        <v>5.0</v>
      </c>
    </row>
    <row r="19">
      <c r="A19" s="13" t="s">
        <v>444</v>
      </c>
      <c r="B19" s="13" t="s">
        <v>9</v>
      </c>
      <c r="C19" s="13" t="s">
        <v>386</v>
      </c>
      <c r="D19" s="14" t="s">
        <v>445</v>
      </c>
      <c r="E19" s="10">
        <f>IFERROR(__xludf.DUMMYFUNCTION("SPLIT(D19,"","")"),55.7857728)</f>
        <v>55.7857728</v>
      </c>
      <c r="F19" s="15">
        <f>IFERROR(__xludf.DUMMYFUNCTION("""COMPUTED_VALUE"""),12.4899042)</f>
        <v>12.4899042</v>
      </c>
      <c r="G19" s="13" t="s">
        <v>446</v>
      </c>
      <c r="H19" s="13">
        <v>3.0</v>
      </c>
    </row>
    <row r="20">
      <c r="A20" s="13" t="s">
        <v>447</v>
      </c>
      <c r="B20" s="13" t="s">
        <v>9</v>
      </c>
      <c r="C20" s="13" t="s">
        <v>397</v>
      </c>
      <c r="D20" s="14" t="s">
        <v>448</v>
      </c>
      <c r="E20" s="10">
        <f>IFERROR(__xludf.DUMMYFUNCTION("SPLIT(D20,"","")"),56.1579358473562)</f>
        <v>56.15793585</v>
      </c>
      <c r="F20" s="15">
        <f>IFERROR(__xludf.DUMMYFUNCTION("""COMPUTED_VALUE"""),10.1936767826534)</f>
        <v>10.19367678</v>
      </c>
      <c r="G20" s="13" t="s">
        <v>449</v>
      </c>
      <c r="H20" s="13">
        <v>4.0</v>
      </c>
    </row>
    <row r="21">
      <c r="A21" s="13" t="s">
        <v>450</v>
      </c>
      <c r="B21" s="13" t="s">
        <v>9</v>
      </c>
      <c r="C21" s="13" t="s">
        <v>419</v>
      </c>
      <c r="D21" s="14" t="s">
        <v>451</v>
      </c>
      <c r="E21" s="10">
        <f>IFERROR(__xludf.DUMMYFUNCTION("SPLIT(D21,"","")"),55.4060773998675)</f>
        <v>55.4060774</v>
      </c>
      <c r="F21" s="15">
        <f>IFERROR(__xludf.DUMMYFUNCTION("""COMPUTED_VALUE"""),10.3884866278273)</f>
        <v>10.38848663</v>
      </c>
      <c r="G21" s="13" t="s">
        <v>452</v>
      </c>
      <c r="H21" s="13">
        <v>2.0</v>
      </c>
    </row>
    <row r="22">
      <c r="A22" s="13" t="s">
        <v>453</v>
      </c>
      <c r="B22" s="13" t="s">
        <v>9</v>
      </c>
      <c r="C22" s="13" t="s">
        <v>419</v>
      </c>
      <c r="D22" s="14" t="s">
        <v>454</v>
      </c>
      <c r="E22" s="10">
        <f>IFERROR(__xludf.DUMMYFUNCTION("SPLIT(D22,"","")"),55.5502825)</f>
        <v>55.5502825</v>
      </c>
      <c r="F22" s="15">
        <f>IFERROR(__xludf.DUMMYFUNCTION("""COMPUTED_VALUE"""),8.089727)</f>
        <v>8.089727</v>
      </c>
      <c r="G22" s="13" t="s">
        <v>455</v>
      </c>
      <c r="H22" s="13">
        <v>5.0</v>
      </c>
    </row>
    <row r="23">
      <c r="A23" s="13" t="s">
        <v>456</v>
      </c>
      <c r="B23" s="13" t="s">
        <v>9</v>
      </c>
      <c r="C23" s="13" t="s">
        <v>419</v>
      </c>
      <c r="D23" s="14" t="s">
        <v>457</v>
      </c>
      <c r="E23" s="10">
        <f>IFERROR(__xludf.DUMMYFUNCTION("SPLIT(D23,"","")"),55.4567494046971)</f>
        <v>55.4567494</v>
      </c>
      <c r="F23" s="15">
        <f>IFERROR(__xludf.DUMMYFUNCTION("""COMPUTED_VALUE"""),10.6618573747165)</f>
        <v>10.66185737</v>
      </c>
      <c r="G23" s="13" t="s">
        <v>458</v>
      </c>
      <c r="H23" s="13">
        <v>5.0</v>
      </c>
    </row>
    <row r="24">
      <c r="D24" s="14"/>
      <c r="E24" s="10"/>
    </row>
    <row r="25">
      <c r="D25" s="14"/>
      <c r="E25" s="10"/>
    </row>
    <row r="26">
      <c r="D26" s="14"/>
      <c r="E26" s="10"/>
    </row>
    <row r="27">
      <c r="D27" s="18"/>
      <c r="E27" s="10"/>
    </row>
    <row r="28">
      <c r="A28" s="13"/>
      <c r="B28" s="13"/>
      <c r="C28" s="13"/>
      <c r="D28" s="18"/>
      <c r="E28" s="10"/>
    </row>
    <row r="29">
      <c r="D29" s="14"/>
      <c r="E29" s="10"/>
    </row>
    <row r="30">
      <c r="D30" s="18"/>
      <c r="E30" s="10"/>
    </row>
    <row r="31">
      <c r="D31" s="14"/>
      <c r="E31" s="10"/>
    </row>
    <row r="32">
      <c r="D32" s="14"/>
      <c r="E32" s="10"/>
    </row>
    <row r="33">
      <c r="D33" s="14"/>
      <c r="E33" s="10"/>
    </row>
    <row r="34">
      <c r="D34" s="14"/>
      <c r="E34" s="10"/>
    </row>
    <row r="35">
      <c r="D35" s="14"/>
      <c r="E35" s="10"/>
    </row>
    <row r="36">
      <c r="B36" s="42"/>
      <c r="C36" s="42"/>
      <c r="D36" s="14"/>
      <c r="E36" s="10"/>
    </row>
    <row r="37">
      <c r="D37" s="14"/>
      <c r="E37" s="10"/>
    </row>
    <row r="38">
      <c r="D38" s="14"/>
      <c r="E38" s="10"/>
    </row>
    <row r="39">
      <c r="D39" s="14"/>
      <c r="E39" s="10"/>
    </row>
    <row r="40">
      <c r="D40" s="43"/>
      <c r="E40" s="10"/>
    </row>
    <row r="41">
      <c r="D41" s="14"/>
      <c r="E41" s="10"/>
    </row>
    <row r="42">
      <c r="D42" s="14"/>
      <c r="E42" s="10"/>
    </row>
    <row r="43">
      <c r="D43" s="44"/>
      <c r="E43" s="10"/>
    </row>
    <row r="44">
      <c r="D44" s="45"/>
      <c r="E44" s="10"/>
    </row>
    <row r="45">
      <c r="D45" s="18"/>
      <c r="E45" s="10"/>
    </row>
    <row r="46">
      <c r="D46" s="14"/>
      <c r="E46" s="33"/>
    </row>
    <row r="47">
      <c r="D47" s="18"/>
      <c r="E47" s="10"/>
    </row>
    <row r="48">
      <c r="D48" s="18"/>
      <c r="E48" s="10"/>
    </row>
    <row r="49">
      <c r="D49" s="14"/>
      <c r="E49" s="10"/>
    </row>
    <row r="50">
      <c r="D50" s="18"/>
      <c r="E50" s="10"/>
    </row>
    <row r="51">
      <c r="D51" s="14"/>
      <c r="E51" s="10"/>
    </row>
    <row r="52">
      <c r="D52" s="14"/>
      <c r="E52" s="10"/>
    </row>
    <row r="53">
      <c r="D53" s="14"/>
      <c r="E53" s="10"/>
    </row>
    <row r="54">
      <c r="D54" s="14"/>
      <c r="E54" s="10"/>
    </row>
    <row r="55">
      <c r="D55" s="18"/>
      <c r="E55" s="10"/>
    </row>
    <row r="56">
      <c r="D56" s="14"/>
      <c r="E56" s="10"/>
    </row>
    <row r="57">
      <c r="D57" s="18"/>
      <c r="E57" s="10"/>
    </row>
    <row r="58">
      <c r="D58" s="14"/>
      <c r="E58" s="10"/>
    </row>
    <row r="59">
      <c r="D59" s="18"/>
      <c r="E59" s="10"/>
    </row>
    <row r="60">
      <c r="D60" s="14"/>
      <c r="E60" s="10"/>
    </row>
    <row r="61">
      <c r="D61" s="18"/>
      <c r="E61" s="10"/>
    </row>
    <row r="62">
      <c r="D62" s="44"/>
      <c r="E62" s="10"/>
    </row>
    <row r="63">
      <c r="D63" s="46"/>
      <c r="E63" s="10"/>
    </row>
    <row r="64">
      <c r="D64" s="14"/>
      <c r="E64" s="10"/>
    </row>
    <row r="65">
      <c r="D65" s="18"/>
      <c r="E65" s="10"/>
    </row>
    <row r="66">
      <c r="D66" s="18"/>
      <c r="E66" s="10"/>
    </row>
    <row r="67">
      <c r="D67" s="18"/>
      <c r="E67" s="10"/>
    </row>
    <row r="68">
      <c r="D68" s="18"/>
      <c r="E68" s="10"/>
    </row>
    <row r="69">
      <c r="D69" s="18"/>
      <c r="E69" s="10"/>
    </row>
    <row r="70">
      <c r="D70" s="18"/>
      <c r="E70" s="10"/>
    </row>
    <row r="71">
      <c r="D71" s="18"/>
      <c r="E71" s="10"/>
    </row>
    <row r="72">
      <c r="D72" s="18"/>
      <c r="E72" s="10"/>
    </row>
    <row r="73">
      <c r="D73" s="18"/>
      <c r="E73" s="10"/>
    </row>
    <row r="74">
      <c r="D74" s="18"/>
      <c r="E74" s="10"/>
    </row>
    <row r="75">
      <c r="D75" s="18"/>
      <c r="E75" s="10"/>
    </row>
    <row r="76">
      <c r="D76" s="18"/>
      <c r="E76" s="10"/>
    </row>
    <row r="77">
      <c r="D77" s="18"/>
      <c r="E77" s="10"/>
    </row>
    <row r="78">
      <c r="D78" s="18"/>
      <c r="E78" s="10"/>
    </row>
    <row r="79">
      <c r="D79" s="18"/>
      <c r="E79" s="10"/>
    </row>
    <row r="80">
      <c r="D80" s="18"/>
      <c r="E80" s="10"/>
    </row>
    <row r="81">
      <c r="D81" s="18"/>
      <c r="E81" s="10"/>
    </row>
    <row r="82">
      <c r="D82" s="18"/>
      <c r="E82" s="10"/>
    </row>
    <row r="83">
      <c r="D83" s="18"/>
      <c r="E83" s="10"/>
    </row>
    <row r="84">
      <c r="D84" s="18"/>
      <c r="E84" s="10"/>
    </row>
    <row r="85">
      <c r="D85" s="18"/>
      <c r="E85" s="10"/>
    </row>
    <row r="86">
      <c r="D86" s="18"/>
      <c r="E86" s="10"/>
    </row>
    <row r="87">
      <c r="D87" s="18"/>
      <c r="E87" s="10"/>
    </row>
    <row r="88">
      <c r="D88" s="18"/>
      <c r="E88" s="10"/>
    </row>
    <row r="89">
      <c r="D89" s="18"/>
      <c r="E89" s="10"/>
    </row>
    <row r="90">
      <c r="D90" s="18"/>
      <c r="E90" s="10"/>
    </row>
    <row r="91">
      <c r="D91" s="18"/>
      <c r="E91" s="10"/>
    </row>
    <row r="92">
      <c r="D92" s="18"/>
      <c r="E92" s="10"/>
    </row>
    <row r="93">
      <c r="D93" s="18"/>
      <c r="E93" s="10"/>
    </row>
    <row r="94">
      <c r="D94" s="18"/>
      <c r="E94" s="10"/>
    </row>
    <row r="95">
      <c r="D95" s="18"/>
      <c r="E95" s="10"/>
    </row>
    <row r="96">
      <c r="D96" s="18"/>
      <c r="E96" s="10"/>
    </row>
    <row r="97">
      <c r="D97" s="18"/>
      <c r="E97" s="10"/>
    </row>
    <row r="98">
      <c r="D98" s="18"/>
      <c r="E98" s="10"/>
    </row>
    <row r="99">
      <c r="D99" s="18"/>
      <c r="E99" s="10"/>
    </row>
    <row r="100">
      <c r="D100" s="18"/>
      <c r="E100" s="10"/>
    </row>
    <row r="101">
      <c r="D101" s="18"/>
      <c r="E101" s="10"/>
    </row>
    <row r="102">
      <c r="D102" s="18"/>
      <c r="E102" s="10"/>
    </row>
    <row r="103">
      <c r="D103" s="18"/>
      <c r="E103" s="10"/>
    </row>
    <row r="104">
      <c r="D104" s="18"/>
      <c r="E104" s="10"/>
    </row>
    <row r="105">
      <c r="D105" s="18"/>
      <c r="E105" s="10"/>
    </row>
    <row r="106">
      <c r="D106" s="18"/>
      <c r="E106" s="10"/>
    </row>
    <row r="107">
      <c r="D107" s="18"/>
      <c r="E107" s="10"/>
    </row>
    <row r="108">
      <c r="D108" s="18"/>
      <c r="E108" s="10"/>
    </row>
    <row r="109">
      <c r="D109" s="18"/>
      <c r="E109" s="10"/>
    </row>
    <row r="110">
      <c r="D110" s="18"/>
      <c r="E110" s="10"/>
    </row>
    <row r="111">
      <c r="D111" s="18"/>
      <c r="E111" s="10"/>
    </row>
    <row r="112">
      <c r="D112" s="18"/>
      <c r="E112" s="10"/>
    </row>
    <row r="113">
      <c r="D113" s="18"/>
      <c r="E113" s="10"/>
    </row>
    <row r="114">
      <c r="D114" s="18"/>
    </row>
    <row r="115">
      <c r="D115" s="18"/>
    </row>
    <row r="116">
      <c r="D116" s="18"/>
    </row>
    <row r="117">
      <c r="D117" s="18"/>
    </row>
    <row r="118">
      <c r="D118" s="18"/>
    </row>
    <row r="119">
      <c r="D119" s="18"/>
    </row>
    <row r="120">
      <c r="D120" s="18"/>
    </row>
    <row r="121">
      <c r="D121" s="18"/>
    </row>
    <row r="122">
      <c r="D122" s="18"/>
    </row>
    <row r="123">
      <c r="D123" s="18"/>
    </row>
    <row r="124">
      <c r="D124" s="18"/>
    </row>
    <row r="125">
      <c r="D125" s="18"/>
    </row>
    <row r="126">
      <c r="D126" s="18"/>
    </row>
    <row r="127">
      <c r="D127" s="18"/>
    </row>
    <row r="128">
      <c r="D128" s="18"/>
    </row>
    <row r="129">
      <c r="D129" s="18"/>
    </row>
    <row r="130">
      <c r="D130" s="18"/>
    </row>
    <row r="131">
      <c r="D131" s="18"/>
    </row>
    <row r="132">
      <c r="D132" s="18"/>
    </row>
    <row r="133">
      <c r="D133" s="18"/>
    </row>
    <row r="134">
      <c r="D134" s="18"/>
    </row>
    <row r="135">
      <c r="D135" s="18"/>
    </row>
    <row r="136">
      <c r="D136" s="18"/>
    </row>
    <row r="137">
      <c r="D137" s="18"/>
    </row>
    <row r="138">
      <c r="D138" s="18"/>
    </row>
    <row r="139">
      <c r="D139" s="18"/>
    </row>
    <row r="140">
      <c r="D140" s="18"/>
    </row>
    <row r="141">
      <c r="D141" s="18"/>
    </row>
    <row r="142">
      <c r="D142" s="18"/>
    </row>
    <row r="143">
      <c r="D143" s="18"/>
    </row>
    <row r="144">
      <c r="D144" s="18"/>
    </row>
    <row r="145">
      <c r="D145" s="18"/>
    </row>
    <row r="146">
      <c r="D146" s="18"/>
    </row>
    <row r="147">
      <c r="D147" s="18"/>
    </row>
    <row r="148">
      <c r="D148" s="18"/>
    </row>
    <row r="149">
      <c r="D149" s="18"/>
    </row>
    <row r="150">
      <c r="D150" s="18"/>
    </row>
    <row r="151">
      <c r="D151" s="18"/>
    </row>
    <row r="152">
      <c r="D152" s="18"/>
    </row>
    <row r="153">
      <c r="D153" s="18"/>
    </row>
    <row r="154">
      <c r="D154" s="18"/>
    </row>
    <row r="155">
      <c r="D155" s="18"/>
    </row>
    <row r="156">
      <c r="D156" s="18"/>
    </row>
    <row r="157">
      <c r="D157" s="18"/>
    </row>
    <row r="158">
      <c r="D158" s="18"/>
    </row>
    <row r="159">
      <c r="D159" s="18"/>
    </row>
    <row r="160">
      <c r="D160" s="18"/>
    </row>
    <row r="161">
      <c r="D161" s="18"/>
    </row>
    <row r="162">
      <c r="D162" s="18"/>
    </row>
    <row r="163">
      <c r="D163" s="18"/>
    </row>
    <row r="164">
      <c r="D164" s="18"/>
    </row>
    <row r="165">
      <c r="D165" s="18"/>
    </row>
    <row r="166">
      <c r="D166" s="18"/>
    </row>
    <row r="167">
      <c r="D167" s="18"/>
    </row>
    <row r="168">
      <c r="D168" s="18"/>
    </row>
    <row r="169">
      <c r="D169" s="18"/>
    </row>
    <row r="170">
      <c r="D170" s="18"/>
    </row>
    <row r="171">
      <c r="D171" s="18"/>
    </row>
    <row r="172">
      <c r="D172" s="18"/>
    </row>
    <row r="173">
      <c r="D173" s="18"/>
    </row>
    <row r="174">
      <c r="D174" s="18"/>
    </row>
    <row r="175">
      <c r="D175" s="18"/>
    </row>
    <row r="176">
      <c r="D176" s="18"/>
    </row>
    <row r="177">
      <c r="D177" s="18"/>
    </row>
    <row r="178">
      <c r="D178" s="18"/>
    </row>
    <row r="179">
      <c r="D179" s="18"/>
    </row>
    <row r="180">
      <c r="D180" s="18"/>
    </row>
    <row r="181">
      <c r="D181" s="18"/>
    </row>
    <row r="182">
      <c r="D182" s="18"/>
    </row>
    <row r="183">
      <c r="D183" s="18"/>
    </row>
    <row r="184">
      <c r="D184" s="18"/>
    </row>
    <row r="185">
      <c r="D185" s="18"/>
    </row>
    <row r="186">
      <c r="D186" s="18"/>
    </row>
    <row r="187">
      <c r="D187" s="18"/>
    </row>
    <row r="188">
      <c r="D188" s="18"/>
    </row>
    <row r="189">
      <c r="D189" s="18"/>
    </row>
    <row r="190">
      <c r="D190" s="18"/>
    </row>
    <row r="191">
      <c r="D191" s="18"/>
    </row>
    <row r="192">
      <c r="D192" s="18"/>
    </row>
    <row r="193">
      <c r="D193" s="18"/>
    </row>
    <row r="194">
      <c r="D194" s="18"/>
    </row>
    <row r="195">
      <c r="D195" s="18"/>
    </row>
    <row r="196">
      <c r="D196" s="18"/>
    </row>
    <row r="197">
      <c r="D197" s="18"/>
    </row>
    <row r="198">
      <c r="D198" s="18"/>
    </row>
    <row r="199">
      <c r="D199" s="18"/>
    </row>
    <row r="200">
      <c r="D200" s="18"/>
    </row>
    <row r="201">
      <c r="D201" s="18"/>
    </row>
    <row r="202">
      <c r="D202" s="18"/>
    </row>
    <row r="203">
      <c r="D203" s="18"/>
    </row>
    <row r="204">
      <c r="D204" s="18"/>
    </row>
    <row r="205">
      <c r="D205" s="18"/>
    </row>
    <row r="206">
      <c r="D206" s="18"/>
    </row>
    <row r="207">
      <c r="D207" s="18"/>
    </row>
    <row r="208">
      <c r="D208" s="18"/>
    </row>
    <row r="209">
      <c r="D209" s="18"/>
    </row>
    <row r="210">
      <c r="D210" s="18"/>
    </row>
    <row r="211">
      <c r="D211" s="18"/>
    </row>
    <row r="212">
      <c r="D212" s="18"/>
    </row>
    <row r="213">
      <c r="D213" s="18"/>
    </row>
    <row r="214">
      <c r="D214" s="18"/>
    </row>
    <row r="215">
      <c r="D215" s="18"/>
    </row>
    <row r="216">
      <c r="D216" s="18"/>
    </row>
    <row r="217">
      <c r="D217" s="18"/>
    </row>
    <row r="218">
      <c r="D218" s="18"/>
    </row>
    <row r="219">
      <c r="D219" s="18"/>
    </row>
    <row r="220">
      <c r="D220" s="18"/>
    </row>
    <row r="221">
      <c r="D221" s="18"/>
    </row>
    <row r="222">
      <c r="D222" s="18"/>
    </row>
    <row r="223">
      <c r="D223" s="18"/>
    </row>
    <row r="224">
      <c r="D224" s="18"/>
    </row>
    <row r="225">
      <c r="D225" s="18"/>
    </row>
    <row r="226">
      <c r="D226" s="18"/>
    </row>
    <row r="227">
      <c r="D227" s="18"/>
    </row>
    <row r="228">
      <c r="D228" s="18"/>
    </row>
    <row r="229">
      <c r="D229" s="18"/>
    </row>
    <row r="230">
      <c r="D230" s="18"/>
    </row>
    <row r="231">
      <c r="D231" s="18"/>
    </row>
    <row r="232">
      <c r="D232" s="18"/>
    </row>
    <row r="233">
      <c r="D233" s="18"/>
    </row>
    <row r="234">
      <c r="D234" s="18"/>
    </row>
    <row r="235">
      <c r="D235" s="18"/>
    </row>
    <row r="236">
      <c r="D236" s="18"/>
    </row>
    <row r="237">
      <c r="D237" s="18"/>
    </row>
    <row r="238">
      <c r="D238" s="18"/>
    </row>
    <row r="239">
      <c r="D239" s="18"/>
    </row>
    <row r="240">
      <c r="D240" s="18"/>
    </row>
    <row r="241">
      <c r="D241" s="18"/>
    </row>
    <row r="242">
      <c r="D242" s="18"/>
    </row>
    <row r="243">
      <c r="D243" s="18"/>
    </row>
    <row r="244">
      <c r="D244" s="18"/>
    </row>
    <row r="245">
      <c r="D245" s="18"/>
    </row>
    <row r="246">
      <c r="D246" s="18"/>
    </row>
    <row r="247">
      <c r="D247" s="18"/>
    </row>
    <row r="248">
      <c r="D248" s="18"/>
    </row>
    <row r="249">
      <c r="D249" s="18"/>
    </row>
    <row r="250">
      <c r="D250" s="18"/>
    </row>
    <row r="251">
      <c r="D251" s="18"/>
    </row>
    <row r="252">
      <c r="D252" s="18"/>
    </row>
    <row r="253">
      <c r="D253" s="18"/>
    </row>
    <row r="254">
      <c r="D254" s="18"/>
    </row>
    <row r="255">
      <c r="D255" s="18"/>
    </row>
    <row r="256">
      <c r="D256" s="18"/>
    </row>
    <row r="257">
      <c r="D257" s="18"/>
    </row>
    <row r="258">
      <c r="D258" s="18"/>
    </row>
    <row r="259">
      <c r="D259" s="18"/>
    </row>
    <row r="260">
      <c r="D260" s="18"/>
    </row>
    <row r="261">
      <c r="D261" s="18"/>
    </row>
    <row r="262">
      <c r="D262" s="18"/>
    </row>
    <row r="263">
      <c r="D263" s="18"/>
    </row>
    <row r="264">
      <c r="D264" s="18"/>
    </row>
    <row r="265">
      <c r="D265" s="18"/>
    </row>
    <row r="266">
      <c r="D266" s="18"/>
    </row>
    <row r="267">
      <c r="D267" s="18"/>
    </row>
    <row r="268">
      <c r="D268" s="18"/>
    </row>
    <row r="269">
      <c r="D269" s="18"/>
    </row>
    <row r="270">
      <c r="D270" s="18"/>
    </row>
    <row r="271">
      <c r="D271" s="18"/>
    </row>
    <row r="272">
      <c r="D272" s="18"/>
    </row>
    <row r="273">
      <c r="D273" s="18"/>
    </row>
    <row r="274">
      <c r="D274" s="18"/>
    </row>
    <row r="275">
      <c r="D275" s="18"/>
    </row>
    <row r="276">
      <c r="D276" s="18"/>
    </row>
    <row r="277">
      <c r="D277" s="18"/>
    </row>
    <row r="278">
      <c r="D278" s="18"/>
    </row>
    <row r="279">
      <c r="D279" s="18"/>
    </row>
    <row r="280">
      <c r="D280" s="18"/>
    </row>
    <row r="281">
      <c r="D281" s="18"/>
    </row>
    <row r="282">
      <c r="D282" s="18"/>
    </row>
    <row r="283">
      <c r="D283" s="18"/>
    </row>
    <row r="284">
      <c r="D284" s="18"/>
    </row>
    <row r="285">
      <c r="D285" s="18"/>
    </row>
    <row r="286">
      <c r="D286" s="18"/>
    </row>
    <row r="287">
      <c r="D287" s="18"/>
    </row>
    <row r="288">
      <c r="D288" s="18"/>
    </row>
    <row r="289">
      <c r="D289" s="18"/>
    </row>
    <row r="290">
      <c r="D290" s="18"/>
    </row>
    <row r="291">
      <c r="D291" s="18"/>
    </row>
    <row r="292">
      <c r="D292" s="18"/>
    </row>
    <row r="293">
      <c r="D293" s="18"/>
    </row>
    <row r="294">
      <c r="D294" s="18"/>
    </row>
    <row r="295">
      <c r="D295" s="18"/>
    </row>
    <row r="296">
      <c r="D296" s="18"/>
    </row>
    <row r="297">
      <c r="D297" s="18"/>
    </row>
    <row r="298">
      <c r="D298" s="18"/>
    </row>
    <row r="299">
      <c r="D299" s="18"/>
    </row>
    <row r="300">
      <c r="D300" s="18"/>
    </row>
    <row r="301">
      <c r="D301" s="18"/>
    </row>
    <row r="302">
      <c r="D302" s="18"/>
    </row>
    <row r="303">
      <c r="D303" s="18"/>
    </row>
    <row r="304">
      <c r="D304" s="18"/>
    </row>
    <row r="305">
      <c r="D305" s="18"/>
    </row>
    <row r="306">
      <c r="D306" s="18"/>
    </row>
    <row r="307">
      <c r="D307" s="18"/>
    </row>
    <row r="308">
      <c r="D308" s="18"/>
    </row>
    <row r="309">
      <c r="D309" s="18"/>
    </row>
    <row r="310">
      <c r="D310" s="18"/>
    </row>
    <row r="311">
      <c r="D311" s="18"/>
    </row>
    <row r="312">
      <c r="D312" s="18"/>
    </row>
    <row r="313">
      <c r="D313" s="18"/>
    </row>
    <row r="314">
      <c r="D314" s="18"/>
    </row>
    <row r="315">
      <c r="D315" s="18"/>
    </row>
    <row r="316">
      <c r="D316" s="18"/>
    </row>
    <row r="317">
      <c r="D317" s="18"/>
    </row>
    <row r="318">
      <c r="D318" s="18"/>
    </row>
    <row r="319">
      <c r="D319" s="18"/>
    </row>
    <row r="320">
      <c r="D320" s="18"/>
    </row>
    <row r="321">
      <c r="D321" s="18"/>
    </row>
    <row r="322">
      <c r="D322" s="18"/>
    </row>
    <row r="323">
      <c r="D323" s="18"/>
    </row>
    <row r="324">
      <c r="D324" s="18"/>
    </row>
    <row r="325">
      <c r="D325" s="18"/>
    </row>
    <row r="326">
      <c r="D326" s="18"/>
    </row>
    <row r="327">
      <c r="D327" s="18"/>
    </row>
    <row r="328">
      <c r="D328" s="18"/>
    </row>
    <row r="329">
      <c r="D329" s="18"/>
    </row>
    <row r="330">
      <c r="D330" s="18"/>
    </row>
    <row r="331">
      <c r="D331" s="18"/>
    </row>
    <row r="332">
      <c r="D332" s="18"/>
    </row>
    <row r="333">
      <c r="D333" s="18"/>
    </row>
    <row r="334">
      <c r="D334" s="18"/>
    </row>
    <row r="335">
      <c r="D335" s="18"/>
    </row>
    <row r="336">
      <c r="D336" s="18"/>
    </row>
    <row r="337">
      <c r="D337" s="18"/>
    </row>
    <row r="338">
      <c r="D338" s="18"/>
    </row>
    <row r="339">
      <c r="D339" s="18"/>
    </row>
    <row r="340">
      <c r="D340" s="18"/>
    </row>
    <row r="341">
      <c r="D341" s="18"/>
    </row>
    <row r="342">
      <c r="D342" s="18"/>
    </row>
    <row r="343">
      <c r="D343" s="18"/>
    </row>
    <row r="344">
      <c r="D344" s="18"/>
    </row>
    <row r="345">
      <c r="D345" s="18"/>
    </row>
    <row r="346">
      <c r="D346" s="18"/>
    </row>
    <row r="347">
      <c r="D347" s="18"/>
    </row>
    <row r="348">
      <c r="D348" s="18"/>
    </row>
    <row r="349">
      <c r="D349" s="18"/>
    </row>
    <row r="350">
      <c r="D350" s="18"/>
    </row>
    <row r="351">
      <c r="D351" s="18"/>
    </row>
    <row r="352">
      <c r="D352" s="18"/>
    </row>
    <row r="353">
      <c r="D353" s="18"/>
    </row>
    <row r="354">
      <c r="D354" s="18"/>
    </row>
    <row r="355">
      <c r="D355" s="18"/>
    </row>
    <row r="356">
      <c r="D356" s="18"/>
    </row>
    <row r="357">
      <c r="D357" s="18"/>
    </row>
    <row r="358">
      <c r="D358" s="18"/>
    </row>
    <row r="359">
      <c r="D359" s="18"/>
    </row>
    <row r="360">
      <c r="D360" s="18"/>
    </row>
    <row r="361">
      <c r="D361" s="18"/>
    </row>
    <row r="362">
      <c r="D362" s="18"/>
    </row>
    <row r="363">
      <c r="D363" s="18"/>
    </row>
    <row r="364">
      <c r="D364" s="18"/>
    </row>
    <row r="365">
      <c r="D365" s="18"/>
    </row>
    <row r="366">
      <c r="D366" s="18"/>
    </row>
    <row r="367">
      <c r="D367" s="18"/>
    </row>
    <row r="368">
      <c r="D368" s="18"/>
    </row>
    <row r="369">
      <c r="D369" s="18"/>
    </row>
    <row r="370">
      <c r="D370" s="18"/>
    </row>
    <row r="371">
      <c r="D371" s="18"/>
    </row>
    <row r="372">
      <c r="D372" s="18"/>
    </row>
    <row r="373">
      <c r="D373" s="18"/>
    </row>
    <row r="374">
      <c r="D374" s="18"/>
    </row>
    <row r="375">
      <c r="D375" s="18"/>
    </row>
    <row r="376">
      <c r="D376" s="18"/>
    </row>
    <row r="377">
      <c r="D377" s="18"/>
    </row>
    <row r="378">
      <c r="D378" s="18"/>
    </row>
    <row r="379">
      <c r="D379" s="18"/>
    </row>
    <row r="380">
      <c r="D380" s="18"/>
    </row>
    <row r="381">
      <c r="D381" s="18"/>
    </row>
    <row r="382">
      <c r="D382" s="18"/>
    </row>
    <row r="383">
      <c r="D383" s="18"/>
    </row>
    <row r="384">
      <c r="D384" s="18"/>
    </row>
    <row r="385">
      <c r="D385" s="18"/>
    </row>
    <row r="386">
      <c r="D386" s="18"/>
    </row>
    <row r="387">
      <c r="D387" s="18"/>
    </row>
    <row r="388">
      <c r="D388" s="18"/>
    </row>
    <row r="389">
      <c r="D389" s="18"/>
    </row>
    <row r="390">
      <c r="D390" s="18"/>
    </row>
    <row r="391">
      <c r="D391" s="18"/>
    </row>
    <row r="392">
      <c r="D392" s="18"/>
    </row>
    <row r="393">
      <c r="D393" s="18"/>
    </row>
    <row r="394">
      <c r="D394" s="18"/>
    </row>
    <row r="395">
      <c r="D395" s="18"/>
    </row>
    <row r="396">
      <c r="D396" s="18"/>
    </row>
    <row r="397">
      <c r="D397" s="18"/>
    </row>
    <row r="398">
      <c r="D398" s="18"/>
    </row>
    <row r="399">
      <c r="D399" s="18"/>
    </row>
    <row r="400">
      <c r="D400" s="18"/>
    </row>
    <row r="401">
      <c r="D401" s="18"/>
    </row>
    <row r="402">
      <c r="D402" s="18"/>
    </row>
    <row r="403">
      <c r="D403" s="18"/>
    </row>
    <row r="404">
      <c r="D404" s="18"/>
    </row>
    <row r="405">
      <c r="D405" s="18"/>
    </row>
    <row r="406">
      <c r="D406" s="18"/>
    </row>
    <row r="407">
      <c r="D407" s="18"/>
    </row>
    <row r="408">
      <c r="D408" s="18"/>
    </row>
    <row r="409">
      <c r="D409" s="18"/>
    </row>
    <row r="410">
      <c r="D410" s="18"/>
    </row>
    <row r="411">
      <c r="D411" s="18"/>
    </row>
    <row r="412">
      <c r="D412" s="18"/>
    </row>
    <row r="413">
      <c r="D413" s="18"/>
    </row>
    <row r="414">
      <c r="D414" s="18"/>
    </row>
    <row r="415">
      <c r="D415" s="18"/>
    </row>
    <row r="416">
      <c r="D416" s="18"/>
    </row>
    <row r="417">
      <c r="D417" s="18"/>
    </row>
    <row r="418">
      <c r="D418" s="18"/>
    </row>
    <row r="419">
      <c r="D419" s="18"/>
    </row>
    <row r="420">
      <c r="D420" s="18"/>
    </row>
    <row r="421">
      <c r="D421" s="18"/>
    </row>
    <row r="422">
      <c r="D422" s="18"/>
    </row>
    <row r="423">
      <c r="D423" s="18"/>
    </row>
    <row r="424">
      <c r="D424" s="18"/>
    </row>
    <row r="425">
      <c r="D425" s="18"/>
    </row>
    <row r="426">
      <c r="D426" s="18"/>
    </row>
    <row r="427">
      <c r="D427" s="18"/>
    </row>
    <row r="428">
      <c r="D428" s="18"/>
    </row>
    <row r="429">
      <c r="D429" s="18"/>
    </row>
    <row r="430">
      <c r="D430" s="18"/>
    </row>
    <row r="431">
      <c r="D431" s="18"/>
    </row>
    <row r="432">
      <c r="D432" s="18"/>
    </row>
    <row r="433">
      <c r="D433" s="18"/>
    </row>
    <row r="434">
      <c r="D434" s="18"/>
    </row>
    <row r="435">
      <c r="D435" s="18"/>
    </row>
    <row r="436">
      <c r="D436" s="18"/>
    </row>
    <row r="437">
      <c r="D437" s="18"/>
    </row>
    <row r="438">
      <c r="D438" s="18"/>
    </row>
    <row r="439">
      <c r="D439" s="18"/>
    </row>
    <row r="440">
      <c r="D440" s="18"/>
    </row>
    <row r="441">
      <c r="D441" s="18"/>
    </row>
    <row r="442">
      <c r="D442" s="18"/>
    </row>
    <row r="443">
      <c r="D443" s="18"/>
    </row>
    <row r="444">
      <c r="D444" s="18"/>
    </row>
    <row r="445">
      <c r="D445" s="18"/>
    </row>
    <row r="446">
      <c r="D446" s="18"/>
    </row>
    <row r="447">
      <c r="D447" s="18"/>
    </row>
    <row r="448">
      <c r="D448" s="18"/>
    </row>
    <row r="449">
      <c r="D449" s="18"/>
    </row>
    <row r="450">
      <c r="D450" s="18"/>
    </row>
    <row r="451">
      <c r="D451" s="18"/>
    </row>
    <row r="452">
      <c r="D452" s="18"/>
    </row>
    <row r="453">
      <c r="D453" s="18"/>
    </row>
    <row r="454">
      <c r="D454" s="18"/>
    </row>
    <row r="455">
      <c r="D455" s="18"/>
    </row>
    <row r="456">
      <c r="D456" s="18"/>
    </row>
    <row r="457">
      <c r="D457" s="18"/>
    </row>
    <row r="458">
      <c r="D458" s="18"/>
    </row>
    <row r="459">
      <c r="D459" s="18"/>
    </row>
    <row r="460">
      <c r="D460" s="18"/>
    </row>
    <row r="461">
      <c r="D461" s="18"/>
    </row>
    <row r="462">
      <c r="D462" s="18"/>
    </row>
    <row r="463">
      <c r="D463" s="18"/>
    </row>
    <row r="464">
      <c r="D464" s="18"/>
    </row>
    <row r="465">
      <c r="D465" s="18"/>
    </row>
    <row r="466">
      <c r="D466" s="18"/>
    </row>
    <row r="467">
      <c r="D467" s="18"/>
    </row>
    <row r="468">
      <c r="D468" s="18"/>
    </row>
    <row r="469">
      <c r="D469" s="18"/>
    </row>
    <row r="470">
      <c r="D470" s="18"/>
    </row>
    <row r="471">
      <c r="D471" s="18"/>
    </row>
    <row r="472">
      <c r="D472" s="18"/>
    </row>
    <row r="473">
      <c r="D473" s="18"/>
    </row>
    <row r="474">
      <c r="D474" s="18"/>
    </row>
    <row r="475">
      <c r="D475" s="18"/>
    </row>
    <row r="476">
      <c r="D476" s="18"/>
    </row>
    <row r="477">
      <c r="D477" s="18"/>
    </row>
    <row r="478">
      <c r="D478" s="18"/>
    </row>
    <row r="479">
      <c r="D479" s="18"/>
    </row>
    <row r="480">
      <c r="D480" s="18"/>
    </row>
    <row r="481">
      <c r="D481" s="18"/>
    </row>
    <row r="482">
      <c r="D482" s="18"/>
    </row>
    <row r="483">
      <c r="D483" s="18"/>
    </row>
    <row r="484">
      <c r="D484" s="18"/>
    </row>
    <row r="485">
      <c r="D485" s="18"/>
    </row>
    <row r="486">
      <c r="D486" s="18"/>
    </row>
    <row r="487">
      <c r="D487" s="18"/>
    </row>
    <row r="488">
      <c r="D488" s="18"/>
    </row>
    <row r="489">
      <c r="D489" s="18"/>
    </row>
    <row r="490">
      <c r="D490" s="18"/>
    </row>
    <row r="491">
      <c r="D491" s="18"/>
    </row>
    <row r="492">
      <c r="D492" s="18"/>
    </row>
    <row r="493">
      <c r="D493" s="18"/>
    </row>
    <row r="494">
      <c r="D494" s="18"/>
    </row>
    <row r="495">
      <c r="D495" s="18"/>
    </row>
    <row r="496">
      <c r="D496" s="18"/>
    </row>
    <row r="497">
      <c r="D497" s="18"/>
    </row>
    <row r="498">
      <c r="D498" s="18"/>
    </row>
    <row r="499">
      <c r="D499" s="18"/>
    </row>
    <row r="500">
      <c r="D500" s="18"/>
    </row>
    <row r="501">
      <c r="D501" s="18"/>
    </row>
    <row r="502">
      <c r="D502" s="18"/>
    </row>
    <row r="503">
      <c r="D503" s="18"/>
    </row>
    <row r="504">
      <c r="D504" s="18"/>
    </row>
    <row r="505">
      <c r="D505" s="18"/>
    </row>
    <row r="506">
      <c r="D506" s="18"/>
    </row>
    <row r="507">
      <c r="D507" s="18"/>
    </row>
    <row r="508">
      <c r="D508" s="18"/>
    </row>
    <row r="509">
      <c r="D509" s="18"/>
    </row>
    <row r="510">
      <c r="D510" s="18"/>
    </row>
    <row r="511">
      <c r="D511" s="18"/>
    </row>
    <row r="512">
      <c r="D512" s="18"/>
    </row>
    <row r="513">
      <c r="D513" s="18"/>
    </row>
    <row r="514">
      <c r="D514" s="18"/>
    </row>
    <row r="515">
      <c r="D515" s="18"/>
    </row>
    <row r="516">
      <c r="D516" s="18"/>
    </row>
    <row r="517">
      <c r="D517" s="18"/>
    </row>
    <row r="518">
      <c r="D518" s="18"/>
    </row>
    <row r="519">
      <c r="D519" s="18"/>
    </row>
    <row r="520">
      <c r="D520" s="18"/>
    </row>
    <row r="521">
      <c r="D521" s="18"/>
    </row>
    <row r="522">
      <c r="D522" s="18"/>
    </row>
    <row r="523">
      <c r="D523" s="18"/>
    </row>
    <row r="524">
      <c r="D524" s="18"/>
    </row>
    <row r="525">
      <c r="D525" s="18"/>
    </row>
    <row r="526">
      <c r="D526" s="18"/>
    </row>
    <row r="527">
      <c r="D527" s="18"/>
    </row>
    <row r="528">
      <c r="D528" s="18"/>
    </row>
    <row r="529">
      <c r="D529" s="18"/>
    </row>
    <row r="530">
      <c r="D530" s="18"/>
    </row>
    <row r="531">
      <c r="D531" s="18"/>
    </row>
    <row r="532">
      <c r="D532" s="18"/>
    </row>
    <row r="533">
      <c r="D533" s="18"/>
    </row>
    <row r="534">
      <c r="D534" s="18"/>
    </row>
    <row r="535">
      <c r="D535" s="18"/>
    </row>
    <row r="536">
      <c r="D536" s="18"/>
    </row>
    <row r="537">
      <c r="D537" s="18"/>
    </row>
    <row r="538">
      <c r="D538" s="18"/>
    </row>
    <row r="539">
      <c r="D539" s="18"/>
    </row>
    <row r="540">
      <c r="D540" s="18"/>
    </row>
    <row r="541">
      <c r="D541" s="18"/>
    </row>
    <row r="542">
      <c r="D542" s="18"/>
    </row>
    <row r="543">
      <c r="D543" s="18"/>
    </row>
    <row r="544">
      <c r="D544" s="18"/>
    </row>
    <row r="545">
      <c r="D545" s="18"/>
    </row>
    <row r="546">
      <c r="D546" s="18"/>
    </row>
    <row r="547">
      <c r="D547" s="18"/>
    </row>
    <row r="548">
      <c r="D548" s="18"/>
    </row>
    <row r="549">
      <c r="D549" s="18"/>
    </row>
    <row r="550">
      <c r="D550" s="18"/>
    </row>
    <row r="551">
      <c r="D551" s="18"/>
    </row>
    <row r="552">
      <c r="D552" s="18"/>
    </row>
    <row r="553">
      <c r="D553" s="18"/>
    </row>
    <row r="554">
      <c r="D554" s="18"/>
    </row>
    <row r="555">
      <c r="D555" s="18"/>
    </row>
    <row r="556">
      <c r="D556" s="18"/>
    </row>
    <row r="557">
      <c r="D557" s="18"/>
    </row>
    <row r="558">
      <c r="D558" s="18"/>
    </row>
    <row r="559">
      <c r="D559" s="18"/>
    </row>
    <row r="560">
      <c r="D560" s="18"/>
    </row>
    <row r="561">
      <c r="D561" s="18"/>
    </row>
    <row r="562">
      <c r="D562" s="18"/>
    </row>
    <row r="563">
      <c r="D563" s="18"/>
    </row>
    <row r="564">
      <c r="D564" s="18"/>
    </row>
    <row r="565">
      <c r="D565" s="18"/>
    </row>
    <row r="566">
      <c r="D566" s="18"/>
    </row>
    <row r="567">
      <c r="D567" s="18"/>
    </row>
    <row r="568">
      <c r="D568" s="18"/>
    </row>
    <row r="569">
      <c r="D569" s="18"/>
    </row>
    <row r="570">
      <c r="D570" s="18"/>
    </row>
    <row r="571">
      <c r="D571" s="18"/>
    </row>
    <row r="572">
      <c r="D572" s="18"/>
    </row>
    <row r="573">
      <c r="D573" s="18"/>
    </row>
    <row r="574">
      <c r="D574" s="18"/>
    </row>
    <row r="575">
      <c r="D575" s="18"/>
    </row>
    <row r="576">
      <c r="D576" s="18"/>
    </row>
    <row r="577">
      <c r="D577" s="18"/>
    </row>
    <row r="578">
      <c r="D578" s="18"/>
    </row>
    <row r="579">
      <c r="D579" s="18"/>
    </row>
    <row r="580">
      <c r="D580" s="18"/>
    </row>
    <row r="581">
      <c r="D581" s="18"/>
    </row>
    <row r="582">
      <c r="D582" s="18"/>
    </row>
    <row r="583">
      <c r="D583" s="18"/>
    </row>
    <row r="584">
      <c r="D584" s="18"/>
    </row>
    <row r="585">
      <c r="D585" s="18"/>
    </row>
    <row r="586">
      <c r="D586" s="18"/>
    </row>
    <row r="587">
      <c r="D587" s="18"/>
    </row>
    <row r="588">
      <c r="D588" s="18"/>
    </row>
    <row r="589">
      <c r="D589" s="18"/>
    </row>
    <row r="590">
      <c r="D590" s="18"/>
    </row>
    <row r="591">
      <c r="D591" s="18"/>
    </row>
    <row r="592">
      <c r="D592" s="18"/>
    </row>
    <row r="593">
      <c r="D593" s="18"/>
    </row>
    <row r="594">
      <c r="D594" s="18"/>
    </row>
    <row r="595">
      <c r="D595" s="18"/>
    </row>
    <row r="596">
      <c r="D596" s="18"/>
    </row>
    <row r="597">
      <c r="D597" s="18"/>
    </row>
    <row r="598">
      <c r="D598" s="18"/>
    </row>
    <row r="599">
      <c r="D599" s="18"/>
    </row>
    <row r="600">
      <c r="D600" s="18"/>
    </row>
    <row r="601">
      <c r="D601" s="18"/>
    </row>
    <row r="602">
      <c r="D602" s="18"/>
    </row>
    <row r="603">
      <c r="D603" s="18"/>
    </row>
    <row r="604">
      <c r="D604" s="18"/>
    </row>
    <row r="605">
      <c r="D605" s="18"/>
    </row>
    <row r="606">
      <c r="D606" s="18"/>
    </row>
    <row r="607">
      <c r="D607" s="18"/>
    </row>
    <row r="608">
      <c r="D608" s="18"/>
    </row>
    <row r="609">
      <c r="D609" s="18"/>
    </row>
    <row r="610">
      <c r="D610" s="18"/>
    </row>
    <row r="611">
      <c r="D611" s="18"/>
    </row>
    <row r="612">
      <c r="D612" s="18"/>
    </row>
    <row r="613">
      <c r="D613" s="18"/>
    </row>
    <row r="614">
      <c r="D614" s="18"/>
    </row>
    <row r="615">
      <c r="D615" s="18"/>
    </row>
    <row r="616">
      <c r="D616" s="18"/>
    </row>
    <row r="617">
      <c r="D617" s="18"/>
    </row>
    <row r="618">
      <c r="D618" s="18"/>
    </row>
    <row r="619">
      <c r="D619" s="18"/>
    </row>
    <row r="620">
      <c r="D620" s="18"/>
    </row>
    <row r="621">
      <c r="D621" s="18"/>
    </row>
    <row r="622">
      <c r="D622" s="18"/>
    </row>
    <row r="623">
      <c r="D623" s="18"/>
    </row>
    <row r="624">
      <c r="D624" s="18"/>
    </row>
    <row r="625">
      <c r="D625" s="18"/>
    </row>
    <row r="626">
      <c r="D626" s="18"/>
    </row>
    <row r="627">
      <c r="D627" s="18"/>
    </row>
    <row r="628">
      <c r="D628" s="18"/>
    </row>
    <row r="629">
      <c r="D629" s="18"/>
    </row>
    <row r="630">
      <c r="D630" s="18"/>
    </row>
    <row r="631">
      <c r="D631" s="18"/>
    </row>
    <row r="632">
      <c r="D632" s="18"/>
    </row>
    <row r="633">
      <c r="D633" s="18"/>
    </row>
    <row r="634">
      <c r="D634" s="18"/>
    </row>
    <row r="635">
      <c r="D635" s="18"/>
    </row>
    <row r="636">
      <c r="D636" s="18"/>
    </row>
    <row r="637">
      <c r="D637" s="18"/>
    </row>
    <row r="638">
      <c r="D638" s="18"/>
    </row>
    <row r="639">
      <c r="D639" s="18"/>
    </row>
    <row r="640">
      <c r="D640" s="18"/>
    </row>
    <row r="641">
      <c r="D641" s="18"/>
    </row>
    <row r="642">
      <c r="D642" s="18"/>
    </row>
    <row r="643">
      <c r="D643" s="18"/>
    </row>
    <row r="644">
      <c r="D644" s="18"/>
    </row>
    <row r="645">
      <c r="D645" s="18"/>
    </row>
    <row r="646">
      <c r="D646" s="18"/>
    </row>
    <row r="647">
      <c r="D647" s="18"/>
    </row>
    <row r="648">
      <c r="D648" s="18"/>
    </row>
    <row r="649">
      <c r="D649" s="18"/>
    </row>
    <row r="650">
      <c r="D650" s="18"/>
    </row>
    <row r="651">
      <c r="D651" s="18"/>
    </row>
    <row r="652">
      <c r="D652" s="18"/>
    </row>
    <row r="653">
      <c r="D653" s="18"/>
    </row>
    <row r="654">
      <c r="D654" s="18"/>
    </row>
    <row r="655">
      <c r="D655" s="18"/>
    </row>
    <row r="656">
      <c r="D656" s="18"/>
    </row>
    <row r="657">
      <c r="D657" s="18"/>
    </row>
    <row r="658">
      <c r="D658" s="18"/>
    </row>
    <row r="659">
      <c r="D659" s="18"/>
    </row>
    <row r="660">
      <c r="D660" s="18"/>
    </row>
    <row r="661">
      <c r="D661" s="18"/>
    </row>
    <row r="662">
      <c r="D662" s="18"/>
    </row>
    <row r="663">
      <c r="D663" s="18"/>
    </row>
    <row r="664">
      <c r="D664" s="18"/>
    </row>
    <row r="665">
      <c r="D665" s="18"/>
    </row>
    <row r="666">
      <c r="D666" s="18"/>
    </row>
    <row r="667">
      <c r="D667" s="18"/>
    </row>
    <row r="668">
      <c r="D668" s="18"/>
    </row>
    <row r="669">
      <c r="D669" s="18"/>
    </row>
    <row r="670">
      <c r="D670" s="18"/>
    </row>
    <row r="671">
      <c r="D671" s="18"/>
    </row>
    <row r="672">
      <c r="D672" s="18"/>
    </row>
    <row r="673">
      <c r="D673" s="18"/>
    </row>
    <row r="674">
      <c r="D674" s="18"/>
    </row>
    <row r="675">
      <c r="D675" s="18"/>
    </row>
    <row r="676">
      <c r="D676" s="18"/>
    </row>
    <row r="677">
      <c r="D677" s="18"/>
    </row>
    <row r="678">
      <c r="D678" s="18"/>
    </row>
    <row r="679">
      <c r="D679" s="18"/>
    </row>
    <row r="680">
      <c r="D680" s="18"/>
    </row>
    <row r="681">
      <c r="D681" s="18"/>
    </row>
    <row r="682">
      <c r="D682" s="18"/>
    </row>
    <row r="683">
      <c r="D683" s="18"/>
    </row>
    <row r="684">
      <c r="D684" s="18"/>
    </row>
    <row r="685">
      <c r="D685" s="18"/>
    </row>
    <row r="686">
      <c r="D686" s="18"/>
    </row>
    <row r="687">
      <c r="D687" s="18"/>
    </row>
    <row r="688">
      <c r="D688" s="18"/>
    </row>
    <row r="689">
      <c r="D689" s="18"/>
    </row>
    <row r="690">
      <c r="D690" s="18"/>
    </row>
    <row r="691">
      <c r="D691" s="18"/>
    </row>
    <row r="692">
      <c r="D692" s="18"/>
    </row>
    <row r="693">
      <c r="D693" s="18"/>
    </row>
    <row r="694">
      <c r="D694" s="18"/>
    </row>
    <row r="695">
      <c r="D695" s="18"/>
    </row>
    <row r="696">
      <c r="D696" s="18"/>
    </row>
    <row r="697">
      <c r="D697" s="18"/>
    </row>
    <row r="698">
      <c r="D698" s="18"/>
    </row>
    <row r="699">
      <c r="D699" s="18"/>
    </row>
    <row r="700">
      <c r="D700" s="18"/>
    </row>
    <row r="701">
      <c r="D701" s="18"/>
    </row>
    <row r="702">
      <c r="D702" s="18"/>
    </row>
    <row r="703">
      <c r="D703" s="18"/>
    </row>
    <row r="704">
      <c r="D704" s="18"/>
    </row>
    <row r="705">
      <c r="D705" s="18"/>
    </row>
    <row r="706">
      <c r="D706" s="18"/>
    </row>
    <row r="707">
      <c r="D707" s="18"/>
    </row>
    <row r="708">
      <c r="D708" s="18"/>
    </row>
    <row r="709">
      <c r="D709" s="18"/>
    </row>
    <row r="710">
      <c r="D710" s="18"/>
    </row>
    <row r="711">
      <c r="D711" s="18"/>
    </row>
    <row r="712">
      <c r="D712" s="18"/>
    </row>
    <row r="713">
      <c r="D713" s="18"/>
    </row>
    <row r="714">
      <c r="D714" s="18"/>
    </row>
    <row r="715">
      <c r="D715" s="18"/>
    </row>
    <row r="716">
      <c r="D716" s="18"/>
    </row>
    <row r="717">
      <c r="D717" s="18"/>
    </row>
    <row r="718">
      <c r="D718" s="18"/>
    </row>
    <row r="719">
      <c r="D719" s="18"/>
    </row>
    <row r="720">
      <c r="D720" s="18"/>
    </row>
    <row r="721">
      <c r="D721" s="18"/>
    </row>
    <row r="722">
      <c r="D722" s="18"/>
    </row>
    <row r="723">
      <c r="D723" s="18"/>
    </row>
    <row r="724">
      <c r="D724" s="18"/>
    </row>
    <row r="725">
      <c r="D725" s="18"/>
    </row>
    <row r="726">
      <c r="D726" s="18"/>
    </row>
    <row r="727">
      <c r="D727" s="18"/>
    </row>
    <row r="728">
      <c r="D728" s="18"/>
    </row>
    <row r="729">
      <c r="D729" s="18"/>
    </row>
    <row r="730">
      <c r="D730" s="18"/>
    </row>
    <row r="731">
      <c r="D731" s="18"/>
    </row>
    <row r="732">
      <c r="D732" s="18"/>
    </row>
    <row r="733">
      <c r="D733" s="18"/>
    </row>
    <row r="734">
      <c r="D734" s="18"/>
    </row>
    <row r="735">
      <c r="D735" s="18"/>
    </row>
    <row r="736">
      <c r="D736" s="18"/>
    </row>
    <row r="737">
      <c r="D737" s="18"/>
    </row>
    <row r="738">
      <c r="D738" s="18"/>
    </row>
    <row r="739">
      <c r="D739" s="18"/>
    </row>
    <row r="740">
      <c r="D740" s="18"/>
    </row>
    <row r="741">
      <c r="D741" s="18"/>
    </row>
    <row r="742">
      <c r="D742" s="18"/>
    </row>
    <row r="743">
      <c r="D743" s="18"/>
    </row>
    <row r="744">
      <c r="D744" s="18"/>
    </row>
    <row r="745">
      <c r="D745" s="18"/>
    </row>
    <row r="746">
      <c r="D746" s="18"/>
    </row>
    <row r="747">
      <c r="D747" s="18"/>
    </row>
    <row r="748">
      <c r="D748" s="18"/>
    </row>
    <row r="749">
      <c r="D749" s="18"/>
    </row>
    <row r="750">
      <c r="D750" s="18"/>
    </row>
    <row r="751">
      <c r="D751" s="18"/>
    </row>
    <row r="752">
      <c r="D752" s="18"/>
    </row>
    <row r="753">
      <c r="D753" s="18"/>
    </row>
    <row r="754">
      <c r="D754" s="18"/>
    </row>
    <row r="755">
      <c r="D755" s="18"/>
    </row>
    <row r="756">
      <c r="D756" s="18"/>
    </row>
    <row r="757">
      <c r="D757" s="18"/>
    </row>
    <row r="758">
      <c r="D758" s="18"/>
    </row>
    <row r="759">
      <c r="D759" s="18"/>
    </row>
    <row r="760">
      <c r="D760" s="18"/>
    </row>
    <row r="761">
      <c r="D761" s="18"/>
    </row>
    <row r="762">
      <c r="D762" s="18"/>
    </row>
    <row r="763">
      <c r="D763" s="18"/>
    </row>
    <row r="764">
      <c r="D764" s="18"/>
    </row>
    <row r="765">
      <c r="D765" s="18"/>
    </row>
    <row r="766">
      <c r="D766" s="18"/>
    </row>
    <row r="767">
      <c r="D767" s="18"/>
    </row>
    <row r="768">
      <c r="D768" s="18"/>
    </row>
    <row r="769">
      <c r="D769" s="18"/>
    </row>
    <row r="770">
      <c r="D770" s="18"/>
    </row>
    <row r="771">
      <c r="D771" s="18"/>
    </row>
    <row r="772">
      <c r="D772" s="18"/>
    </row>
    <row r="773">
      <c r="D773" s="18"/>
    </row>
    <row r="774">
      <c r="D774" s="18"/>
    </row>
    <row r="775">
      <c r="D775" s="18"/>
    </row>
    <row r="776">
      <c r="D776" s="18"/>
    </row>
    <row r="777">
      <c r="D777" s="18"/>
    </row>
    <row r="778">
      <c r="D778" s="18"/>
    </row>
    <row r="779">
      <c r="D779" s="18"/>
    </row>
    <row r="780">
      <c r="D780" s="18"/>
    </row>
    <row r="781">
      <c r="D781" s="18"/>
    </row>
    <row r="782">
      <c r="D782" s="18"/>
    </row>
    <row r="783">
      <c r="D783" s="18"/>
    </row>
    <row r="784">
      <c r="D784" s="18"/>
    </row>
    <row r="785">
      <c r="D785" s="18"/>
    </row>
    <row r="786">
      <c r="D786" s="18"/>
    </row>
    <row r="787">
      <c r="D787" s="18"/>
    </row>
    <row r="788">
      <c r="D788" s="18"/>
    </row>
    <row r="789">
      <c r="D789" s="18"/>
    </row>
    <row r="790">
      <c r="D790" s="18"/>
    </row>
    <row r="791">
      <c r="D791" s="18"/>
    </row>
    <row r="792">
      <c r="D792" s="18"/>
    </row>
    <row r="793">
      <c r="D793" s="18"/>
    </row>
    <row r="794">
      <c r="D794" s="18"/>
    </row>
    <row r="795">
      <c r="D795" s="18"/>
    </row>
    <row r="796">
      <c r="D796" s="18"/>
    </row>
    <row r="797">
      <c r="D797" s="18"/>
    </row>
    <row r="798">
      <c r="D798" s="18"/>
    </row>
    <row r="799">
      <c r="D799" s="18"/>
    </row>
    <row r="800">
      <c r="D800" s="18"/>
    </row>
    <row r="801">
      <c r="D801" s="18"/>
    </row>
    <row r="802">
      <c r="D802" s="18"/>
    </row>
    <row r="803">
      <c r="D803" s="18"/>
    </row>
    <row r="804">
      <c r="D804" s="18"/>
    </row>
    <row r="805">
      <c r="D805" s="18"/>
    </row>
    <row r="806">
      <c r="D806" s="18"/>
    </row>
    <row r="807">
      <c r="D807" s="18"/>
    </row>
    <row r="808">
      <c r="D808" s="18"/>
    </row>
    <row r="809">
      <c r="D809" s="18"/>
    </row>
    <row r="810">
      <c r="D810" s="18"/>
    </row>
    <row r="811">
      <c r="D811" s="18"/>
    </row>
    <row r="812">
      <c r="D812" s="18"/>
    </row>
    <row r="813">
      <c r="D813" s="18"/>
    </row>
    <row r="814">
      <c r="D814" s="18"/>
    </row>
    <row r="815">
      <c r="D815" s="18"/>
    </row>
    <row r="816">
      <c r="D816" s="18"/>
    </row>
    <row r="817">
      <c r="D817" s="18"/>
    </row>
    <row r="818">
      <c r="D818" s="18"/>
    </row>
    <row r="819">
      <c r="D819" s="18"/>
    </row>
    <row r="820">
      <c r="D820" s="18"/>
    </row>
    <row r="821">
      <c r="D821" s="18"/>
    </row>
    <row r="822">
      <c r="D822" s="18"/>
    </row>
    <row r="823">
      <c r="D823" s="18"/>
    </row>
    <row r="824">
      <c r="D824" s="18"/>
    </row>
    <row r="825">
      <c r="D825" s="18"/>
    </row>
    <row r="826">
      <c r="D826" s="18"/>
    </row>
    <row r="827">
      <c r="D827" s="18"/>
    </row>
    <row r="828">
      <c r="D828" s="18"/>
    </row>
    <row r="829">
      <c r="D829" s="18"/>
    </row>
    <row r="830">
      <c r="D830" s="18"/>
    </row>
    <row r="831">
      <c r="D831" s="18"/>
    </row>
    <row r="832">
      <c r="D832" s="18"/>
    </row>
    <row r="833">
      <c r="D833" s="18"/>
    </row>
    <row r="834">
      <c r="D834" s="18"/>
    </row>
    <row r="835">
      <c r="D835" s="18"/>
    </row>
    <row r="836">
      <c r="D836" s="18"/>
    </row>
    <row r="837">
      <c r="D837" s="18"/>
    </row>
    <row r="838">
      <c r="D838" s="18"/>
    </row>
    <row r="839">
      <c r="D839" s="18"/>
    </row>
    <row r="840">
      <c r="D840" s="18"/>
    </row>
    <row r="841">
      <c r="D841" s="18"/>
    </row>
    <row r="842">
      <c r="D842" s="18"/>
    </row>
    <row r="843">
      <c r="D843" s="18"/>
    </row>
    <row r="844">
      <c r="D844" s="18"/>
    </row>
    <row r="845">
      <c r="D845" s="18"/>
    </row>
    <row r="846">
      <c r="D846" s="18"/>
    </row>
    <row r="847">
      <c r="D847" s="18"/>
    </row>
    <row r="848">
      <c r="D848" s="18"/>
    </row>
    <row r="849">
      <c r="D849" s="18"/>
    </row>
    <row r="850">
      <c r="D850" s="18"/>
    </row>
    <row r="851">
      <c r="D851" s="18"/>
    </row>
    <row r="852">
      <c r="D852" s="18"/>
    </row>
    <row r="853">
      <c r="D853" s="18"/>
    </row>
    <row r="854">
      <c r="D854" s="18"/>
    </row>
    <row r="855">
      <c r="D855" s="18"/>
    </row>
    <row r="856">
      <c r="D856" s="18"/>
    </row>
    <row r="857">
      <c r="D857" s="18"/>
    </row>
    <row r="858">
      <c r="D858" s="18"/>
    </row>
    <row r="859">
      <c r="D859" s="18"/>
    </row>
    <row r="860">
      <c r="D860" s="18"/>
    </row>
    <row r="861">
      <c r="D861" s="18"/>
    </row>
    <row r="862">
      <c r="D862" s="18"/>
    </row>
    <row r="863">
      <c r="D863" s="18"/>
    </row>
    <row r="864">
      <c r="D864" s="18"/>
    </row>
    <row r="865">
      <c r="D865" s="18"/>
    </row>
    <row r="866">
      <c r="D866" s="18"/>
    </row>
    <row r="867">
      <c r="D867" s="18"/>
    </row>
    <row r="868">
      <c r="D868" s="18"/>
    </row>
    <row r="869">
      <c r="D869" s="18"/>
    </row>
    <row r="870">
      <c r="D870" s="18"/>
    </row>
    <row r="871">
      <c r="D871" s="18"/>
    </row>
    <row r="872">
      <c r="D872" s="18"/>
    </row>
    <row r="873">
      <c r="D873" s="18"/>
    </row>
    <row r="874">
      <c r="D874" s="18"/>
    </row>
    <row r="875">
      <c r="D875" s="18"/>
    </row>
    <row r="876">
      <c r="D876" s="18"/>
    </row>
    <row r="877">
      <c r="D877" s="18"/>
    </row>
    <row r="878">
      <c r="D878" s="18"/>
    </row>
    <row r="879">
      <c r="D879" s="18"/>
    </row>
    <row r="880">
      <c r="D880" s="18"/>
    </row>
    <row r="881">
      <c r="D881" s="18"/>
    </row>
    <row r="882">
      <c r="D882" s="18"/>
    </row>
    <row r="883">
      <c r="D883" s="18"/>
    </row>
    <row r="884">
      <c r="D884" s="18"/>
    </row>
    <row r="885">
      <c r="D885" s="18"/>
    </row>
    <row r="886">
      <c r="D886" s="18"/>
    </row>
    <row r="887">
      <c r="D887" s="18"/>
    </row>
    <row r="888">
      <c r="D888" s="18"/>
    </row>
    <row r="889">
      <c r="D889" s="18"/>
    </row>
    <row r="890">
      <c r="D890" s="18"/>
    </row>
    <row r="891">
      <c r="D891" s="18"/>
    </row>
    <row r="892">
      <c r="D892" s="18"/>
    </row>
    <row r="893">
      <c r="D893" s="18"/>
    </row>
    <row r="894">
      <c r="D894" s="18"/>
    </row>
    <row r="895">
      <c r="D895" s="18"/>
    </row>
    <row r="896">
      <c r="D896" s="18"/>
    </row>
    <row r="897">
      <c r="D897" s="18"/>
    </row>
    <row r="898">
      <c r="D898" s="18"/>
    </row>
    <row r="899">
      <c r="D899" s="18"/>
    </row>
    <row r="900">
      <c r="D900" s="18"/>
    </row>
    <row r="901">
      <c r="D901" s="18"/>
    </row>
    <row r="902">
      <c r="D902" s="18"/>
    </row>
    <row r="903">
      <c r="D903" s="18"/>
    </row>
    <row r="904">
      <c r="D904" s="18"/>
    </row>
    <row r="905">
      <c r="D905" s="18"/>
    </row>
    <row r="906">
      <c r="D906" s="18"/>
    </row>
    <row r="907">
      <c r="D907" s="18"/>
    </row>
    <row r="908">
      <c r="D908" s="18"/>
    </row>
    <row r="909">
      <c r="D909" s="18"/>
    </row>
    <row r="910">
      <c r="D910" s="18"/>
    </row>
    <row r="911">
      <c r="D911" s="18"/>
    </row>
    <row r="912">
      <c r="D912" s="18"/>
    </row>
    <row r="913">
      <c r="D913" s="18"/>
    </row>
    <row r="914">
      <c r="D914" s="18"/>
    </row>
    <row r="915">
      <c r="D915" s="18"/>
    </row>
    <row r="916">
      <c r="D916" s="18"/>
    </row>
    <row r="917">
      <c r="D917" s="18"/>
    </row>
    <row r="918">
      <c r="D918" s="18"/>
    </row>
    <row r="919">
      <c r="D919" s="18"/>
    </row>
    <row r="920">
      <c r="D920" s="18"/>
    </row>
    <row r="921">
      <c r="D921" s="18"/>
    </row>
    <row r="922">
      <c r="D922" s="18"/>
    </row>
    <row r="923">
      <c r="D923" s="18"/>
    </row>
    <row r="924">
      <c r="D924" s="18"/>
    </row>
    <row r="925">
      <c r="D925" s="18"/>
    </row>
    <row r="926">
      <c r="D926" s="18"/>
    </row>
    <row r="927">
      <c r="D927" s="18"/>
    </row>
    <row r="928">
      <c r="D928" s="18"/>
    </row>
    <row r="929">
      <c r="D929" s="18"/>
    </row>
    <row r="930">
      <c r="D930" s="18"/>
    </row>
    <row r="931">
      <c r="D931" s="18"/>
    </row>
    <row r="932">
      <c r="D932" s="18"/>
    </row>
    <row r="933">
      <c r="D933" s="18"/>
    </row>
    <row r="934">
      <c r="D934" s="18"/>
    </row>
    <row r="935">
      <c r="D935" s="18"/>
    </row>
    <row r="936">
      <c r="D936" s="18"/>
    </row>
    <row r="937">
      <c r="D937" s="18"/>
    </row>
    <row r="938">
      <c r="D938" s="18"/>
    </row>
    <row r="939">
      <c r="D939" s="18"/>
    </row>
    <row r="940">
      <c r="D940" s="18"/>
    </row>
    <row r="941">
      <c r="D941" s="18"/>
    </row>
    <row r="942">
      <c r="D942" s="18"/>
    </row>
    <row r="943">
      <c r="D943" s="18"/>
    </row>
    <row r="944">
      <c r="D944" s="18"/>
    </row>
    <row r="945">
      <c r="D945" s="18"/>
    </row>
    <row r="946">
      <c r="D946" s="18"/>
    </row>
    <row r="947">
      <c r="D947" s="18"/>
    </row>
    <row r="948">
      <c r="D948" s="18"/>
    </row>
    <row r="949">
      <c r="D949" s="18"/>
    </row>
    <row r="950">
      <c r="D950" s="18"/>
    </row>
    <row r="951">
      <c r="D951" s="18"/>
    </row>
    <row r="952">
      <c r="D952" s="18"/>
    </row>
    <row r="953">
      <c r="D953" s="18"/>
    </row>
    <row r="954">
      <c r="D954" s="18"/>
    </row>
    <row r="955">
      <c r="D955" s="18"/>
    </row>
    <row r="956">
      <c r="D956" s="18"/>
    </row>
    <row r="957">
      <c r="D957" s="18"/>
    </row>
    <row r="958">
      <c r="D958" s="18"/>
    </row>
    <row r="959">
      <c r="D959" s="18"/>
    </row>
    <row r="960">
      <c r="D960" s="18"/>
    </row>
    <row r="961">
      <c r="D961" s="18"/>
    </row>
    <row r="962">
      <c r="D962" s="18"/>
    </row>
    <row r="963">
      <c r="D963" s="18"/>
    </row>
    <row r="964">
      <c r="D964" s="18"/>
    </row>
    <row r="965">
      <c r="D965" s="18"/>
    </row>
    <row r="966">
      <c r="D966" s="18"/>
    </row>
    <row r="967">
      <c r="D967" s="18"/>
    </row>
    <row r="968">
      <c r="D968" s="18"/>
    </row>
    <row r="969">
      <c r="D969" s="18"/>
    </row>
    <row r="970">
      <c r="D970" s="18"/>
    </row>
    <row r="971">
      <c r="D971" s="18"/>
    </row>
    <row r="972">
      <c r="D972" s="18"/>
    </row>
    <row r="973">
      <c r="D973" s="18"/>
    </row>
    <row r="974">
      <c r="D974" s="18"/>
    </row>
    <row r="975">
      <c r="D975" s="18"/>
    </row>
    <row r="976">
      <c r="D976" s="18"/>
    </row>
    <row r="977">
      <c r="D977" s="18"/>
    </row>
    <row r="978">
      <c r="D978" s="18"/>
    </row>
    <row r="979">
      <c r="D979" s="18"/>
    </row>
    <row r="980">
      <c r="D980" s="18"/>
    </row>
    <row r="981">
      <c r="D981" s="18"/>
    </row>
    <row r="982">
      <c r="D982" s="18"/>
    </row>
    <row r="983">
      <c r="D983" s="18"/>
    </row>
    <row r="984">
      <c r="D984" s="18"/>
    </row>
    <row r="985">
      <c r="D985" s="18"/>
    </row>
    <row r="986">
      <c r="D986" s="18"/>
    </row>
    <row r="987">
      <c r="D987" s="18"/>
    </row>
    <row r="988">
      <c r="D988" s="18"/>
    </row>
    <row r="989">
      <c r="D989" s="18"/>
    </row>
    <row r="990">
      <c r="D990" s="18"/>
    </row>
    <row r="991">
      <c r="D991" s="18"/>
    </row>
    <row r="992">
      <c r="D992" s="18"/>
    </row>
    <row r="993">
      <c r="D993" s="18"/>
    </row>
    <row r="994">
      <c r="D994" s="18"/>
    </row>
    <row r="995">
      <c r="D995" s="18"/>
    </row>
    <row r="996">
      <c r="D996" s="18"/>
    </row>
    <row r="997">
      <c r="D997" s="18"/>
    </row>
    <row r="998">
      <c r="D998" s="18"/>
    </row>
    <row r="999">
      <c r="D999" s="18"/>
    </row>
    <row r="1000">
      <c r="D1000" s="18"/>
    </row>
    <row r="1001">
      <c r="D1001" s="18"/>
    </row>
    <row r="1002">
      <c r="D1002" s="18"/>
    </row>
    <row r="1003">
      <c r="D1003" s="18"/>
    </row>
    <row r="1004">
      <c r="D1004" s="18"/>
    </row>
    <row r="1005">
      <c r="D1005" s="18"/>
    </row>
    <row r="1006">
      <c r="D1006" s="18"/>
    </row>
    <row r="1007">
      <c r="D1007" s="18"/>
    </row>
    <row r="1008">
      <c r="D1008" s="18"/>
    </row>
    <row r="1009">
      <c r="D1009" s="18"/>
    </row>
    <row r="1010">
      <c r="D1010" s="18"/>
    </row>
    <row r="1011">
      <c r="D1011" s="18"/>
    </row>
    <row r="1012">
      <c r="D1012" s="18"/>
    </row>
    <row r="1013">
      <c r="D1013" s="18"/>
    </row>
    <row r="1014">
      <c r="D1014" s="18"/>
    </row>
    <row r="1015">
      <c r="D1015" s="18"/>
    </row>
    <row r="1016">
      <c r="D1016" s="18"/>
    </row>
    <row r="1017">
      <c r="D1017" s="18"/>
    </row>
    <row r="1018">
      <c r="D1018" s="18"/>
    </row>
    <row r="1019">
      <c r="D1019" s="18"/>
    </row>
    <row r="1020">
      <c r="D1020" s="18"/>
    </row>
    <row r="1021">
      <c r="D1021" s="18"/>
    </row>
  </sheetData>
  <dataValidations>
    <dataValidation type="list" allowBlank="1" sqref="B2:C2">
      <formula1>Lookups!$A$1:$A$6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47" t="s">
        <v>459</v>
      </c>
      <c r="B1" s="48" t="s">
        <v>460</v>
      </c>
      <c r="C1" s="47" t="s">
        <v>461</v>
      </c>
      <c r="D1" s="47" t="s">
        <v>462</v>
      </c>
      <c r="E1" s="47" t="s">
        <v>3</v>
      </c>
      <c r="F1" s="47" t="s">
        <v>4</v>
      </c>
      <c r="G1" s="49"/>
    </row>
    <row r="2">
      <c r="A2" s="50" t="s">
        <v>463</v>
      </c>
      <c r="B2" s="50" t="s">
        <v>464</v>
      </c>
      <c r="C2" s="51">
        <v>1.0</v>
      </c>
      <c r="D2" s="50" t="s">
        <v>465</v>
      </c>
      <c r="E2" s="52">
        <v>50.628901</v>
      </c>
      <c r="F2" s="52">
        <v>13.69133</v>
      </c>
      <c r="G2" s="49"/>
    </row>
    <row r="3">
      <c r="A3" s="50" t="s">
        <v>466</v>
      </c>
      <c r="B3" s="50" t="s">
        <v>467</v>
      </c>
      <c r="C3" s="51">
        <v>2.0</v>
      </c>
      <c r="D3" s="50" t="s">
        <v>468</v>
      </c>
      <c r="E3" s="52">
        <v>50.506127</v>
      </c>
      <c r="F3" s="52">
        <v>13.635754</v>
      </c>
      <c r="G3" s="49"/>
    </row>
    <row r="4">
      <c r="A4" s="50" t="s">
        <v>469</v>
      </c>
      <c r="B4" s="50" t="s">
        <v>470</v>
      </c>
      <c r="C4" s="51">
        <v>3.0</v>
      </c>
      <c r="D4" s="50" t="s">
        <v>468</v>
      </c>
      <c r="E4" s="52">
        <v>50.33042</v>
      </c>
      <c r="F4" s="52">
        <v>13.543579</v>
      </c>
      <c r="G4" s="49"/>
    </row>
    <row r="5">
      <c r="A5" s="50" t="s">
        <v>471</v>
      </c>
      <c r="B5" s="50" t="s">
        <v>472</v>
      </c>
      <c r="C5" s="51">
        <v>3.0</v>
      </c>
      <c r="D5" s="49"/>
      <c r="E5" s="52">
        <v>50.232453</v>
      </c>
      <c r="F5" s="52">
        <v>13.411815</v>
      </c>
      <c r="G5" s="49"/>
    </row>
    <row r="6">
      <c r="A6" s="50" t="s">
        <v>473</v>
      </c>
      <c r="B6" s="50" t="s">
        <v>474</v>
      </c>
      <c r="C6" s="51">
        <v>1.0</v>
      </c>
      <c r="D6" s="50" t="s">
        <v>475</v>
      </c>
      <c r="E6" s="52">
        <v>50.1355</v>
      </c>
      <c r="F6" s="52">
        <v>13.269381</v>
      </c>
      <c r="G6" s="49"/>
    </row>
    <row r="7">
      <c r="A7" s="50" t="s">
        <v>476</v>
      </c>
      <c r="B7" s="50" t="s">
        <v>477</v>
      </c>
      <c r="C7" s="51">
        <v>7.0</v>
      </c>
      <c r="D7" s="50" t="s">
        <v>478</v>
      </c>
      <c r="E7" s="52">
        <v>50.148477</v>
      </c>
      <c r="F7" s="52">
        <v>13.047269</v>
      </c>
      <c r="G7" s="49"/>
    </row>
    <row r="8">
      <c r="A8" s="50" t="s">
        <v>479</v>
      </c>
      <c r="B8" s="50" t="s">
        <v>480</v>
      </c>
      <c r="C8" s="51">
        <v>2.0</v>
      </c>
      <c r="D8" s="50" t="s">
        <v>478</v>
      </c>
      <c r="E8" s="52">
        <v>50.460639</v>
      </c>
      <c r="F8" s="52">
        <v>13.410675</v>
      </c>
      <c r="G8" s="53"/>
    </row>
    <row r="9">
      <c r="A9" s="50" t="s">
        <v>481</v>
      </c>
      <c r="B9" s="50" t="s">
        <v>482</v>
      </c>
      <c r="C9" s="51">
        <v>1.0</v>
      </c>
      <c r="D9" s="50" t="s">
        <v>478</v>
      </c>
      <c r="E9" s="52">
        <v>50.181723</v>
      </c>
      <c r="F9" s="52">
        <v>13.810728</v>
      </c>
      <c r="G9" s="49"/>
    </row>
    <row r="10">
      <c r="A10" s="50" t="s">
        <v>483</v>
      </c>
      <c r="B10" s="50" t="s">
        <v>484</v>
      </c>
      <c r="C10" s="51">
        <v>1.0</v>
      </c>
      <c r="D10" s="50" t="s">
        <v>478</v>
      </c>
      <c r="E10" s="52" t="s">
        <v>485</v>
      </c>
      <c r="F10" s="49"/>
      <c r="G10" s="49"/>
    </row>
    <row r="11">
      <c r="A11" s="50" t="s">
        <v>486</v>
      </c>
      <c r="B11" s="50" t="s">
        <v>485</v>
      </c>
      <c r="C11" s="51">
        <v>1.0</v>
      </c>
      <c r="D11" s="50" t="s">
        <v>485</v>
      </c>
      <c r="E11" s="49"/>
      <c r="F11" s="49"/>
      <c r="G11" s="49"/>
    </row>
    <row r="12">
      <c r="A12" s="50" t="s">
        <v>487</v>
      </c>
      <c r="B12" s="50" t="s">
        <v>488</v>
      </c>
      <c r="C12" s="51">
        <v>1.0</v>
      </c>
      <c r="D12" s="49"/>
      <c r="E12" s="52">
        <v>49.962722</v>
      </c>
      <c r="F12" s="52">
        <v>14.087546</v>
      </c>
      <c r="G12" s="49"/>
    </row>
    <row r="13">
      <c r="A13" s="50" t="s">
        <v>489</v>
      </c>
      <c r="B13" s="50" t="s">
        <v>490</v>
      </c>
      <c r="C13" s="51">
        <v>25.0</v>
      </c>
      <c r="D13" s="50" t="s">
        <v>491</v>
      </c>
      <c r="E13" s="52">
        <v>49.939852</v>
      </c>
      <c r="F13" s="52">
        <v>14.189714</v>
      </c>
      <c r="G13" s="49"/>
    </row>
    <row r="14">
      <c r="A14" s="50" t="s">
        <v>492</v>
      </c>
      <c r="B14" s="50" t="s">
        <v>493</v>
      </c>
      <c r="C14" s="51">
        <v>1.0</v>
      </c>
      <c r="D14" s="49"/>
      <c r="E14" s="52">
        <v>49.912798</v>
      </c>
      <c r="F14" s="52">
        <v>13.982156</v>
      </c>
      <c r="G14" s="49"/>
    </row>
    <row r="15">
      <c r="A15" s="50" t="s">
        <v>494</v>
      </c>
      <c r="B15" s="50" t="s">
        <v>495</v>
      </c>
      <c r="C15" s="51">
        <v>2.0</v>
      </c>
      <c r="D15" s="50" t="s">
        <v>496</v>
      </c>
      <c r="E15" s="52">
        <v>49.682641</v>
      </c>
      <c r="F15" s="52">
        <v>14.000291</v>
      </c>
      <c r="G15" s="49"/>
    </row>
    <row r="16">
      <c r="A16" s="50" t="s">
        <v>497</v>
      </c>
      <c r="B16" s="50" t="s">
        <v>498</v>
      </c>
      <c r="C16" s="51">
        <v>4.0</v>
      </c>
      <c r="D16" s="50" t="s">
        <v>499</v>
      </c>
      <c r="E16" s="52">
        <v>49.839829</v>
      </c>
      <c r="F16" s="52">
        <v>13.905181</v>
      </c>
      <c r="G16" s="49"/>
    </row>
    <row r="17">
      <c r="A17" s="50" t="s">
        <v>500</v>
      </c>
      <c r="B17" s="50" t="s">
        <v>485</v>
      </c>
      <c r="C17" s="51">
        <v>1.0</v>
      </c>
      <c r="D17" s="50" t="s">
        <v>478</v>
      </c>
      <c r="E17" s="49"/>
      <c r="F17" s="49"/>
      <c r="G17" s="49"/>
    </row>
    <row r="18">
      <c r="A18" s="50" t="s">
        <v>501</v>
      </c>
      <c r="B18" s="54" t="s">
        <v>502</v>
      </c>
      <c r="C18" s="51">
        <v>1.0</v>
      </c>
      <c r="D18" s="50" t="s">
        <v>478</v>
      </c>
      <c r="E18" s="52">
        <v>49.786918</v>
      </c>
      <c r="F18" s="52">
        <v>13.736871</v>
      </c>
      <c r="G18" s="49"/>
    </row>
    <row r="19">
      <c r="A19" s="50" t="s">
        <v>503</v>
      </c>
      <c r="B19" s="50" t="s">
        <v>504</v>
      </c>
      <c r="C19" s="51">
        <v>3.0</v>
      </c>
      <c r="D19" s="49"/>
      <c r="E19" s="52">
        <v>49.735171</v>
      </c>
      <c r="F19" s="52">
        <v>13.594169</v>
      </c>
      <c r="G19" s="49"/>
    </row>
    <row r="20">
      <c r="A20" s="50" t="s">
        <v>505</v>
      </c>
      <c r="B20" s="50" t="s">
        <v>506</v>
      </c>
      <c r="C20" s="51">
        <v>6.0</v>
      </c>
      <c r="D20" s="49"/>
      <c r="E20" s="52">
        <v>49.742099</v>
      </c>
      <c r="F20" s="52">
        <v>13.370894</v>
      </c>
      <c r="G20" s="49"/>
    </row>
    <row r="21">
      <c r="A21" s="50" t="s">
        <v>507</v>
      </c>
      <c r="B21" s="50" t="s">
        <v>508</v>
      </c>
      <c r="C21" s="51">
        <v>1.0</v>
      </c>
      <c r="D21" s="49"/>
      <c r="E21" s="52">
        <v>49.636294</v>
      </c>
      <c r="F21" s="52">
        <v>13.168314</v>
      </c>
      <c r="G21" s="49"/>
    </row>
    <row r="22">
      <c r="A22" s="50" t="s">
        <v>509</v>
      </c>
      <c r="B22" s="50" t="s">
        <v>510</v>
      </c>
      <c r="C22" s="51">
        <v>1.0</v>
      </c>
      <c r="D22" s="49"/>
      <c r="E22" s="52">
        <v>49.552172</v>
      </c>
      <c r="F22" s="52">
        <v>13.069118</v>
      </c>
      <c r="G22" s="49"/>
    </row>
    <row r="23">
      <c r="A23" s="50" t="s">
        <v>511</v>
      </c>
      <c r="B23" s="54" t="s">
        <v>512</v>
      </c>
      <c r="C23" s="51">
        <v>2.0</v>
      </c>
      <c r="D23" s="49"/>
      <c r="E23" s="52">
        <v>49.527541</v>
      </c>
      <c r="F23" s="52">
        <v>12.945258</v>
      </c>
      <c r="G23" s="49"/>
    </row>
    <row r="24">
      <c r="A24" s="50" t="s">
        <v>513</v>
      </c>
      <c r="B24" s="50" t="s">
        <v>514</v>
      </c>
      <c r="C24" s="51">
        <v>3.0</v>
      </c>
      <c r="D24" s="49"/>
      <c r="E24" s="52">
        <v>49.435369</v>
      </c>
      <c r="F24" s="52">
        <v>12.821246</v>
      </c>
      <c r="G24" s="49"/>
    </row>
    <row r="25">
      <c r="A25" s="50" t="s">
        <v>515</v>
      </c>
      <c r="B25" s="50" t="s">
        <v>516</v>
      </c>
      <c r="C25" s="51">
        <v>1.0</v>
      </c>
      <c r="D25" s="50" t="s">
        <v>517</v>
      </c>
      <c r="E25" s="52">
        <v>49.418057</v>
      </c>
      <c r="F25" s="52">
        <v>12.715182</v>
      </c>
      <c r="G25" s="49"/>
    </row>
    <row r="26">
      <c r="A26" s="49"/>
      <c r="B26" s="49"/>
      <c r="C26" s="49"/>
      <c r="D26" s="49"/>
      <c r="E26" s="49"/>
      <c r="F26" s="49"/>
      <c r="G26" s="49"/>
    </row>
    <row r="27">
      <c r="A27" s="50" t="s">
        <v>518</v>
      </c>
      <c r="B27" s="50" t="s">
        <v>519</v>
      </c>
      <c r="C27" s="51">
        <v>1.0</v>
      </c>
      <c r="D27" s="50" t="s">
        <v>478</v>
      </c>
      <c r="E27" s="52">
        <v>46.434884</v>
      </c>
      <c r="F27" s="52">
        <v>14.051377</v>
      </c>
      <c r="G27" s="49"/>
    </row>
    <row r="28">
      <c r="A28" s="50" t="s">
        <v>520</v>
      </c>
      <c r="B28" s="50" t="s">
        <v>521</v>
      </c>
      <c r="C28" s="51">
        <v>1.0</v>
      </c>
      <c r="D28" s="50" t="s">
        <v>478</v>
      </c>
      <c r="E28" s="52">
        <v>49.858172</v>
      </c>
      <c r="F28" s="52">
        <v>14.659309</v>
      </c>
      <c r="G28" s="49"/>
    </row>
    <row r="29">
      <c r="A29" s="50" t="s">
        <v>522</v>
      </c>
      <c r="B29" s="50" t="s">
        <v>523</v>
      </c>
      <c r="C29" s="51">
        <v>1.0</v>
      </c>
      <c r="D29" s="50" t="s">
        <v>478</v>
      </c>
      <c r="E29" s="52">
        <v>49.730985</v>
      </c>
      <c r="F29" s="52">
        <v>14.666843</v>
      </c>
      <c r="G29" s="49"/>
    </row>
    <row r="30">
      <c r="A30" s="50" t="s">
        <v>524</v>
      </c>
      <c r="B30" s="50" t="s">
        <v>525</v>
      </c>
      <c r="C30" s="51">
        <v>1.0</v>
      </c>
      <c r="D30" s="50" t="s">
        <v>478</v>
      </c>
      <c r="E30" s="52">
        <v>49.63856</v>
      </c>
      <c r="F30" s="52">
        <v>14.640383</v>
      </c>
      <c r="G30" s="49"/>
    </row>
    <row r="31">
      <c r="A31" s="50" t="s">
        <v>526</v>
      </c>
      <c r="B31" s="54" t="s">
        <v>527</v>
      </c>
      <c r="C31" s="51">
        <v>1.0</v>
      </c>
      <c r="D31" s="50" t="s">
        <v>478</v>
      </c>
      <c r="E31" s="52">
        <v>49.508082</v>
      </c>
      <c r="F31" s="52">
        <v>14.659291</v>
      </c>
      <c r="G31" s="49"/>
    </row>
    <row r="32">
      <c r="A32" s="50" t="s">
        <v>528</v>
      </c>
      <c r="B32" s="50" t="s">
        <v>529</v>
      </c>
      <c r="C32" s="51">
        <v>3.0</v>
      </c>
      <c r="D32" s="49"/>
      <c r="E32" s="52">
        <v>49.409446</v>
      </c>
      <c r="F32" s="52">
        <v>14.676984</v>
      </c>
      <c r="G32" s="49"/>
    </row>
    <row r="33">
      <c r="A33" s="50" t="s">
        <v>530</v>
      </c>
      <c r="B33" s="50" t="s">
        <v>531</v>
      </c>
      <c r="C33" s="51">
        <v>1.0</v>
      </c>
      <c r="D33" s="50" t="s">
        <v>478</v>
      </c>
      <c r="E33" s="52">
        <v>49.303298</v>
      </c>
      <c r="F33" s="52">
        <v>14.718016</v>
      </c>
      <c r="G33" s="49"/>
    </row>
    <row r="34">
      <c r="A34" s="50" t="s">
        <v>532</v>
      </c>
      <c r="B34" s="50" t="s">
        <v>533</v>
      </c>
      <c r="C34" s="51">
        <v>1.0</v>
      </c>
      <c r="D34" s="50" t="s">
        <v>478</v>
      </c>
      <c r="E34" s="52">
        <v>49.180952</v>
      </c>
      <c r="F34" s="52">
        <v>14.853759</v>
      </c>
      <c r="G34" s="49"/>
    </row>
    <row r="35">
      <c r="A35" s="50" t="s">
        <v>534</v>
      </c>
      <c r="B35" s="50" t="s">
        <v>535</v>
      </c>
      <c r="C35" s="51">
        <v>5.0</v>
      </c>
      <c r="D35" s="49"/>
      <c r="E35" s="52">
        <v>49.139915</v>
      </c>
      <c r="F35" s="52">
        <v>15.004018</v>
      </c>
      <c r="G35" s="49"/>
    </row>
    <row r="36">
      <c r="A36" s="50" t="s">
        <v>536</v>
      </c>
      <c r="B36" s="50" t="s">
        <v>537</v>
      </c>
      <c r="C36" s="51">
        <v>1.0</v>
      </c>
      <c r="D36" s="50" t="s">
        <v>538</v>
      </c>
      <c r="E36" s="52">
        <v>49.021102</v>
      </c>
      <c r="F36" s="52">
        <v>15.104966</v>
      </c>
      <c r="G36" s="49"/>
    </row>
    <row r="37">
      <c r="A37" s="49"/>
      <c r="B37" s="49"/>
      <c r="C37" s="49"/>
      <c r="D37" s="49"/>
      <c r="E37" s="49"/>
      <c r="F37" s="49"/>
      <c r="G37" s="49"/>
    </row>
    <row r="38">
      <c r="A38" s="49"/>
      <c r="B38" s="49"/>
      <c r="C38" s="49"/>
      <c r="D38" s="49"/>
      <c r="E38" s="49"/>
      <c r="F38" s="49"/>
      <c r="G38" s="49"/>
    </row>
    <row r="39">
      <c r="A39" s="50" t="s">
        <v>539</v>
      </c>
      <c r="B39" s="50" t="s">
        <v>540</v>
      </c>
      <c r="C39" s="51">
        <v>1.0</v>
      </c>
      <c r="D39" s="49"/>
      <c r="E39" s="52">
        <v>50.079293</v>
      </c>
      <c r="F39" s="52">
        <v>14.617134</v>
      </c>
      <c r="G39" s="49"/>
    </row>
    <row r="40">
      <c r="A40" s="50" t="s">
        <v>541</v>
      </c>
      <c r="B40" s="50" t="s">
        <v>542</v>
      </c>
      <c r="C40" s="51">
        <v>3.0</v>
      </c>
      <c r="D40" s="49"/>
      <c r="E40" s="52">
        <v>50.075539</v>
      </c>
      <c r="F40" s="52">
        <v>14.863646</v>
      </c>
      <c r="G40" s="49"/>
    </row>
    <row r="41">
      <c r="A41" s="50" t="s">
        <v>543</v>
      </c>
      <c r="B41" s="50" t="s">
        <v>544</v>
      </c>
      <c r="C41" s="51">
        <v>1.0</v>
      </c>
      <c r="D41" s="49"/>
      <c r="E41" s="52">
        <v>50.048649</v>
      </c>
      <c r="F41" s="52">
        <v>15.031128</v>
      </c>
      <c r="G41" s="49"/>
    </row>
    <row r="42">
      <c r="A42" s="50" t="s">
        <v>545</v>
      </c>
      <c r="B42" s="50" t="s">
        <v>546</v>
      </c>
      <c r="C42" s="51">
        <v>7.0</v>
      </c>
      <c r="D42" s="49"/>
      <c r="E42" s="52">
        <v>50.025478</v>
      </c>
      <c r="F42" s="52">
        <v>15.204916</v>
      </c>
      <c r="G42" s="49"/>
    </row>
    <row r="43">
      <c r="A43" s="50" t="s">
        <v>547</v>
      </c>
      <c r="B43" s="50" t="s">
        <v>548</v>
      </c>
      <c r="C43" s="51">
        <v>2.0</v>
      </c>
      <c r="D43" s="49"/>
      <c r="E43" s="52">
        <v>49.90718</v>
      </c>
      <c r="F43" s="52">
        <v>15.389041</v>
      </c>
      <c r="G43" s="49"/>
    </row>
    <row r="44">
      <c r="A44" s="50" t="s">
        <v>549</v>
      </c>
      <c r="B44" s="50" t="s">
        <v>550</v>
      </c>
      <c r="C44" s="51">
        <v>1.0</v>
      </c>
      <c r="D44" s="49"/>
      <c r="E44" s="52">
        <v>49.811852</v>
      </c>
      <c r="F44" s="52">
        <v>15.476715</v>
      </c>
      <c r="G44" s="53"/>
    </row>
    <row r="45">
      <c r="A45" s="50" t="s">
        <v>551</v>
      </c>
      <c r="B45" s="50" t="s">
        <v>552</v>
      </c>
      <c r="C45" s="51">
        <v>1.0</v>
      </c>
      <c r="D45" s="49"/>
      <c r="E45" s="52">
        <v>49.71288</v>
      </c>
      <c r="F45" s="52">
        <v>15.520658</v>
      </c>
      <c r="G45" s="49"/>
    </row>
    <row r="46">
      <c r="A46" s="50" t="s">
        <v>553</v>
      </c>
      <c r="B46" s="54" t="s">
        <v>554</v>
      </c>
      <c r="C46" s="51">
        <v>3.0</v>
      </c>
      <c r="D46" s="49"/>
      <c r="E46" s="52">
        <v>49.600929</v>
      </c>
      <c r="F46" s="52">
        <v>15.577366</v>
      </c>
      <c r="G46" s="49"/>
    </row>
    <row r="47">
      <c r="A47" s="50" t="s">
        <v>555</v>
      </c>
      <c r="B47" s="54" t="s">
        <v>556</v>
      </c>
      <c r="C47" s="51">
        <v>2.0</v>
      </c>
      <c r="D47" s="49"/>
      <c r="E47" s="52">
        <v>49.500403</v>
      </c>
      <c r="F47" s="52">
        <v>15.588594</v>
      </c>
      <c r="G47" s="49"/>
    </row>
    <row r="48">
      <c r="A48" s="50" t="s">
        <v>557</v>
      </c>
      <c r="B48" s="54" t="s">
        <v>558</v>
      </c>
      <c r="C48" s="51">
        <v>2.0</v>
      </c>
      <c r="D48" s="49"/>
      <c r="E48" s="52">
        <v>49.397054</v>
      </c>
      <c r="F48" s="52">
        <v>15.587115</v>
      </c>
      <c r="G48" s="49"/>
    </row>
    <row r="49">
      <c r="A49" s="50" t="s">
        <v>559</v>
      </c>
      <c r="B49" s="50" t="s">
        <v>560</v>
      </c>
      <c r="C49" s="51">
        <v>1.0</v>
      </c>
      <c r="D49" s="49"/>
      <c r="E49" s="52">
        <v>49.281548</v>
      </c>
      <c r="F49" s="52">
        <v>15.585651</v>
      </c>
      <c r="G49" s="49"/>
    </row>
    <row r="50">
      <c r="A50" s="50" t="s">
        <v>561</v>
      </c>
      <c r="B50" s="50" t="s">
        <v>562</v>
      </c>
      <c r="C50" s="51">
        <v>1.0</v>
      </c>
      <c r="D50" s="49"/>
      <c r="E50" s="52">
        <v>49.140272</v>
      </c>
      <c r="F50" s="52">
        <v>15.67181</v>
      </c>
      <c r="G50" s="49"/>
    </row>
    <row r="51">
      <c r="A51" s="50" t="s">
        <v>563</v>
      </c>
      <c r="B51" s="50" t="s">
        <v>564</v>
      </c>
      <c r="C51" s="51">
        <v>1.0</v>
      </c>
      <c r="D51" s="49"/>
      <c r="E51" s="52">
        <v>49.051446</v>
      </c>
      <c r="F51" s="52">
        <v>15.808895</v>
      </c>
      <c r="G51" s="49"/>
    </row>
    <row r="52">
      <c r="A52" s="50" t="s">
        <v>565</v>
      </c>
      <c r="B52" s="54" t="s">
        <v>566</v>
      </c>
      <c r="C52" s="51">
        <v>1.0</v>
      </c>
      <c r="D52" s="49"/>
      <c r="E52" s="52">
        <v>48.95041</v>
      </c>
      <c r="F52" s="52">
        <v>15.918677</v>
      </c>
      <c r="G52" s="49"/>
    </row>
    <row r="53">
      <c r="A53" s="50" t="s">
        <v>567</v>
      </c>
      <c r="B53" s="50" t="s">
        <v>568</v>
      </c>
      <c r="C53" s="51">
        <v>6.0</v>
      </c>
      <c r="D53" s="49"/>
      <c r="E53" s="52">
        <v>48.859944</v>
      </c>
      <c r="F53" s="52">
        <v>16.048851</v>
      </c>
      <c r="G53" s="49"/>
    </row>
    <row r="54">
      <c r="A54" s="49"/>
      <c r="B54" s="49"/>
      <c r="C54" s="49"/>
      <c r="D54" s="49"/>
      <c r="E54" s="49"/>
      <c r="F54" s="49"/>
      <c r="G54" s="49"/>
    </row>
    <row r="55">
      <c r="A55" s="50" t="s">
        <v>569</v>
      </c>
      <c r="B55" s="50" t="s">
        <v>570</v>
      </c>
      <c r="C55" s="51">
        <v>1.0</v>
      </c>
      <c r="D55" s="49"/>
      <c r="E55" s="52">
        <v>49.185944</v>
      </c>
      <c r="F55" s="52">
        <v>14.700606</v>
      </c>
      <c r="G55" s="49"/>
    </row>
    <row r="56">
      <c r="A56" s="50" t="s">
        <v>571</v>
      </c>
      <c r="B56" s="54" t="s">
        <v>572</v>
      </c>
      <c r="C56" s="51">
        <v>7.0</v>
      </c>
      <c r="D56" s="49"/>
      <c r="E56" s="52">
        <v>48.974301</v>
      </c>
      <c r="F56" s="52">
        <v>14.472608</v>
      </c>
      <c r="G56" s="49"/>
    </row>
    <row r="57">
      <c r="A57" s="50" t="s">
        <v>573</v>
      </c>
      <c r="B57" s="50" t="s">
        <v>574</v>
      </c>
      <c r="C57" s="51">
        <v>1.0</v>
      </c>
      <c r="D57" s="49"/>
      <c r="E57" s="52">
        <v>48.736004</v>
      </c>
      <c r="F57" s="52">
        <v>14.493024</v>
      </c>
      <c r="G57" s="49"/>
    </row>
    <row r="58">
      <c r="A58" s="50" t="s">
        <v>575</v>
      </c>
      <c r="B58" s="49"/>
      <c r="C58" s="49"/>
      <c r="D58" s="49"/>
      <c r="E58" s="49"/>
      <c r="F58" s="49"/>
      <c r="G58" s="49"/>
    </row>
    <row r="59">
      <c r="A59" s="50" t="s">
        <v>576</v>
      </c>
      <c r="B59" s="50" t="s">
        <v>577</v>
      </c>
      <c r="C59" s="51">
        <v>25.0</v>
      </c>
      <c r="D59" s="49"/>
      <c r="E59" s="52">
        <v>49.188846</v>
      </c>
      <c r="F59" s="52">
        <v>16.608821</v>
      </c>
      <c r="G59" s="49"/>
    </row>
    <row r="60">
      <c r="A60" s="50" t="s">
        <v>578</v>
      </c>
      <c r="B60" s="50" t="s">
        <v>579</v>
      </c>
      <c r="C60" s="51">
        <v>8.0</v>
      </c>
      <c r="D60" s="50" t="s">
        <v>580</v>
      </c>
      <c r="E60" s="52">
        <v>49.149747</v>
      </c>
      <c r="F60" s="52">
        <v>16.876768</v>
      </c>
      <c r="G60" s="49"/>
    </row>
    <row r="61">
      <c r="A61" s="50" t="s">
        <v>581</v>
      </c>
      <c r="B61" s="50" t="s">
        <v>582</v>
      </c>
      <c r="C61" s="51">
        <v>1.0</v>
      </c>
      <c r="D61" s="49"/>
      <c r="E61" s="52">
        <v>49.273423</v>
      </c>
      <c r="F61" s="52">
        <v>16.999089</v>
      </c>
      <c r="G61" s="49"/>
    </row>
    <row r="62">
      <c r="A62" s="50" t="s">
        <v>583</v>
      </c>
      <c r="B62" s="50" t="s">
        <v>584</v>
      </c>
      <c r="C62" s="51">
        <v>1.0</v>
      </c>
      <c r="D62" s="49"/>
      <c r="E62" s="52">
        <v>49.468468</v>
      </c>
      <c r="F62" s="52">
        <v>17.113408</v>
      </c>
      <c r="G62" s="49"/>
    </row>
    <row r="63">
      <c r="A63" s="50" t="s">
        <v>585</v>
      </c>
      <c r="B63" s="50" t="s">
        <v>586</v>
      </c>
      <c r="C63" s="51">
        <v>14.0</v>
      </c>
      <c r="D63" s="49"/>
      <c r="E63" s="52">
        <v>49.589555</v>
      </c>
      <c r="F63" s="52">
        <v>17.253093</v>
      </c>
      <c r="G63" s="49"/>
    </row>
    <row r="64">
      <c r="A64" s="49"/>
      <c r="B64" s="49"/>
      <c r="C64" s="49"/>
      <c r="D64" s="49"/>
      <c r="E64" s="49"/>
      <c r="F64" s="49"/>
      <c r="G64" s="49"/>
    </row>
    <row r="65">
      <c r="A65" s="49"/>
      <c r="B65" s="49"/>
      <c r="C65" s="49"/>
      <c r="D65" s="49"/>
      <c r="E65" s="49"/>
      <c r="F65" s="49"/>
      <c r="G65" s="49"/>
    </row>
    <row r="66">
      <c r="A66" s="50" t="s">
        <v>587</v>
      </c>
      <c r="B66" s="50" t="s">
        <v>588</v>
      </c>
      <c r="C66" s="51">
        <v>4.0</v>
      </c>
      <c r="D66" s="49"/>
      <c r="E66" s="52">
        <v>49.59152</v>
      </c>
      <c r="F66" s="52">
        <v>18.012235</v>
      </c>
      <c r="G66" s="49"/>
    </row>
    <row r="67">
      <c r="A67" s="50" t="s">
        <v>589</v>
      </c>
      <c r="B67" s="50" t="s">
        <v>590</v>
      </c>
      <c r="C67" s="51">
        <v>1.0</v>
      </c>
      <c r="D67" s="49"/>
      <c r="E67" s="52">
        <v>49.63915</v>
      </c>
      <c r="F67" s="52">
        <v>18.143438</v>
      </c>
      <c r="G67" s="49"/>
    </row>
    <row r="68">
      <c r="A68" s="50" t="s">
        <v>591</v>
      </c>
      <c r="B68" s="50" t="s">
        <v>592</v>
      </c>
      <c r="C68" s="51">
        <v>2.0</v>
      </c>
      <c r="D68" s="49"/>
      <c r="E68" s="52">
        <v>49.67809</v>
      </c>
      <c r="F68" s="52">
        <v>18.352128</v>
      </c>
      <c r="G68" s="49"/>
    </row>
    <row r="69">
      <c r="A69" s="55" t="s">
        <v>593</v>
      </c>
      <c r="B69" s="50" t="s">
        <v>594</v>
      </c>
      <c r="C69" s="51">
        <v>52.0</v>
      </c>
      <c r="D69" s="55" t="s">
        <v>595</v>
      </c>
      <c r="E69" s="52">
        <v>50.788251</v>
      </c>
      <c r="F69" s="52">
        <v>13.976571</v>
      </c>
      <c r="G69" s="49"/>
    </row>
    <row r="70">
      <c r="A70" s="55" t="s">
        <v>596</v>
      </c>
      <c r="B70" s="50" t="s">
        <v>597</v>
      </c>
      <c r="C70" s="51">
        <v>27.0</v>
      </c>
      <c r="D70" s="55" t="s">
        <v>598</v>
      </c>
      <c r="E70" s="52">
        <v>50.72501</v>
      </c>
      <c r="F70" s="52">
        <v>13.964246</v>
      </c>
      <c r="G70" s="49"/>
    </row>
    <row r="71">
      <c r="A71" s="55" t="s">
        <v>599</v>
      </c>
      <c r="B71" s="50" t="s">
        <v>600</v>
      </c>
      <c r="C71" s="51">
        <v>3.0</v>
      </c>
      <c r="D71" s="55" t="s">
        <v>601</v>
      </c>
      <c r="E71" s="52">
        <v>50.699467</v>
      </c>
      <c r="F71" s="52">
        <v>13.938824</v>
      </c>
      <c r="G71" s="49"/>
    </row>
    <row r="72">
      <c r="A72" s="55" t="s">
        <v>602</v>
      </c>
      <c r="B72" s="50" t="s">
        <v>603</v>
      </c>
      <c r="C72" s="51">
        <v>41.0</v>
      </c>
      <c r="D72" s="55" t="s">
        <v>604</v>
      </c>
      <c r="E72" s="52">
        <v>50.643967</v>
      </c>
      <c r="F72" s="52">
        <v>13.834699</v>
      </c>
      <c r="G72" s="49"/>
    </row>
    <row r="73">
      <c r="A73" s="55" t="s">
        <v>605</v>
      </c>
      <c r="B73" s="50" t="s">
        <v>606</v>
      </c>
      <c r="C73" s="51">
        <v>1.0</v>
      </c>
      <c r="D73" s="55" t="s">
        <v>607</v>
      </c>
      <c r="E73" s="52">
        <v>50.682732</v>
      </c>
      <c r="F73" s="52">
        <v>13.871677</v>
      </c>
      <c r="G73" s="49"/>
    </row>
    <row r="74">
      <c r="A74" s="55" t="s">
        <v>608</v>
      </c>
      <c r="B74" s="50" t="s">
        <v>609</v>
      </c>
      <c r="C74" s="51">
        <v>3.0</v>
      </c>
      <c r="D74" s="55" t="s">
        <v>610</v>
      </c>
      <c r="E74" s="52">
        <v>50.555261</v>
      </c>
      <c r="F74" s="52">
        <v>13.932116</v>
      </c>
      <c r="G74" s="49"/>
    </row>
    <row r="75">
      <c r="A75" s="55" t="s">
        <v>611</v>
      </c>
      <c r="B75" s="50" t="s">
        <v>612</v>
      </c>
      <c r="C75" s="51">
        <v>1.0</v>
      </c>
      <c r="D75" s="55" t="s">
        <v>613</v>
      </c>
      <c r="E75" s="52">
        <v>50.603367</v>
      </c>
      <c r="F75" s="52">
        <v>13.748591</v>
      </c>
      <c r="G75" s="49"/>
    </row>
    <row r="76">
      <c r="A76" s="55" t="s">
        <v>614</v>
      </c>
      <c r="B76" s="50" t="s">
        <v>615</v>
      </c>
      <c r="C76" s="51">
        <v>16.0</v>
      </c>
      <c r="D76" s="55" t="s">
        <v>616</v>
      </c>
      <c r="E76" s="52">
        <v>50.661676</v>
      </c>
      <c r="F76" s="52">
        <v>14.051342</v>
      </c>
      <c r="G76" s="49"/>
    </row>
    <row r="77">
      <c r="A77" s="55" t="s">
        <v>617</v>
      </c>
      <c r="B77" s="50" t="s">
        <v>618</v>
      </c>
      <c r="C77" s="51">
        <v>12.0</v>
      </c>
      <c r="D77" s="55" t="s">
        <v>619</v>
      </c>
      <c r="E77" s="52">
        <v>50.772691</v>
      </c>
      <c r="F77" s="52">
        <v>14.213173</v>
      </c>
      <c r="G77" s="49"/>
    </row>
    <row r="78">
      <c r="A78" s="55" t="s">
        <v>620</v>
      </c>
      <c r="B78" s="50" t="s">
        <v>621</v>
      </c>
      <c r="C78" s="51">
        <v>4.0</v>
      </c>
      <c r="D78" s="55" t="s">
        <v>622</v>
      </c>
      <c r="E78" s="52">
        <v>50.513723</v>
      </c>
      <c r="F78" s="52">
        <v>14.051402</v>
      </c>
      <c r="G78" s="49"/>
    </row>
    <row r="79">
      <c r="A79" s="55" t="s">
        <v>623</v>
      </c>
      <c r="B79" s="50" t="s">
        <v>624</v>
      </c>
      <c r="C79" s="51">
        <v>6.0</v>
      </c>
      <c r="D79" s="55" t="s">
        <v>625</v>
      </c>
      <c r="E79" s="52">
        <v>50.532714</v>
      </c>
      <c r="F79" s="52">
        <v>14.13296</v>
      </c>
      <c r="G79" s="49"/>
    </row>
    <row r="80">
      <c r="A80" s="55" t="s">
        <v>626</v>
      </c>
      <c r="B80" s="50" t="s">
        <v>627</v>
      </c>
      <c r="C80" s="51">
        <v>3.0</v>
      </c>
      <c r="D80" s="55" t="s">
        <v>628</v>
      </c>
      <c r="E80" s="52">
        <v>50.511758</v>
      </c>
      <c r="F80" s="52">
        <v>14.151132</v>
      </c>
      <c r="G80" s="49"/>
    </row>
    <row r="81">
      <c r="A81" s="55" t="s">
        <v>629</v>
      </c>
      <c r="B81" s="50" t="s">
        <v>630</v>
      </c>
      <c r="C81" s="51">
        <v>1.0</v>
      </c>
      <c r="D81" s="55" t="s">
        <v>478</v>
      </c>
      <c r="E81" s="52">
        <v>50.457041</v>
      </c>
      <c r="F81" s="52">
        <v>14.161206</v>
      </c>
      <c r="G81" s="49"/>
    </row>
    <row r="82">
      <c r="A82" s="55" t="s">
        <v>631</v>
      </c>
      <c r="B82" s="50" t="s">
        <v>632</v>
      </c>
      <c r="C82" s="51">
        <v>1.0</v>
      </c>
      <c r="D82" s="55" t="s">
        <v>478</v>
      </c>
      <c r="E82" s="52">
        <v>50.312152</v>
      </c>
      <c r="F82" s="52">
        <v>14.308712</v>
      </c>
      <c r="G82" s="49"/>
    </row>
    <row r="83">
      <c r="A83" s="55" t="s">
        <v>633</v>
      </c>
      <c r="B83" s="50" t="s">
        <v>634</v>
      </c>
      <c r="C83" s="51">
        <v>2.0</v>
      </c>
      <c r="D83" s="55" t="s">
        <v>635</v>
      </c>
      <c r="E83" s="52">
        <v>50.275412</v>
      </c>
      <c r="F83" s="52">
        <v>14.325276</v>
      </c>
      <c r="G83" s="49"/>
    </row>
    <row r="84">
      <c r="A84" s="55" t="s">
        <v>636</v>
      </c>
      <c r="B84" s="50" t="s">
        <v>636</v>
      </c>
      <c r="C84" s="51">
        <v>1.0</v>
      </c>
      <c r="D84" s="55" t="s">
        <v>478</v>
      </c>
      <c r="E84" s="52">
        <v>50.179124</v>
      </c>
      <c r="F84" s="52">
        <v>14.445792</v>
      </c>
      <c r="G84" s="49"/>
    </row>
    <row r="85">
      <c r="A85" s="55" t="s">
        <v>637</v>
      </c>
      <c r="B85" s="50" t="s">
        <v>638</v>
      </c>
      <c r="C85" s="51">
        <v>5.0</v>
      </c>
      <c r="D85" s="55" t="s">
        <v>639</v>
      </c>
      <c r="E85" s="52">
        <v>50.550773</v>
      </c>
      <c r="F85" s="52">
        <v>13.775993</v>
      </c>
      <c r="G85" s="49"/>
    </row>
    <row r="86">
      <c r="A86" s="55" t="s">
        <v>640</v>
      </c>
      <c r="B86" s="50" t="s">
        <v>641</v>
      </c>
      <c r="C86" s="51">
        <v>1.0</v>
      </c>
      <c r="D86" s="56"/>
      <c r="E86" s="57">
        <v>50.611392</v>
      </c>
      <c r="F86" s="52">
        <v>13.798016</v>
      </c>
      <c r="G86" s="49"/>
    </row>
    <row r="87">
      <c r="A87" s="55" t="s">
        <v>642</v>
      </c>
      <c r="B87" s="50" t="s">
        <v>643</v>
      </c>
      <c r="C87" s="51">
        <v>6.0</v>
      </c>
      <c r="D87" s="55" t="s">
        <v>644</v>
      </c>
      <c r="E87" s="52">
        <v>50.516067</v>
      </c>
      <c r="F87" s="52">
        <v>13.786098</v>
      </c>
      <c r="G87" s="49"/>
    </row>
    <row r="88">
      <c r="A88" s="55" t="s">
        <v>645</v>
      </c>
      <c r="B88" s="50" t="s">
        <v>646</v>
      </c>
      <c r="C88" s="51">
        <v>2.0</v>
      </c>
      <c r="D88" s="56"/>
      <c r="E88" s="52">
        <v>50.597117</v>
      </c>
      <c r="F88" s="52">
        <v>13.822142</v>
      </c>
      <c r="G88" s="49"/>
    </row>
    <row r="89">
      <c r="A89" s="55" t="s">
        <v>647</v>
      </c>
      <c r="B89" s="50" t="s">
        <v>648</v>
      </c>
      <c r="C89" s="51">
        <v>3.0</v>
      </c>
      <c r="D89" s="55" t="s">
        <v>649</v>
      </c>
      <c r="E89" s="52">
        <v>50.36112</v>
      </c>
      <c r="F89" s="52">
        <v>13.798979</v>
      </c>
      <c r="G89" s="49"/>
    </row>
    <row r="90">
      <c r="A90" s="55" t="s">
        <v>650</v>
      </c>
      <c r="B90" s="50" t="s">
        <v>651</v>
      </c>
      <c r="C90" s="51">
        <v>1.0</v>
      </c>
      <c r="D90" s="56"/>
      <c r="E90" s="52">
        <v>50.296045</v>
      </c>
      <c r="F90" s="52">
        <v>13.914408</v>
      </c>
      <c r="G90" s="49"/>
    </row>
    <row r="91">
      <c r="A91" s="55" t="s">
        <v>652</v>
      </c>
      <c r="B91" s="50" t="s">
        <v>653</v>
      </c>
      <c r="C91" s="51">
        <v>6.0</v>
      </c>
      <c r="D91" s="55" t="s">
        <v>654</v>
      </c>
      <c r="E91" s="52">
        <v>50.229388</v>
      </c>
      <c r="F91" s="52">
        <v>14.086141</v>
      </c>
      <c r="G91" s="49"/>
    </row>
    <row r="92">
      <c r="A92" s="55" t="s">
        <v>655</v>
      </c>
      <c r="B92" s="50" t="s">
        <v>656</v>
      </c>
      <c r="C92" s="51">
        <v>16.0</v>
      </c>
      <c r="D92" s="55" t="s">
        <v>478</v>
      </c>
      <c r="E92" s="52">
        <v>50.132277</v>
      </c>
      <c r="F92" s="52">
        <v>14.242539</v>
      </c>
      <c r="G92" s="49"/>
    </row>
    <row r="93">
      <c r="A93" s="55" t="s">
        <v>657</v>
      </c>
      <c r="B93" s="50" t="s">
        <v>658</v>
      </c>
      <c r="C93" s="51">
        <v>337.0</v>
      </c>
      <c r="D93" s="56"/>
      <c r="E93" s="49"/>
      <c r="F93" s="49"/>
      <c r="G93" s="49"/>
    </row>
    <row r="94">
      <c r="A94" s="50" t="s">
        <v>659</v>
      </c>
      <c r="B94" s="50" t="s">
        <v>660</v>
      </c>
      <c r="C94" s="51">
        <v>26.0</v>
      </c>
      <c r="D94" s="49"/>
      <c r="E94" s="52">
        <v>50.078583</v>
      </c>
      <c r="F94" s="52">
        <v>12.370954</v>
      </c>
      <c r="G94" s="58"/>
    </row>
    <row r="95">
      <c r="A95" s="50" t="s">
        <v>661</v>
      </c>
      <c r="B95" s="54" t="s">
        <v>662</v>
      </c>
      <c r="C95" s="51">
        <v>4.0</v>
      </c>
      <c r="D95" s="49"/>
      <c r="E95" s="52">
        <v>50.175164</v>
      </c>
      <c r="F95" s="52">
        <v>12.660354</v>
      </c>
      <c r="G95" s="58"/>
    </row>
    <row r="96">
      <c r="A96" s="50" t="s">
        <v>663</v>
      </c>
      <c r="B96" s="50" t="s">
        <v>664</v>
      </c>
      <c r="C96" s="51">
        <v>8.0</v>
      </c>
      <c r="D96" s="49"/>
      <c r="E96" s="52">
        <v>50.187512</v>
      </c>
      <c r="F96" s="52">
        <v>12.752211</v>
      </c>
      <c r="G96" s="58"/>
    </row>
    <row r="97">
      <c r="A97" s="50" t="s">
        <v>665</v>
      </c>
      <c r="B97" s="54" t="s">
        <v>666</v>
      </c>
      <c r="C97" s="51">
        <v>66.0</v>
      </c>
      <c r="D97" s="49"/>
      <c r="E97" s="52">
        <v>50.231142</v>
      </c>
      <c r="F97" s="52">
        <v>12.872057</v>
      </c>
      <c r="G97" s="58"/>
    </row>
    <row r="98">
      <c r="A98" s="50" t="s">
        <v>667</v>
      </c>
      <c r="B98" s="54" t="s">
        <v>668</v>
      </c>
      <c r="C98" s="51">
        <v>3.0</v>
      </c>
      <c r="D98" s="49"/>
      <c r="E98" s="52">
        <v>50.085143</v>
      </c>
      <c r="F98" s="52">
        <v>12.836457</v>
      </c>
      <c r="G98" s="58"/>
    </row>
    <row r="99">
      <c r="A99" s="50" t="s">
        <v>669</v>
      </c>
      <c r="B99" s="50" t="s">
        <v>670</v>
      </c>
      <c r="C99" s="51">
        <v>22.0</v>
      </c>
      <c r="D99" s="49"/>
      <c r="E99" s="52">
        <v>49.965014</v>
      </c>
      <c r="F99" s="52">
        <v>12.701413</v>
      </c>
      <c r="G99" s="58"/>
    </row>
    <row r="100">
      <c r="A100" s="50" t="s">
        <v>671</v>
      </c>
      <c r="B100" s="50" t="s">
        <v>672</v>
      </c>
      <c r="C100" s="51">
        <v>18.0</v>
      </c>
      <c r="D100" s="49"/>
      <c r="E100" s="52">
        <v>50.119325</v>
      </c>
      <c r="F100" s="52">
        <v>12.349955</v>
      </c>
      <c r="G100" s="58"/>
    </row>
    <row r="101">
      <c r="A101" s="50" t="s">
        <v>673</v>
      </c>
      <c r="B101" s="54" t="s">
        <v>674</v>
      </c>
      <c r="C101" s="51">
        <v>6.0</v>
      </c>
      <c r="D101" s="49"/>
      <c r="E101" s="52">
        <v>50.14839</v>
      </c>
      <c r="F101" s="52">
        <v>12.536442</v>
      </c>
      <c r="G101" s="58"/>
    </row>
    <row r="102">
      <c r="A102" s="59" t="s">
        <v>675</v>
      </c>
      <c r="B102" s="50" t="s">
        <v>676</v>
      </c>
      <c r="C102" s="51">
        <v>13.0</v>
      </c>
      <c r="D102" s="49"/>
      <c r="E102" s="52">
        <v>50.005795</v>
      </c>
      <c r="F102" s="52">
        <v>12.613043</v>
      </c>
      <c r="G102" s="58"/>
    </row>
  </sheetData>
  <hyperlinks>
    <hyperlink r:id="rId1" ref="B18"/>
    <hyperlink r:id="rId2" ref="B23"/>
    <hyperlink r:id="rId3" ref="B31"/>
    <hyperlink r:id="rId4" ref="B46"/>
    <hyperlink r:id="rId5" ref="B47"/>
    <hyperlink r:id="rId6" ref="B48"/>
    <hyperlink r:id="rId7" ref="B52"/>
    <hyperlink r:id="rId8" ref="B56"/>
    <hyperlink r:id="rId9" ref="B95"/>
    <hyperlink r:id="rId10" ref="B97"/>
    <hyperlink r:id="rId11" ref="B98"/>
    <hyperlink r:id="rId12" ref="B101"/>
  </hyperlinks>
  <drawing r:id="rId1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3" max="3" width="24.88"/>
    <col customWidth="1" min="6" max="6" width="77.13"/>
  </cols>
  <sheetData>
    <row r="1">
      <c r="A1" s="2" t="s">
        <v>677</v>
      </c>
      <c r="B1" s="2" t="s">
        <v>1</v>
      </c>
      <c r="C1" s="27" t="s">
        <v>276</v>
      </c>
      <c r="D1" s="4" t="s">
        <v>3</v>
      </c>
      <c r="E1" s="5" t="s">
        <v>4</v>
      </c>
      <c r="F1" s="2" t="s">
        <v>5</v>
      </c>
      <c r="G1" s="6" t="s">
        <v>6</v>
      </c>
      <c r="H1" s="7" t="s">
        <v>7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7" t="s">
        <v>400</v>
      </c>
      <c r="B2" s="7" t="s">
        <v>17</v>
      </c>
      <c r="C2" s="9" t="s">
        <v>678</v>
      </c>
      <c r="D2" s="60">
        <f>IFERROR(__xludf.DUMMYFUNCTION("SPLIT(C2,"","")"),56.0887188)</f>
        <v>56.0887188</v>
      </c>
      <c r="E2" s="11">
        <f>IFERROR(__xludf.DUMMYFUNCTION("""COMPUTED_VALUE"""),10.2209268)</f>
        <v>10.2209268</v>
      </c>
      <c r="F2" s="12" t="s">
        <v>679</v>
      </c>
      <c r="G2" s="7"/>
      <c r="H2" s="13"/>
    </row>
    <row r="3">
      <c r="A3" s="7" t="s">
        <v>680</v>
      </c>
      <c r="B3" s="7" t="s">
        <v>17</v>
      </c>
      <c r="C3" s="9" t="s">
        <v>681</v>
      </c>
      <c r="D3" s="60">
        <f>IFERROR(__xludf.DUMMYFUNCTION("SPLIT(C3,"","")"),55.3096059)</f>
        <v>55.3096059</v>
      </c>
      <c r="E3" s="11">
        <f>IFERROR(__xludf.DUMMYFUNCTION("""COMPUTED_VALUE"""),8.7624704)</f>
        <v>8.7624704</v>
      </c>
      <c r="F3" s="12" t="s">
        <v>682</v>
      </c>
      <c r="G3" s="7"/>
      <c r="H3" s="13" t="s">
        <v>683</v>
      </c>
    </row>
    <row r="4">
      <c r="A4" s="7" t="s">
        <v>684</v>
      </c>
      <c r="B4" s="7" t="s">
        <v>17</v>
      </c>
      <c r="C4" s="9" t="s">
        <v>685</v>
      </c>
      <c r="D4" s="60">
        <f>IFERROR(__xludf.DUMMYFUNCTION("SPLIT(C4,"","")"),55.1763793)</f>
        <v>55.1763793</v>
      </c>
      <c r="E4" s="11">
        <f>IFERROR(__xludf.DUMMYFUNCTION("""COMPUTED_VALUE"""),14.953611)</f>
        <v>14.953611</v>
      </c>
      <c r="F4" s="12" t="s">
        <v>686</v>
      </c>
      <c r="G4" s="7"/>
      <c r="H4" s="13"/>
    </row>
    <row r="5">
      <c r="A5" s="7" t="s">
        <v>687</v>
      </c>
      <c r="B5" s="7" t="s">
        <v>43</v>
      </c>
      <c r="C5" s="9" t="s">
        <v>688</v>
      </c>
      <c r="D5" s="60">
        <f>IFERROR(__xludf.DUMMYFUNCTION("SPLIT(C5,"","")"),55.4675)</f>
        <v>55.4675</v>
      </c>
      <c r="E5" s="11">
        <f>IFERROR(__xludf.DUMMYFUNCTION("""COMPUTED_VALUE"""),9.1693567)</f>
        <v>9.1693567</v>
      </c>
      <c r="F5" s="12" t="s">
        <v>689</v>
      </c>
      <c r="G5" s="7"/>
      <c r="H5" s="13" t="s">
        <v>690</v>
      </c>
    </row>
    <row r="6">
      <c r="A6" s="7" t="s">
        <v>691</v>
      </c>
      <c r="B6" s="7" t="s">
        <v>23</v>
      </c>
      <c r="C6" s="61" t="s">
        <v>692</v>
      </c>
      <c r="D6" s="60">
        <f>IFERROR(__xludf.DUMMYFUNCTION("SPLIT(C6,"","")"),56.1517)</f>
        <v>56.1517</v>
      </c>
      <c r="E6" s="11">
        <f>IFERROR(__xludf.DUMMYFUNCTION("""COMPUTED_VALUE"""),10.2042896)</f>
        <v>10.2042896</v>
      </c>
      <c r="F6" s="12" t="s">
        <v>693</v>
      </c>
      <c r="G6" s="7"/>
      <c r="H6" s="13"/>
    </row>
    <row r="7">
      <c r="A7" s="7" t="s">
        <v>694</v>
      </c>
      <c r="B7" s="7" t="s">
        <v>17</v>
      </c>
      <c r="C7" s="9" t="s">
        <v>695</v>
      </c>
      <c r="D7" s="60">
        <f>IFERROR(__xludf.DUMMYFUNCTION("SPLIT(C7,"","")"),55.359834)</f>
        <v>55.359834</v>
      </c>
      <c r="E7" s="11">
        <f>IFERROR(__xludf.DUMMYFUNCTION("""COMPUTED_VALUE"""),9.2108391)</f>
        <v>9.2108391</v>
      </c>
      <c r="F7" s="12" t="s">
        <v>696</v>
      </c>
      <c r="G7" s="7"/>
      <c r="H7" s="13"/>
    </row>
    <row r="8">
      <c r="A8" s="7" t="s">
        <v>697</v>
      </c>
      <c r="B8" s="7" t="s">
        <v>51</v>
      </c>
      <c r="C8" s="9" t="s">
        <v>698</v>
      </c>
      <c r="D8" s="60">
        <f>IFERROR(__xludf.DUMMYFUNCTION("SPLIT(C8,"","")"),56.2746133)</f>
        <v>56.2746133</v>
      </c>
      <c r="E8" s="11">
        <f>IFERROR(__xludf.DUMMYFUNCTION("""COMPUTED_VALUE"""),10.464093)</f>
        <v>10.464093</v>
      </c>
      <c r="F8" s="12" t="s">
        <v>699</v>
      </c>
      <c r="G8" s="7"/>
      <c r="H8" s="13"/>
    </row>
    <row r="9">
      <c r="A9" s="7" t="s">
        <v>700</v>
      </c>
      <c r="B9" s="7" t="s">
        <v>43</v>
      </c>
      <c r="C9" s="9" t="s">
        <v>701</v>
      </c>
      <c r="D9" s="60">
        <f>IFERROR(__xludf.DUMMYFUNCTION("SPLIT(C9,"","")"),56.0565037)</f>
        <v>56.0565037</v>
      </c>
      <c r="E9" s="11">
        <f>IFERROR(__xludf.DUMMYFUNCTION("""COMPUTED_VALUE"""),12.0587298)</f>
        <v>12.0587298</v>
      </c>
      <c r="F9" s="12" t="s">
        <v>702</v>
      </c>
      <c r="G9" s="7"/>
      <c r="H9" s="13"/>
    </row>
    <row r="10">
      <c r="A10" s="7" t="s">
        <v>703</v>
      </c>
      <c r="B10" s="7" t="s">
        <v>51</v>
      </c>
      <c r="C10" s="9" t="s">
        <v>704</v>
      </c>
      <c r="D10" s="60">
        <f>IFERROR(__xludf.DUMMYFUNCTION("SPLIT(C10,"","")"),55.7565694)</f>
        <v>55.7565694</v>
      </c>
      <c r="E10" s="11">
        <f>IFERROR(__xludf.DUMMYFUNCTION("""COMPUTED_VALUE"""),9.4169964)</f>
        <v>9.4169964</v>
      </c>
      <c r="F10" s="12" t="s">
        <v>705</v>
      </c>
      <c r="G10" s="7"/>
      <c r="H10" s="13"/>
    </row>
    <row r="11">
      <c r="A11" s="7" t="s">
        <v>706</v>
      </c>
      <c r="B11" s="7" t="s">
        <v>17</v>
      </c>
      <c r="C11" s="9" t="s">
        <v>707</v>
      </c>
      <c r="D11" s="60">
        <f>IFERROR(__xludf.DUMMYFUNCTION("SPLIT(C11,"","")"),57.271066)</f>
        <v>57.271066</v>
      </c>
      <c r="E11" s="11">
        <f>IFERROR(__xludf.DUMMYFUNCTION("""COMPUTED_VALUE"""),9.6469198)</f>
        <v>9.6469198</v>
      </c>
      <c r="F11" s="12" t="s">
        <v>708</v>
      </c>
      <c r="G11" s="7"/>
      <c r="H11" s="13"/>
    </row>
    <row r="12">
      <c r="A12" s="7" t="s">
        <v>709</v>
      </c>
      <c r="B12" s="7" t="s">
        <v>9</v>
      </c>
      <c r="C12" s="62" t="s">
        <v>710</v>
      </c>
      <c r="D12" s="60">
        <f>IFERROR(__xludf.DUMMYFUNCTION("SPLIT(C12,"","")"),55.0070976)</f>
        <v>55.0070976</v>
      </c>
      <c r="E12" s="11">
        <f>IFERROR(__xludf.DUMMYFUNCTION("""COMPUTED_VALUE"""),11.9121704)</f>
        <v>11.9121704</v>
      </c>
      <c r="F12" s="12" t="s">
        <v>711</v>
      </c>
      <c r="G12" s="7">
        <v>5.0</v>
      </c>
      <c r="H12" s="13" t="s">
        <v>712</v>
      </c>
    </row>
    <row r="13">
      <c r="A13" s="7" t="s">
        <v>713</v>
      </c>
      <c r="B13" s="7" t="s">
        <v>17</v>
      </c>
      <c r="C13" s="9" t="s">
        <v>714</v>
      </c>
      <c r="D13" s="60">
        <f>IFERROR(__xludf.DUMMYFUNCTION("SPLIT(C13,"","")"),55.6736871)</f>
        <v>55.6736871</v>
      </c>
      <c r="E13" s="11">
        <f>IFERROR(__xludf.DUMMYFUNCTION("""COMPUTED_VALUE"""),12.5655668)</f>
        <v>12.5655668</v>
      </c>
      <c r="F13" s="12" t="s">
        <v>715</v>
      </c>
      <c r="G13" s="7"/>
      <c r="H13" s="13" t="s">
        <v>716</v>
      </c>
    </row>
    <row r="14">
      <c r="A14" s="7" t="s">
        <v>256</v>
      </c>
      <c r="B14" s="7" t="s">
        <v>43</v>
      </c>
      <c r="C14" s="9" t="s">
        <v>717</v>
      </c>
      <c r="D14" s="60">
        <f>IFERROR(__xludf.DUMMYFUNCTION("SPLIT(C14,"","")"),56.1051294)</f>
        <v>56.1051294</v>
      </c>
      <c r="E14" s="11">
        <f>IFERROR(__xludf.DUMMYFUNCTION("""COMPUTED_VALUE"""),9.6851738)</f>
        <v>9.6851738</v>
      </c>
      <c r="F14" s="12" t="s">
        <v>718</v>
      </c>
      <c r="G14" s="7">
        <v>5.0</v>
      </c>
      <c r="H14" s="13" t="s">
        <v>719</v>
      </c>
    </row>
    <row r="15">
      <c r="A15" s="7" t="s">
        <v>143</v>
      </c>
      <c r="B15" s="7" t="s">
        <v>720</v>
      </c>
      <c r="C15" s="9" t="s">
        <v>424</v>
      </c>
      <c r="D15" s="60">
        <f>IFERROR(__xludf.DUMMYFUNCTION("SPLIT(C15,"","")"),54.90694)</f>
        <v>54.90694</v>
      </c>
      <c r="E15" s="11">
        <f>IFERROR(__xludf.DUMMYFUNCTION("""COMPUTED_VALUE"""),9.7553901)</f>
        <v>9.7553901</v>
      </c>
      <c r="F15" s="12" t="s">
        <v>721</v>
      </c>
      <c r="G15" s="7">
        <v>5.0</v>
      </c>
      <c r="H15" s="13" t="s">
        <v>722</v>
      </c>
    </row>
    <row r="16">
      <c r="A16" s="7" t="s">
        <v>400</v>
      </c>
      <c r="B16" s="7" t="s">
        <v>51</v>
      </c>
      <c r="C16" s="9" t="s">
        <v>723</v>
      </c>
      <c r="D16" s="60">
        <f>IFERROR(__xludf.DUMMYFUNCTION("SPLIT(C16,"","")"),56.0887157)</f>
        <v>56.0887157</v>
      </c>
      <c r="E16" s="11">
        <f>IFERROR(__xludf.DUMMYFUNCTION("""COMPUTED_VALUE"""),10.2186308)</f>
        <v>10.2186308</v>
      </c>
      <c r="F16" s="12" t="s">
        <v>724</v>
      </c>
      <c r="G16" s="7">
        <v>5.0</v>
      </c>
      <c r="H16" s="13" t="s">
        <v>725</v>
      </c>
    </row>
    <row r="17">
      <c r="A17" s="7"/>
      <c r="B17" s="7"/>
      <c r="C17" s="9"/>
      <c r="D17" s="60" t="str">
        <f>IFERROR(__xludf.DUMMYFUNCTION("SPLIT(C17,"","")"),"#VALUE!")</f>
        <v>#VALUE!</v>
      </c>
      <c r="E17" s="11"/>
      <c r="F17" s="12"/>
      <c r="G17" s="7"/>
      <c r="H17" s="13"/>
    </row>
    <row r="18">
      <c r="A18" s="7"/>
      <c r="B18" s="7"/>
      <c r="C18" s="9"/>
      <c r="D18" s="60" t="str">
        <f>IFERROR(__xludf.DUMMYFUNCTION("SPLIT(C18,"","")"),"#VALUE!")</f>
        <v>#VALUE!</v>
      </c>
      <c r="E18" s="11"/>
      <c r="F18" s="12"/>
      <c r="G18" s="7"/>
      <c r="H18" s="13"/>
    </row>
    <row r="19">
      <c r="A19" s="7"/>
      <c r="B19" s="7"/>
      <c r="C19" s="9"/>
      <c r="D19" s="60" t="str">
        <f>IFERROR(__xludf.DUMMYFUNCTION("SPLIT(C19,"","")"),"#VALUE!")</f>
        <v>#VALUE!</v>
      </c>
      <c r="E19" s="11"/>
      <c r="F19" s="12"/>
      <c r="G19" s="7"/>
      <c r="H19" s="13"/>
    </row>
    <row r="20">
      <c r="A20" s="7"/>
      <c r="B20" s="7"/>
      <c r="C20" s="9"/>
      <c r="D20" s="60" t="str">
        <f>IFERROR(__xludf.DUMMYFUNCTION("SPLIT(C20,"","")"),"#VALUE!")</f>
        <v>#VALUE!</v>
      </c>
      <c r="E20" s="11"/>
      <c r="F20" s="12"/>
      <c r="G20" s="7"/>
      <c r="H20" s="13"/>
    </row>
    <row r="21">
      <c r="A21" s="7"/>
      <c r="B21" s="7"/>
      <c r="C21" s="9"/>
      <c r="D21" s="60" t="str">
        <f>IFERROR(__xludf.DUMMYFUNCTION("SPLIT(C21,"","")"),"#VALUE!")</f>
        <v>#VALUE!</v>
      </c>
      <c r="E21" s="11"/>
      <c r="F21" s="12"/>
      <c r="G21" s="7"/>
      <c r="H21" s="13"/>
    </row>
    <row r="22">
      <c r="A22" s="7"/>
      <c r="B22" s="7"/>
      <c r="C22" s="9"/>
      <c r="D22" s="60" t="str">
        <f>IFERROR(__xludf.DUMMYFUNCTION("SPLIT(C22,"","")"),"#VALUE!")</f>
        <v>#VALUE!</v>
      </c>
      <c r="E22" s="11"/>
      <c r="F22" s="12"/>
      <c r="G22" s="7"/>
      <c r="H22" s="13"/>
    </row>
    <row r="23">
      <c r="A23" s="7"/>
      <c r="B23" s="7"/>
      <c r="C23" s="9"/>
      <c r="D23" s="60" t="str">
        <f>IFERROR(__xludf.DUMMYFUNCTION("SPLIT(C23,"","")"),"#VALUE!")</f>
        <v>#VALUE!</v>
      </c>
      <c r="E23" s="11"/>
      <c r="F23" s="12"/>
      <c r="G23" s="7"/>
      <c r="H23" s="13"/>
    </row>
    <row r="24">
      <c r="A24" s="7"/>
      <c r="B24" s="7"/>
      <c r="C24" s="9"/>
      <c r="D24" s="60" t="str">
        <f>IFERROR(__xludf.DUMMYFUNCTION("SPLIT(C24,"","")"),"#VALUE!")</f>
        <v>#VALUE!</v>
      </c>
      <c r="E24" s="11"/>
      <c r="F24" s="12"/>
      <c r="G24" s="7"/>
      <c r="H24" s="13"/>
    </row>
    <row r="25">
      <c r="A25" s="7"/>
      <c r="B25" s="7"/>
      <c r="C25" s="9"/>
      <c r="D25" s="60" t="str">
        <f>IFERROR(__xludf.DUMMYFUNCTION("SPLIT(C25,"","")"),"#VALUE!")</f>
        <v>#VALUE!</v>
      </c>
      <c r="E25" s="11"/>
      <c r="F25" s="12"/>
      <c r="G25" s="7"/>
      <c r="H25" s="13"/>
    </row>
    <row r="26">
      <c r="A26" s="7"/>
      <c r="B26" s="7"/>
      <c r="C26" s="9"/>
      <c r="D26" s="60" t="str">
        <f>IFERROR(__xludf.DUMMYFUNCTION("SPLIT(C26,"","")"),"#VALUE!")</f>
        <v>#VALUE!</v>
      </c>
      <c r="E26" s="11"/>
      <c r="F26" s="12"/>
      <c r="G26" s="7"/>
      <c r="H26" s="13"/>
    </row>
    <row r="27">
      <c r="A27" s="7"/>
      <c r="B27" s="7"/>
      <c r="C27" s="9"/>
      <c r="D27" s="60" t="str">
        <f>IFERROR(__xludf.DUMMYFUNCTION("SPLIT(C27,"","")"),"#VALUE!")</f>
        <v>#VALUE!</v>
      </c>
      <c r="E27" s="11"/>
      <c r="F27" s="12"/>
      <c r="G27" s="7"/>
      <c r="H27" s="13"/>
    </row>
    <row r="28">
      <c r="A28" s="7"/>
      <c r="B28" s="7"/>
      <c r="C28" s="9"/>
      <c r="D28" s="60" t="str">
        <f>IFERROR(__xludf.DUMMYFUNCTION("SPLIT(C28,"","")"),"#VALUE!")</f>
        <v>#VALUE!</v>
      </c>
      <c r="E28" s="11"/>
      <c r="F28" s="12"/>
      <c r="G28" s="7"/>
      <c r="H28" s="13"/>
    </row>
    <row r="29">
      <c r="A29" s="7"/>
      <c r="B29" s="7"/>
      <c r="C29" s="9"/>
      <c r="D29" s="60" t="str">
        <f>IFERROR(__xludf.DUMMYFUNCTION("SPLIT(C29,"","")"),"#VALUE!")</f>
        <v>#VALUE!</v>
      </c>
      <c r="E29" s="11"/>
      <c r="F29" s="12"/>
      <c r="G29" s="7"/>
      <c r="H29" s="13"/>
    </row>
    <row r="30">
      <c r="A30" s="7"/>
      <c r="B30" s="7"/>
      <c r="C30" s="9"/>
      <c r="D30" s="60" t="str">
        <f>IFERROR(__xludf.DUMMYFUNCTION("SPLIT(C30,"","")"),"#VALUE!")</f>
        <v>#VALUE!</v>
      </c>
      <c r="E30" s="11"/>
      <c r="F30" s="12"/>
      <c r="G30" s="7"/>
      <c r="H30" s="13"/>
    </row>
    <row r="31">
      <c r="A31" s="7"/>
      <c r="B31" s="7"/>
      <c r="C31" s="9"/>
      <c r="D31" s="60" t="str">
        <f>IFERROR(__xludf.DUMMYFUNCTION("SPLIT(C31,"","")"),"#VALUE!")</f>
        <v>#VALUE!</v>
      </c>
      <c r="E31" s="11"/>
      <c r="F31" s="12"/>
      <c r="G31" s="7"/>
      <c r="H31" s="13"/>
    </row>
    <row r="32">
      <c r="A32" s="7"/>
      <c r="B32" s="7"/>
      <c r="C32" s="9"/>
      <c r="D32" s="10"/>
      <c r="E32" s="11"/>
      <c r="F32" s="12"/>
      <c r="G32" s="7"/>
      <c r="H32" s="13"/>
    </row>
    <row r="33">
      <c r="A33" s="7"/>
      <c r="B33" s="7"/>
      <c r="C33" s="9"/>
      <c r="D33" s="10"/>
      <c r="E33" s="11"/>
      <c r="F33" s="12"/>
      <c r="G33" s="7"/>
      <c r="H33" s="13"/>
    </row>
    <row r="34">
      <c r="A34" s="7"/>
      <c r="B34" s="7"/>
      <c r="C34" s="9"/>
      <c r="D34" s="10"/>
      <c r="E34" s="11"/>
      <c r="F34" s="12"/>
      <c r="G34" s="7"/>
      <c r="H34" s="13"/>
    </row>
    <row r="35">
      <c r="A35" s="7"/>
      <c r="B35" s="7"/>
      <c r="C35" s="9"/>
      <c r="D35" s="10"/>
      <c r="E35" s="11"/>
      <c r="F35" s="12"/>
      <c r="G35" s="7"/>
      <c r="H35" s="13"/>
    </row>
    <row r="36">
      <c r="A36" s="7"/>
      <c r="B36" s="7"/>
      <c r="C36" s="9"/>
      <c r="D36" s="10"/>
      <c r="E36" s="11"/>
      <c r="F36" s="12"/>
      <c r="G36" s="7"/>
      <c r="H36" s="13"/>
    </row>
    <row r="37">
      <c r="A37" s="7"/>
      <c r="B37" s="7"/>
      <c r="C37" s="9"/>
      <c r="D37" s="10"/>
      <c r="E37" s="11"/>
      <c r="F37" s="12"/>
      <c r="G37" s="7"/>
      <c r="H37" s="13"/>
    </row>
    <row r="38">
      <c r="A38" s="7"/>
      <c r="B38" s="7"/>
      <c r="C38" s="9"/>
      <c r="D38" s="10"/>
      <c r="E38" s="11"/>
      <c r="F38" s="12"/>
      <c r="G38" s="7"/>
      <c r="H38" s="13"/>
    </row>
    <row r="39">
      <c r="A39" s="7"/>
      <c r="B39" s="7"/>
      <c r="C39" s="9"/>
      <c r="D39" s="10"/>
      <c r="E39" s="11"/>
      <c r="F39" s="12"/>
      <c r="G39" s="7"/>
      <c r="H39" s="13"/>
    </row>
    <row r="40">
      <c r="A40" s="7"/>
      <c r="B40" s="7"/>
      <c r="C40" s="9"/>
      <c r="D40" s="10"/>
      <c r="E40" s="11"/>
      <c r="F40" s="12"/>
      <c r="G40" s="7"/>
      <c r="H40" s="13"/>
    </row>
    <row r="41">
      <c r="A41" s="7"/>
      <c r="B41" s="7"/>
      <c r="C41" s="9"/>
      <c r="D41" s="10"/>
      <c r="E41" s="11"/>
      <c r="F41" s="12"/>
      <c r="G41" s="7"/>
      <c r="H41" s="13"/>
    </row>
    <row r="42">
      <c r="A42" s="7"/>
      <c r="B42" s="7"/>
      <c r="C42" s="9"/>
      <c r="D42" s="10"/>
      <c r="E42" s="11"/>
      <c r="F42" s="12"/>
      <c r="G42" s="7"/>
      <c r="H42" s="13"/>
    </row>
    <row r="43">
      <c r="A43" s="7"/>
      <c r="B43" s="7"/>
      <c r="C43" s="9"/>
      <c r="D43" s="10"/>
      <c r="E43" s="11"/>
      <c r="F43" s="12"/>
      <c r="G43" s="7"/>
      <c r="H43" s="13"/>
    </row>
    <row r="44">
      <c r="A44" s="7"/>
      <c r="B44" s="7"/>
      <c r="C44" s="9"/>
      <c r="D44" s="10"/>
      <c r="E44" s="11"/>
      <c r="F44" s="12"/>
      <c r="G44" s="7"/>
      <c r="H44" s="13"/>
    </row>
    <row r="45">
      <c r="A45" s="7"/>
      <c r="B45" s="7"/>
      <c r="C45" s="9"/>
      <c r="D45" s="10"/>
      <c r="E45" s="11"/>
      <c r="F45" s="12"/>
      <c r="G45" s="7"/>
      <c r="H45" s="13"/>
    </row>
    <row r="46">
      <c r="A46" s="7"/>
      <c r="B46" s="7"/>
      <c r="C46" s="9"/>
      <c r="D46" s="10"/>
      <c r="E46" s="11"/>
      <c r="F46" s="12"/>
      <c r="G46" s="7"/>
      <c r="H46" s="13"/>
    </row>
    <row r="47">
      <c r="A47" s="7"/>
      <c r="B47" s="7"/>
      <c r="C47" s="9"/>
      <c r="D47" s="10"/>
      <c r="E47" s="11"/>
      <c r="F47" s="12"/>
      <c r="G47" s="7"/>
      <c r="H47" s="13"/>
    </row>
    <row r="48">
      <c r="A48" s="7"/>
      <c r="B48" s="7"/>
      <c r="C48" s="9"/>
      <c r="D48" s="10"/>
      <c r="E48" s="11"/>
      <c r="F48" s="12"/>
      <c r="G48" s="7"/>
      <c r="H48" s="13"/>
    </row>
    <row r="49">
      <c r="A49" s="7"/>
      <c r="B49" s="7"/>
      <c r="C49" s="9"/>
      <c r="D49" s="10"/>
      <c r="E49" s="11"/>
      <c r="F49" s="12"/>
      <c r="G49" s="7"/>
      <c r="H49" s="13"/>
    </row>
    <row r="50">
      <c r="A50" s="7"/>
      <c r="B50" s="7"/>
      <c r="C50" s="9"/>
      <c r="D50" s="10"/>
      <c r="E50" s="11"/>
      <c r="F50" s="12"/>
      <c r="G50" s="7"/>
      <c r="H50" s="13"/>
    </row>
    <row r="51">
      <c r="A51" s="7"/>
      <c r="B51" s="7"/>
      <c r="C51" s="9"/>
      <c r="D51" s="10"/>
      <c r="E51" s="11"/>
      <c r="F51" s="12"/>
      <c r="G51" s="7"/>
      <c r="H51" s="13"/>
    </row>
    <row r="52">
      <c r="A52" s="7"/>
      <c r="B52" s="7"/>
      <c r="C52" s="9"/>
      <c r="D52" s="10"/>
      <c r="E52" s="11"/>
      <c r="F52" s="12"/>
      <c r="G52" s="7"/>
      <c r="H52" s="13"/>
    </row>
    <row r="53">
      <c r="A53" s="7"/>
      <c r="B53" s="7"/>
      <c r="C53" s="9"/>
      <c r="D53" s="10"/>
      <c r="E53" s="11"/>
      <c r="F53" s="12"/>
      <c r="G53" s="7"/>
      <c r="H53" s="13"/>
    </row>
    <row r="54">
      <c r="A54" s="7"/>
      <c r="B54" s="7"/>
      <c r="C54" s="9"/>
      <c r="D54" s="10"/>
      <c r="E54" s="11"/>
      <c r="F54" s="12"/>
      <c r="G54" s="7"/>
      <c r="H54" s="13"/>
    </row>
    <row r="55">
      <c r="A55" s="7"/>
      <c r="B55" s="7"/>
      <c r="C55" s="9"/>
      <c r="D55" s="10"/>
      <c r="E55" s="11"/>
      <c r="F55" s="12"/>
      <c r="G55" s="7"/>
      <c r="H55" s="13"/>
    </row>
    <row r="56">
      <c r="A56" s="7"/>
      <c r="B56" s="7"/>
      <c r="C56" s="9"/>
      <c r="D56" s="10"/>
      <c r="E56" s="11"/>
      <c r="F56" s="12"/>
      <c r="G56" s="7"/>
      <c r="H56" s="13"/>
    </row>
    <row r="57">
      <c r="A57" s="7"/>
      <c r="B57" s="7"/>
      <c r="C57" s="9"/>
      <c r="D57" s="10"/>
      <c r="E57" s="11"/>
      <c r="F57" s="12"/>
      <c r="G57" s="7"/>
      <c r="H57" s="13"/>
    </row>
    <row r="58">
      <c r="A58" s="7"/>
      <c r="B58" s="7"/>
      <c r="C58" s="9"/>
      <c r="D58" s="10"/>
      <c r="E58" s="11"/>
      <c r="F58" s="12"/>
      <c r="G58" s="7"/>
      <c r="H58" s="13"/>
    </row>
    <row r="59">
      <c r="A59" s="7"/>
      <c r="B59" s="7"/>
      <c r="C59" s="9"/>
      <c r="D59" s="10"/>
      <c r="E59" s="11"/>
      <c r="F59" s="12"/>
      <c r="G59" s="7"/>
      <c r="H59" s="13"/>
    </row>
    <row r="60">
      <c r="A60" s="7"/>
      <c r="B60" s="7"/>
      <c r="C60" s="9"/>
      <c r="D60" s="10"/>
      <c r="E60" s="11"/>
      <c r="F60" s="12"/>
      <c r="G60" s="7"/>
      <c r="H60" s="13"/>
    </row>
    <row r="61">
      <c r="A61" s="7"/>
      <c r="B61" s="7"/>
      <c r="C61" s="9"/>
      <c r="D61" s="10"/>
      <c r="E61" s="11"/>
      <c r="F61" s="12"/>
      <c r="G61" s="7"/>
      <c r="H61" s="13"/>
    </row>
    <row r="62">
      <c r="A62" s="7"/>
      <c r="B62" s="7"/>
      <c r="C62" s="9"/>
      <c r="D62" s="10"/>
      <c r="E62" s="11"/>
      <c r="F62" s="12"/>
      <c r="G62" s="7"/>
      <c r="H62" s="13"/>
    </row>
    <row r="63">
      <c r="A63" s="7"/>
      <c r="B63" s="7"/>
      <c r="C63" s="9"/>
      <c r="D63" s="10"/>
      <c r="E63" s="11"/>
      <c r="F63" s="12"/>
      <c r="G63" s="7"/>
      <c r="H63" s="13"/>
    </row>
    <row r="64">
      <c r="A64" s="7"/>
      <c r="B64" s="7"/>
      <c r="C64" s="9"/>
      <c r="D64" s="10"/>
      <c r="E64" s="11"/>
      <c r="F64" s="12"/>
      <c r="G64" s="7"/>
      <c r="H64" s="13"/>
    </row>
    <row r="65">
      <c r="A65" s="7"/>
      <c r="B65" s="7"/>
      <c r="C65" s="9"/>
      <c r="D65" s="10"/>
      <c r="E65" s="11"/>
      <c r="F65" s="12"/>
      <c r="G65" s="7"/>
      <c r="H65" s="13"/>
    </row>
    <row r="66">
      <c r="A66" s="7"/>
      <c r="B66" s="7"/>
      <c r="C66" s="9"/>
      <c r="D66" s="10"/>
      <c r="E66" s="11"/>
      <c r="F66" s="12"/>
      <c r="G66" s="7"/>
      <c r="H66" s="13"/>
    </row>
    <row r="67">
      <c r="A67" s="7"/>
      <c r="B67" s="7"/>
      <c r="C67" s="9"/>
      <c r="D67" s="10"/>
      <c r="E67" s="11"/>
      <c r="F67" s="12"/>
      <c r="G67" s="7"/>
      <c r="H67" s="13"/>
    </row>
    <row r="68">
      <c r="A68" s="7"/>
      <c r="B68" s="7"/>
      <c r="C68" s="9"/>
      <c r="D68" s="10"/>
      <c r="E68" s="11"/>
      <c r="F68" s="12"/>
      <c r="G68" s="7"/>
      <c r="H68" s="13"/>
    </row>
    <row r="69">
      <c r="A69" s="7"/>
      <c r="B69" s="7"/>
      <c r="C69" s="9"/>
      <c r="D69" s="10"/>
      <c r="E69" s="11"/>
      <c r="F69" s="12"/>
      <c r="G69" s="7"/>
      <c r="H69" s="13"/>
    </row>
    <row r="70">
      <c r="A70" s="7"/>
      <c r="B70" s="7"/>
      <c r="C70" s="9"/>
      <c r="D70" s="10"/>
      <c r="E70" s="11"/>
      <c r="F70" s="12"/>
      <c r="G70" s="7"/>
      <c r="H70" s="13"/>
    </row>
    <row r="71">
      <c r="A71" s="7"/>
      <c r="B71" s="7"/>
      <c r="C71" s="9"/>
      <c r="D71" s="10"/>
      <c r="E71" s="11"/>
      <c r="F71" s="12"/>
      <c r="G71" s="7"/>
      <c r="H71" s="13"/>
    </row>
    <row r="72">
      <c r="A72" s="7"/>
      <c r="B72" s="7"/>
      <c r="C72" s="9"/>
      <c r="D72" s="10"/>
      <c r="E72" s="11"/>
      <c r="F72" s="12"/>
      <c r="G72" s="7"/>
      <c r="H72" s="13"/>
    </row>
    <row r="73">
      <c r="A73" s="7"/>
      <c r="B73" s="7"/>
      <c r="C73" s="9"/>
      <c r="D73" s="10"/>
      <c r="E73" s="11"/>
      <c r="F73" s="12"/>
      <c r="G73" s="7"/>
      <c r="H73" s="13"/>
    </row>
    <row r="74">
      <c r="A74" s="7"/>
      <c r="B74" s="7"/>
      <c r="C74" s="9"/>
      <c r="D74" s="10"/>
      <c r="E74" s="11"/>
      <c r="F74" s="12"/>
      <c r="G74" s="7"/>
      <c r="H74" s="13"/>
    </row>
    <row r="75">
      <c r="A75" s="7"/>
      <c r="B75" s="7"/>
      <c r="C75" s="9"/>
      <c r="D75" s="10"/>
      <c r="E75" s="11"/>
      <c r="F75" s="12"/>
      <c r="G75" s="7"/>
      <c r="H75" s="13"/>
    </row>
    <row r="76">
      <c r="A76" s="7"/>
      <c r="B76" s="7"/>
      <c r="C76" s="9"/>
      <c r="D76" s="10"/>
      <c r="E76" s="11"/>
      <c r="F76" s="12"/>
      <c r="G76" s="7"/>
      <c r="H76" s="13"/>
    </row>
    <row r="77">
      <c r="A77" s="7"/>
      <c r="B77" s="7"/>
      <c r="C77" s="9"/>
      <c r="D77" s="10"/>
      <c r="E77" s="11"/>
      <c r="F77" s="12"/>
      <c r="G77" s="7"/>
      <c r="H77" s="13"/>
    </row>
    <row r="78">
      <c r="A78" s="7"/>
      <c r="B78" s="7"/>
      <c r="C78" s="9"/>
      <c r="D78" s="10"/>
      <c r="E78" s="11"/>
      <c r="F78" s="12"/>
      <c r="G78" s="7"/>
      <c r="H78" s="13"/>
    </row>
    <row r="79">
      <c r="A79" s="7"/>
      <c r="B79" s="7"/>
      <c r="C79" s="9"/>
      <c r="D79" s="10"/>
      <c r="E79" s="11"/>
      <c r="F79" s="12"/>
      <c r="G79" s="7"/>
      <c r="H79" s="13"/>
    </row>
    <row r="80">
      <c r="A80" s="7"/>
      <c r="B80" s="7"/>
      <c r="C80" s="9"/>
      <c r="D80" s="10"/>
      <c r="E80" s="11"/>
      <c r="F80" s="12"/>
      <c r="G80" s="7"/>
      <c r="H80" s="13"/>
    </row>
    <row r="81">
      <c r="A81" s="7"/>
      <c r="B81" s="7"/>
      <c r="C81" s="9"/>
      <c r="D81" s="10"/>
      <c r="E81" s="11"/>
      <c r="F81" s="12"/>
      <c r="G81" s="7"/>
      <c r="H81" s="13"/>
    </row>
    <row r="82">
      <c r="A82" s="7"/>
      <c r="B82" s="7"/>
      <c r="C82" s="9"/>
      <c r="D82" s="10"/>
      <c r="E82" s="11"/>
      <c r="F82" s="12"/>
      <c r="G82" s="7"/>
      <c r="H82" s="13"/>
    </row>
    <row r="83">
      <c r="A83" s="7"/>
      <c r="B83" s="7"/>
      <c r="C83" s="9"/>
      <c r="D83" s="10"/>
      <c r="E83" s="11"/>
      <c r="F83" s="12"/>
      <c r="G83" s="7"/>
      <c r="H83" s="13"/>
    </row>
    <row r="84">
      <c r="A84" s="7"/>
      <c r="B84" s="7"/>
      <c r="C84" s="9"/>
      <c r="D84" s="10"/>
      <c r="E84" s="11"/>
      <c r="F84" s="12"/>
      <c r="G84" s="7"/>
      <c r="H84" s="13"/>
    </row>
    <row r="85">
      <c r="A85" s="7"/>
      <c r="B85" s="7"/>
      <c r="C85" s="9"/>
      <c r="D85" s="10"/>
      <c r="E85" s="11"/>
      <c r="F85" s="12"/>
      <c r="G85" s="7"/>
      <c r="H85" s="13"/>
    </row>
    <row r="86">
      <c r="A86" s="7"/>
      <c r="B86" s="7"/>
      <c r="C86" s="9"/>
      <c r="D86" s="10"/>
      <c r="E86" s="11"/>
      <c r="F86" s="12"/>
      <c r="G86" s="7"/>
      <c r="H86" s="13"/>
    </row>
    <row r="87">
      <c r="A87" s="7"/>
      <c r="B87" s="7"/>
      <c r="C87" s="9"/>
      <c r="D87" s="10"/>
      <c r="E87" s="11"/>
      <c r="F87" s="12"/>
      <c r="G87" s="7"/>
      <c r="H87" s="13"/>
    </row>
    <row r="88">
      <c r="A88" s="7"/>
      <c r="B88" s="7"/>
      <c r="C88" s="9"/>
      <c r="D88" s="10"/>
      <c r="E88" s="11"/>
      <c r="F88" s="12"/>
      <c r="G88" s="7"/>
      <c r="H88" s="13"/>
    </row>
    <row r="89">
      <c r="A89" s="7"/>
      <c r="B89" s="7"/>
      <c r="C89" s="9"/>
      <c r="D89" s="10"/>
      <c r="E89" s="11"/>
      <c r="F89" s="12"/>
      <c r="G89" s="7"/>
      <c r="H89" s="13"/>
    </row>
    <row r="90">
      <c r="A90" s="7"/>
      <c r="B90" s="7"/>
      <c r="C90" s="9"/>
      <c r="D90" s="10"/>
      <c r="E90" s="11"/>
      <c r="F90" s="12"/>
      <c r="G90" s="7"/>
      <c r="H90" s="13"/>
    </row>
    <row r="91">
      <c r="A91" s="7"/>
      <c r="B91" s="7"/>
      <c r="C91" s="9"/>
      <c r="D91" s="10"/>
      <c r="E91" s="11"/>
      <c r="F91" s="12"/>
      <c r="G91" s="7"/>
      <c r="H91" s="13"/>
    </row>
    <row r="92">
      <c r="A92" s="7"/>
      <c r="B92" s="7"/>
      <c r="C92" s="9"/>
      <c r="D92" s="10"/>
      <c r="E92" s="11"/>
      <c r="F92" s="12"/>
      <c r="G92" s="7"/>
      <c r="H92" s="13"/>
    </row>
    <row r="93">
      <c r="A93" s="7"/>
      <c r="B93" s="7"/>
      <c r="C93" s="9"/>
      <c r="D93" s="10"/>
      <c r="E93" s="11"/>
      <c r="F93" s="12"/>
      <c r="G93" s="7"/>
      <c r="H93" s="13"/>
    </row>
    <row r="94">
      <c r="A94" s="7"/>
      <c r="B94" s="7"/>
      <c r="C94" s="9"/>
      <c r="D94" s="10"/>
      <c r="E94" s="11"/>
      <c r="F94" s="12"/>
      <c r="G94" s="7"/>
      <c r="H94" s="13"/>
    </row>
    <row r="95">
      <c r="A95" s="7"/>
      <c r="B95" s="7"/>
      <c r="C95" s="9"/>
      <c r="D95" s="10"/>
      <c r="E95" s="11"/>
      <c r="F95" s="12"/>
      <c r="G95" s="7"/>
      <c r="H95" s="13"/>
    </row>
    <row r="96">
      <c r="A96" s="7"/>
      <c r="B96" s="7"/>
      <c r="C96" s="9"/>
      <c r="D96" s="10"/>
      <c r="E96" s="11"/>
      <c r="F96" s="12"/>
      <c r="G96" s="7"/>
      <c r="H96" s="13"/>
    </row>
    <row r="97">
      <c r="A97" s="7"/>
      <c r="B97" s="7"/>
      <c r="C97" s="9"/>
      <c r="D97" s="10"/>
      <c r="E97" s="11"/>
      <c r="F97" s="12"/>
      <c r="G97" s="7"/>
      <c r="H97" s="13"/>
    </row>
    <row r="98">
      <c r="A98" s="7"/>
      <c r="B98" s="7"/>
      <c r="C98" s="9"/>
      <c r="D98" s="10"/>
      <c r="E98" s="11"/>
      <c r="F98" s="12"/>
      <c r="G98" s="7"/>
      <c r="H98" s="13"/>
    </row>
    <row r="99">
      <c r="A99" s="7"/>
      <c r="B99" s="7"/>
      <c r="C99" s="9"/>
      <c r="D99" s="10"/>
      <c r="E99" s="11"/>
      <c r="F99" s="12"/>
      <c r="G99" s="7"/>
      <c r="H99" s="13"/>
    </row>
    <row r="100">
      <c r="A100" s="7"/>
      <c r="B100" s="7"/>
      <c r="C100" s="9"/>
      <c r="D100" s="10"/>
      <c r="E100" s="11"/>
      <c r="F100" s="12"/>
      <c r="G100" s="7"/>
      <c r="H100" s="13"/>
    </row>
    <row r="101">
      <c r="A101" s="7"/>
      <c r="B101" s="7"/>
      <c r="C101" s="9"/>
      <c r="D101" s="10"/>
      <c r="E101" s="11"/>
      <c r="F101" s="12"/>
      <c r="G101" s="7"/>
      <c r="H101" s="13"/>
    </row>
  </sheetData>
  <dataValidations>
    <dataValidation type="list" allowBlank="1" sqref="B2:B101">
      <formula1>Lookups!$A$1:$A$6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7.13"/>
    <col customWidth="1" min="3" max="3" width="30.25"/>
    <col customWidth="1" min="4" max="4" width="14.75"/>
    <col customWidth="1" min="6" max="6" width="139.63"/>
    <col customWidth="1" min="8" max="8" width="19.0"/>
  </cols>
  <sheetData>
    <row r="1">
      <c r="A1" s="2" t="s">
        <v>0</v>
      </c>
      <c r="B1" s="2" t="s">
        <v>1</v>
      </c>
      <c r="C1" s="27" t="s">
        <v>276</v>
      </c>
      <c r="D1" s="4" t="s">
        <v>3</v>
      </c>
      <c r="E1" s="5" t="s">
        <v>4</v>
      </c>
      <c r="F1" s="2" t="s">
        <v>5</v>
      </c>
      <c r="G1" s="6" t="s">
        <v>6</v>
      </c>
      <c r="H1" s="7" t="s">
        <v>7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7" t="s">
        <v>8</v>
      </c>
      <c r="B2" s="7" t="s">
        <v>9</v>
      </c>
      <c r="C2" s="9" t="s">
        <v>10</v>
      </c>
      <c r="D2" s="10">
        <f>IFERROR(__xludf.DUMMYFUNCTION("SPLIT(C2,"","")"),57.0482555)</f>
        <v>57.0482555</v>
      </c>
      <c r="E2" s="11">
        <f>IFERROR(__xludf.DUMMYFUNCTION("""COMPUTED_VALUE"""),9.913457)</f>
        <v>9.913457</v>
      </c>
      <c r="F2" s="12" t="s">
        <v>11</v>
      </c>
      <c r="G2" s="7">
        <v>3.0</v>
      </c>
      <c r="H2" s="13" t="s">
        <v>12</v>
      </c>
    </row>
    <row r="3">
      <c r="A3" s="13" t="s">
        <v>127</v>
      </c>
      <c r="B3" s="13" t="s">
        <v>726</v>
      </c>
      <c r="C3" s="13" t="s">
        <v>727</v>
      </c>
      <c r="D3" s="10">
        <f>IFERROR(__xludf.DUMMYFUNCTION("SPLIT(C3,"","")"),56.142848)</f>
        <v>56.142848</v>
      </c>
      <c r="E3" s="11">
        <f>IFERROR(__xludf.DUMMYFUNCTION("""COMPUTED_VALUE"""),10.1946182)</f>
        <v>10.1946182</v>
      </c>
      <c r="F3" s="13" t="s">
        <v>728</v>
      </c>
      <c r="G3" s="13">
        <v>3.0</v>
      </c>
    </row>
    <row r="4">
      <c r="A4" s="13" t="s">
        <v>127</v>
      </c>
      <c r="B4" s="13" t="s">
        <v>729</v>
      </c>
      <c r="C4" s="13" t="s">
        <v>730</v>
      </c>
      <c r="D4" s="10">
        <f>IFERROR(__xludf.DUMMYFUNCTION("SPLIT(C4,"","")"),56.1708646)</f>
        <v>56.1708646</v>
      </c>
      <c r="E4" s="11">
        <f>IFERROR(__xludf.DUMMYFUNCTION("""COMPUTED_VALUE"""),10.2040287)</f>
        <v>10.2040287</v>
      </c>
      <c r="F4" s="13" t="s">
        <v>293</v>
      </c>
      <c r="G4" s="13">
        <v>3.0</v>
      </c>
    </row>
    <row r="5">
      <c r="A5" s="13" t="s">
        <v>127</v>
      </c>
      <c r="B5" s="13" t="s">
        <v>731</v>
      </c>
      <c r="C5" s="13" t="s">
        <v>732</v>
      </c>
      <c r="D5" s="10">
        <f>IFERROR(__xludf.DUMMYFUNCTION("SPLIT(C5,"","")"),56.1529896)</f>
        <v>56.1529896</v>
      </c>
      <c r="E5" s="11">
        <f>IFERROR(__xludf.DUMMYFUNCTION("""COMPUTED_VALUE"""),10.2035677)</f>
        <v>10.2035677</v>
      </c>
      <c r="F5" s="13" t="s">
        <v>733</v>
      </c>
      <c r="G5" s="13">
        <v>5.0</v>
      </c>
    </row>
    <row r="6">
      <c r="A6" s="13" t="s">
        <v>734</v>
      </c>
      <c r="B6" s="13" t="s">
        <v>735</v>
      </c>
      <c r="C6" s="13" t="s">
        <v>736</v>
      </c>
      <c r="D6" s="10">
        <f>IFERROR(__xludf.DUMMYFUNCTION("SPLIT(C6,"","")"),56.0800343)</f>
        <v>56.0800343</v>
      </c>
      <c r="E6" s="11">
        <f>IFERROR(__xludf.DUMMYFUNCTION("""COMPUTED_VALUE"""),9.6883882)</f>
        <v>9.6883882</v>
      </c>
      <c r="F6" s="13" t="s">
        <v>737</v>
      </c>
      <c r="G6" s="13">
        <v>3.0</v>
      </c>
    </row>
    <row r="7">
      <c r="A7" s="13" t="s">
        <v>738</v>
      </c>
      <c r="B7" s="13" t="s">
        <v>739</v>
      </c>
      <c r="C7" s="13" t="s">
        <v>740</v>
      </c>
      <c r="D7" s="10">
        <f>IFERROR(__xludf.DUMMYFUNCTION("SPLIT(C7,"","")"),54.9646224)</f>
        <v>54.9646224</v>
      </c>
      <c r="E7" s="11">
        <f>IFERROR(__xludf.DUMMYFUNCTION("""COMPUTED_VALUE"""),12.5418424)</f>
        <v>12.5418424</v>
      </c>
      <c r="F7" s="13" t="s">
        <v>741</v>
      </c>
      <c r="G7" s="13">
        <v>3.0</v>
      </c>
    </row>
    <row r="8">
      <c r="A8" s="13" t="s">
        <v>742</v>
      </c>
      <c r="B8" s="13" t="s">
        <v>743</v>
      </c>
      <c r="C8" s="13" t="s">
        <v>744</v>
      </c>
      <c r="D8" s="10">
        <f>IFERROR(__xludf.DUMMYFUNCTION("SPLIT(C8,"","")"),56.1715151)</f>
        <v>56.1715151</v>
      </c>
      <c r="E8" s="11">
        <f>IFERROR(__xludf.DUMMYFUNCTION("""COMPUTED_VALUE"""),10.1992008)</f>
        <v>10.1992008</v>
      </c>
      <c r="F8" s="13" t="s">
        <v>743</v>
      </c>
      <c r="G8" s="13">
        <v>5.0</v>
      </c>
    </row>
    <row r="9">
      <c r="A9" s="13" t="s">
        <v>127</v>
      </c>
      <c r="B9" s="13" t="s">
        <v>731</v>
      </c>
      <c r="C9" s="13" t="s">
        <v>745</v>
      </c>
      <c r="D9" s="10">
        <f>IFERROR(__xludf.DUMMYFUNCTION("SPLIT(C9,"","")"),56.2097851)</f>
        <v>56.2097851</v>
      </c>
      <c r="E9" s="11">
        <f>IFERROR(__xludf.DUMMYFUNCTION("""COMPUTED_VALUE"""),10.1734996)</f>
        <v>10.1734996</v>
      </c>
      <c r="F9" s="13" t="s">
        <v>746</v>
      </c>
      <c r="G9" s="13">
        <v>1.0</v>
      </c>
    </row>
    <row r="10">
      <c r="A10" s="13" t="s">
        <v>178</v>
      </c>
      <c r="B10" s="13" t="s">
        <v>179</v>
      </c>
      <c r="C10" s="14" t="s">
        <v>180</v>
      </c>
      <c r="D10" s="10">
        <f>IFERROR(__xludf.DUMMYFUNCTION("SPLIT(C10,"","")"),55.6772290735211)</f>
        <v>55.67722907</v>
      </c>
      <c r="E10" s="11">
        <f>IFERROR(__xludf.DUMMYFUNCTION("""COMPUTED_VALUE"""),12.5823327470042)</f>
        <v>12.58233275</v>
      </c>
      <c r="F10" s="13" t="s">
        <v>181</v>
      </c>
      <c r="G10" s="13">
        <v>3.0</v>
      </c>
    </row>
    <row r="11">
      <c r="A11" s="13" t="s">
        <v>183</v>
      </c>
      <c r="B11" s="13" t="s">
        <v>165</v>
      </c>
      <c r="C11" s="14" t="s">
        <v>184</v>
      </c>
      <c r="D11" s="10">
        <f>IFERROR(__xludf.DUMMYFUNCTION("SPLIT(C11,"","")"),55.3987223)</f>
        <v>55.3987223</v>
      </c>
      <c r="E11" s="11">
        <f>IFERROR(__xludf.DUMMYFUNCTION("""COMPUTED_VALUE"""),10.3886106)</f>
        <v>10.3886106</v>
      </c>
      <c r="F11" s="13" t="s">
        <v>185</v>
      </c>
      <c r="G11" s="13">
        <v>2.0</v>
      </c>
    </row>
    <row r="12">
      <c r="A12" s="13" t="s">
        <v>186</v>
      </c>
      <c r="B12" s="13" t="s">
        <v>187</v>
      </c>
      <c r="C12" s="14" t="s">
        <v>188</v>
      </c>
      <c r="D12" s="10">
        <f>IFERROR(__xludf.DUMMYFUNCTION("SPLIT(C12,"","")"),56.1321311)</f>
        <v>56.1321311</v>
      </c>
      <c r="E12" s="11">
        <f>IFERROR(__xludf.DUMMYFUNCTION("""COMPUTED_VALUE"""),9.0200594)</f>
        <v>9.0200594</v>
      </c>
      <c r="F12" s="13" t="s">
        <v>189</v>
      </c>
      <c r="G12" s="13">
        <v>4.0</v>
      </c>
    </row>
    <row r="13">
      <c r="A13" s="13" t="s">
        <v>191</v>
      </c>
      <c r="B13" s="13" t="s">
        <v>192</v>
      </c>
      <c r="C13" s="21" t="s">
        <v>193</v>
      </c>
      <c r="D13" s="10">
        <f>IFERROR(__xludf.DUMMYFUNCTION("SPLIT(C13,"","")"),55.9777778)</f>
        <v>55.9777778</v>
      </c>
      <c r="E13" s="11">
        <f>IFERROR(__xludf.DUMMYFUNCTION("""COMPUTED_VALUE"""),9.8330556)</f>
        <v>9.8330556</v>
      </c>
      <c r="F13" s="13" t="s">
        <v>194</v>
      </c>
      <c r="G13" s="13">
        <v>3.0</v>
      </c>
    </row>
    <row r="14">
      <c r="A14" s="13" t="s">
        <v>195</v>
      </c>
      <c r="B14" s="13" t="s">
        <v>196</v>
      </c>
      <c r="C14" s="14" t="s">
        <v>197</v>
      </c>
      <c r="D14" s="10">
        <f>IFERROR(__xludf.DUMMYFUNCTION("SPLIT(C14,"","")"),57.120834)</f>
        <v>57.120834</v>
      </c>
      <c r="E14" s="11">
        <f>IFERROR(__xludf.DUMMYFUNCTION("""COMPUTED_VALUE"""),8.6143056)</f>
        <v>8.6143056</v>
      </c>
      <c r="F14" s="13" t="s">
        <v>198</v>
      </c>
      <c r="G14" s="13">
        <v>5.0</v>
      </c>
    </row>
    <row r="15">
      <c r="A15" s="13" t="s">
        <v>200</v>
      </c>
      <c r="B15" s="13" t="s">
        <v>201</v>
      </c>
      <c r="C15" s="24" t="s">
        <v>202</v>
      </c>
      <c r="D15" s="10">
        <f>IFERROR(__xludf.DUMMYFUNCTION("SPLIT(C15,"","")"),55.62818)</f>
        <v>55.62818</v>
      </c>
      <c r="E15" s="11">
        <f>IFERROR(__xludf.DUMMYFUNCTION("""COMPUTED_VALUE"""),12.65571)</f>
        <v>12.65571</v>
      </c>
      <c r="F15" s="13"/>
      <c r="G15" s="13">
        <v>1.0</v>
      </c>
    </row>
    <row r="16">
      <c r="A16" s="13" t="s">
        <v>204</v>
      </c>
      <c r="B16" s="13" t="s">
        <v>205</v>
      </c>
      <c r="C16" s="14" t="s">
        <v>206</v>
      </c>
      <c r="D16" s="10">
        <f>IFERROR(__xludf.DUMMYFUNCTION("SPLIT(C16,"","")"),55.0044807)</f>
        <v>55.0044807</v>
      </c>
      <c r="E16" s="11">
        <f>IFERROR(__xludf.DUMMYFUNCTION("""COMPUTED_VALUE"""),9.8836249)</f>
        <v>9.8836249</v>
      </c>
      <c r="F16" s="13" t="s">
        <v>207</v>
      </c>
      <c r="G16" s="13">
        <v>1.0</v>
      </c>
    </row>
    <row r="17">
      <c r="A17" s="13" t="s">
        <v>209</v>
      </c>
      <c r="B17" s="13" t="s">
        <v>210</v>
      </c>
      <c r="C17" s="14" t="s">
        <v>211</v>
      </c>
      <c r="D17" s="10">
        <f>IFERROR(__xludf.DUMMYFUNCTION("SPLIT(C17,"","")"),55.6724123)</f>
        <v>55.6724123</v>
      </c>
      <c r="E17" s="11">
        <f>IFERROR(__xludf.DUMMYFUNCTION("""COMPUTED_VALUE"""),12.5191694)</f>
        <v>12.5191694</v>
      </c>
      <c r="F17" s="13" t="s">
        <v>212</v>
      </c>
      <c r="G17" s="13">
        <v>4.0</v>
      </c>
    </row>
    <row r="18">
      <c r="A18" s="13" t="s">
        <v>213</v>
      </c>
      <c r="B18" s="13" t="s">
        <v>165</v>
      </c>
      <c r="C18" s="14" t="s">
        <v>214</v>
      </c>
      <c r="D18" s="10">
        <f>IFERROR(__xludf.DUMMYFUNCTION("SPLIT(C18,"","")"),56.5695813)</f>
        <v>56.5695813</v>
      </c>
      <c r="E18" s="11">
        <f>IFERROR(__xludf.DUMMYFUNCTION("""COMPUTED_VALUE"""),9.0344728)</f>
        <v>9.0344728</v>
      </c>
      <c r="F18" s="13" t="s">
        <v>215</v>
      </c>
      <c r="G18" s="13">
        <v>4.0</v>
      </c>
    </row>
    <row r="19">
      <c r="A19" s="13" t="s">
        <v>141</v>
      </c>
      <c r="B19" s="13" t="s">
        <v>217</v>
      </c>
      <c r="C19" s="14" t="s">
        <v>218</v>
      </c>
      <c r="D19" s="10">
        <f>IFERROR(__xludf.DUMMYFUNCTION("SPLIT(C19,"","")"),55.7331014)</f>
        <v>55.7331014</v>
      </c>
      <c r="E19" s="11">
        <f>IFERROR(__xludf.DUMMYFUNCTION("""COMPUTED_VALUE"""),9.1355325)</f>
        <v>9.1355325</v>
      </c>
      <c r="F19" s="13" t="s">
        <v>219</v>
      </c>
      <c r="G19" s="13">
        <v>5.0</v>
      </c>
    </row>
    <row r="20">
      <c r="A20" s="13" t="s">
        <v>221</v>
      </c>
      <c r="B20" s="13" t="s">
        <v>169</v>
      </c>
      <c r="C20" s="14" t="s">
        <v>222</v>
      </c>
      <c r="D20" s="10">
        <f>IFERROR(__xludf.DUMMYFUNCTION("SPLIT(C20,"","")"),56.2032959)</f>
        <v>56.2032959</v>
      </c>
      <c r="E20" s="11">
        <f>IFERROR(__xludf.DUMMYFUNCTION("""COMPUTED_VALUE"""),10.190962)</f>
        <v>10.190962</v>
      </c>
      <c r="F20" s="13" t="s">
        <v>223</v>
      </c>
      <c r="G20" s="13">
        <v>4.0</v>
      </c>
    </row>
    <row r="21">
      <c r="A21" s="13" t="s">
        <v>127</v>
      </c>
      <c r="B21" s="13" t="s">
        <v>187</v>
      </c>
      <c r="C21" s="14" t="s">
        <v>225</v>
      </c>
      <c r="D21" s="10">
        <f>IFERROR(__xludf.DUMMYFUNCTION("SPLIT(C21,"","")"),56.1572237)</f>
        <v>56.1572237</v>
      </c>
      <c r="E21" s="11">
        <f>IFERROR(__xludf.DUMMYFUNCTION("""COMPUTED_VALUE"""),10.2092291)</f>
        <v>10.2092291</v>
      </c>
      <c r="F21" s="13" t="s">
        <v>226</v>
      </c>
      <c r="G21" s="13">
        <v>2.0</v>
      </c>
    </row>
    <row r="22">
      <c r="A22" s="13" t="s">
        <v>127</v>
      </c>
      <c r="B22" s="13" t="s">
        <v>169</v>
      </c>
      <c r="C22" s="14" t="s">
        <v>228</v>
      </c>
      <c r="D22" s="10">
        <f>IFERROR(__xludf.DUMMYFUNCTION("SPLIT(C22,"","")"),56.1761411)</f>
        <v>56.1761411</v>
      </c>
      <c r="E22" s="11">
        <f>IFERROR(__xludf.DUMMYFUNCTION("""COMPUTED_VALUE"""),10.2175407)</f>
        <v>10.2175407</v>
      </c>
      <c r="F22" s="13" t="s">
        <v>229</v>
      </c>
      <c r="G22" s="13">
        <v>4.0</v>
      </c>
    </row>
    <row r="23">
      <c r="A23" s="13" t="s">
        <v>231</v>
      </c>
      <c r="B23" s="13" t="s">
        <v>144</v>
      </c>
      <c r="C23" s="14" t="s">
        <v>232</v>
      </c>
      <c r="D23" s="10">
        <f>IFERROR(__xludf.DUMMYFUNCTION("SPLIT(C23,"","")"),55.491593)</f>
        <v>55.491593</v>
      </c>
      <c r="E23" s="11">
        <f>IFERROR(__xludf.DUMMYFUNCTION("""COMPUTED_VALUE"""),9.4741576)</f>
        <v>9.4741576</v>
      </c>
      <c r="F23" s="13" t="s">
        <v>233</v>
      </c>
      <c r="G23" s="13">
        <v>5.0</v>
      </c>
    </row>
    <row r="24">
      <c r="A24" s="13" t="s">
        <v>235</v>
      </c>
      <c r="B24" s="13" t="s">
        <v>187</v>
      </c>
      <c r="C24" s="14" t="s">
        <v>236</v>
      </c>
      <c r="D24" s="10">
        <f>IFERROR(__xludf.DUMMYFUNCTION("SPLIT(C24,"","")"),56.0864107)</f>
        <v>56.0864107</v>
      </c>
      <c r="E24" s="11">
        <f>IFERROR(__xludf.DUMMYFUNCTION("""COMPUTED_VALUE"""),12.3963899)</f>
        <v>12.3963899</v>
      </c>
      <c r="F24" s="25" t="s">
        <v>237</v>
      </c>
      <c r="G24" s="13">
        <v>5.0</v>
      </c>
    </row>
    <row r="25">
      <c r="A25" s="13" t="s">
        <v>239</v>
      </c>
      <c r="B25" s="13" t="s">
        <v>240</v>
      </c>
      <c r="C25" s="14" t="s">
        <v>241</v>
      </c>
      <c r="D25" s="10">
        <f>IFERROR(__xludf.DUMMYFUNCTION("SPLIT(C25,"","")"),55.4786324)</f>
        <v>55.4786324</v>
      </c>
      <c r="E25" s="11">
        <f>IFERROR(__xludf.DUMMYFUNCTION("""COMPUTED_VALUE"""),8.435908)</f>
        <v>8.435908</v>
      </c>
      <c r="F25" s="13" t="s">
        <v>242</v>
      </c>
      <c r="G25" s="13">
        <v>2.0</v>
      </c>
    </row>
    <row r="26">
      <c r="A26" s="13" t="s">
        <v>243</v>
      </c>
      <c r="B26" s="13" t="s">
        <v>244</v>
      </c>
      <c r="C26" s="14" t="s">
        <v>245</v>
      </c>
      <c r="D26" s="10">
        <f>IFERROR(__xludf.DUMMYFUNCTION("SPLIT(C26,"","")"),56.1588841330794)</f>
        <v>56.15888413</v>
      </c>
      <c r="E26" s="11">
        <f>IFERROR(__xludf.DUMMYFUNCTION("""COMPUTED_VALUE"""),10.1921259346043)</f>
        <v>10.19212593</v>
      </c>
      <c r="F26" s="13" t="s">
        <v>246</v>
      </c>
      <c r="G26" s="13">
        <v>5.0</v>
      </c>
    </row>
    <row r="27">
      <c r="A27" s="13" t="s">
        <v>247</v>
      </c>
      <c r="B27" s="13" t="s">
        <v>248</v>
      </c>
      <c r="C27" s="14" t="s">
        <v>249</v>
      </c>
      <c r="D27" s="10">
        <f>IFERROR(__xludf.DUMMYFUNCTION("SPLIT(C27,"","")"),56.1053065)</f>
        <v>56.1053065</v>
      </c>
      <c r="E27" s="11">
        <f>IFERROR(__xludf.DUMMYFUNCTION("""COMPUTED_VALUE"""),9.6848622)</f>
        <v>9.6848622</v>
      </c>
      <c r="F27" s="15">
        <f>IFERROR(__xludf.DUMMYFUNCTION("""COMPUTED_VALUE"""),15.0)</f>
        <v>15</v>
      </c>
      <c r="G27" s="13">
        <v>5.0</v>
      </c>
    </row>
    <row r="28">
      <c r="A28" s="13" t="s">
        <v>250</v>
      </c>
      <c r="B28" s="13" t="s">
        <v>251</v>
      </c>
      <c r="C28" s="14" t="s">
        <v>252</v>
      </c>
      <c r="D28" s="10">
        <f>IFERROR(__xludf.DUMMYFUNCTION("SPLIT(C28,"","")"),56.1731742972829)</f>
        <v>56.1731743</v>
      </c>
      <c r="E28" s="11">
        <f>IFERROR(__xludf.DUMMYFUNCTION("""COMPUTED_VALUE"""),9.55695752018396)</f>
        <v>9.55695752</v>
      </c>
      <c r="F28" s="13" t="s">
        <v>253</v>
      </c>
      <c r="G28" s="13">
        <v>5.0</v>
      </c>
    </row>
    <row r="29">
      <c r="A29" s="13" t="s">
        <v>254</v>
      </c>
      <c r="B29" s="13" t="s">
        <v>169</v>
      </c>
      <c r="C29" s="14" t="s">
        <v>255</v>
      </c>
      <c r="D29" s="10">
        <f>IFERROR(__xludf.DUMMYFUNCTION("SPLIT(C29,"","")"),56.2010145)</f>
        <v>56.2010145</v>
      </c>
      <c r="E29" s="11">
        <f>IFERROR(__xludf.DUMMYFUNCTION("""COMPUTED_VALUE"""),8.9632962)</f>
        <v>8.9632962</v>
      </c>
      <c r="F29" s="13" t="s">
        <v>254</v>
      </c>
      <c r="G29" s="13">
        <v>3.0</v>
      </c>
    </row>
    <row r="30">
      <c r="A30" s="13" t="s">
        <v>256</v>
      </c>
      <c r="B30" s="13" t="s">
        <v>43</v>
      </c>
      <c r="C30" s="14" t="s">
        <v>257</v>
      </c>
      <c r="D30" s="10">
        <f>IFERROR(__xludf.DUMMYFUNCTION("SPLIT(C30,"","")"),56.104165)</f>
        <v>56.104165</v>
      </c>
      <c r="E30" s="26">
        <f>IFERROR(__xludf.DUMMYFUNCTION("""COMPUTED_VALUE"""),9.669434)</f>
        <v>9.669434</v>
      </c>
      <c r="F30" s="13" t="s">
        <v>258</v>
      </c>
      <c r="G30" s="13">
        <v>5.0</v>
      </c>
    </row>
    <row r="31">
      <c r="A31" s="13" t="s">
        <v>260</v>
      </c>
      <c r="B31" s="13" t="s">
        <v>261</v>
      </c>
      <c r="C31" s="14" t="s">
        <v>262</v>
      </c>
      <c r="D31" s="10">
        <f>IFERROR(__xludf.DUMMYFUNCTION("SPLIT(C31,"","")"),55.3953875)</f>
        <v>55.3953875</v>
      </c>
      <c r="E31" s="11">
        <f>IFERROR(__xludf.DUMMYFUNCTION("""COMPUTED_VALUE"""),10.389136)</f>
        <v>10.389136</v>
      </c>
      <c r="F31" s="13" t="s">
        <v>263</v>
      </c>
      <c r="G31" s="13">
        <v>5.0</v>
      </c>
    </row>
    <row r="32">
      <c r="A32" s="13" t="s">
        <v>264</v>
      </c>
      <c r="B32" s="13" t="s">
        <v>265</v>
      </c>
      <c r="C32" s="14" t="s">
        <v>266</v>
      </c>
      <c r="D32" s="10">
        <f>IFERROR(__xludf.DUMMYFUNCTION("SPLIT(C32,"","")"),56.1725556)</f>
        <v>56.1725556</v>
      </c>
      <c r="E32" s="11">
        <f>IFERROR(__xludf.DUMMYFUNCTION("""COMPUTED_VALUE"""),10.205593)</f>
        <v>10.205593</v>
      </c>
      <c r="F32" s="13" t="s">
        <v>264</v>
      </c>
      <c r="G32" s="13">
        <v>5.0</v>
      </c>
    </row>
    <row r="33">
      <c r="A33" s="13" t="s">
        <v>267</v>
      </c>
      <c r="B33" s="13" t="s">
        <v>268</v>
      </c>
      <c r="C33" s="14" t="s">
        <v>269</v>
      </c>
      <c r="D33" s="10">
        <f>IFERROR(__xludf.DUMMYFUNCTION("SPLIT(C33,"","")"),56.205574)</f>
        <v>56.205574</v>
      </c>
      <c r="E33" s="11">
        <f>IFERROR(__xludf.DUMMYFUNCTION("""COMPUTED_VALUE"""),8.9065236)</f>
        <v>8.9065236</v>
      </c>
      <c r="F33" s="13" t="s">
        <v>270</v>
      </c>
      <c r="G33" s="13">
        <v>1.0</v>
      </c>
    </row>
    <row r="34">
      <c r="A34" s="13" t="s">
        <v>272</v>
      </c>
      <c r="B34" s="13" t="s">
        <v>273</v>
      </c>
      <c r="C34" s="14" t="s">
        <v>274</v>
      </c>
      <c r="D34" s="10">
        <f>IFERROR(__xludf.DUMMYFUNCTION("SPLIT(C34,"","")"),56.2814)</f>
        <v>56.2814</v>
      </c>
      <c r="E34" s="11">
        <f>IFERROR(__xludf.DUMMYFUNCTION("""COMPUTED_VALUE"""),10.69054)</f>
        <v>10.69054</v>
      </c>
      <c r="F34" s="13" t="s">
        <v>275</v>
      </c>
      <c r="G34" s="13">
        <v>5.0</v>
      </c>
    </row>
    <row r="35">
      <c r="A35" s="13" t="s">
        <v>747</v>
      </c>
      <c r="B35" s="13" t="s">
        <v>748</v>
      </c>
      <c r="C35" s="13" t="s">
        <v>749</v>
      </c>
      <c r="D35" s="10">
        <f>IFERROR(__xludf.DUMMYFUNCTION("SPLIT(C35,"","")"),54.7726278)</f>
        <v>54.7726278</v>
      </c>
      <c r="E35" s="11">
        <f>IFERROR(__xludf.DUMMYFUNCTION("""COMPUTED_VALUE"""),11.4973362)</f>
        <v>11.4973362</v>
      </c>
      <c r="F35" s="13" t="s">
        <v>750</v>
      </c>
      <c r="G35" s="13">
        <v>4.0</v>
      </c>
      <c r="H35" s="13" t="s">
        <v>751</v>
      </c>
    </row>
    <row r="36">
      <c r="A36" s="13" t="s">
        <v>752</v>
      </c>
      <c r="B36" s="13" t="s">
        <v>43</v>
      </c>
      <c r="C36" s="13" t="s">
        <v>753</v>
      </c>
      <c r="D36" s="10">
        <f>IFERROR(__xludf.DUMMYFUNCTION("SPLIT(C36,"","")"),57.7444016)</f>
        <v>57.7444016</v>
      </c>
      <c r="E36" s="11">
        <f>IFERROR(__xludf.DUMMYFUNCTION("""COMPUTED_VALUE"""),10.6490276)</f>
        <v>10.6490276</v>
      </c>
      <c r="F36" s="13" t="s">
        <v>754</v>
      </c>
      <c r="G36" s="13">
        <v>4.0</v>
      </c>
      <c r="H36" s="13" t="s">
        <v>755</v>
      </c>
    </row>
    <row r="37">
      <c r="A37" s="13" t="s">
        <v>756</v>
      </c>
      <c r="B37" s="13" t="s">
        <v>757</v>
      </c>
      <c r="C37" s="13" t="s">
        <v>758</v>
      </c>
      <c r="D37" s="10">
        <f>IFERROR(__xludf.DUMMYFUNCTION("SPLIT(C37,"","")"),55.8719042)</f>
        <v>55.8719042</v>
      </c>
      <c r="E37" s="11">
        <f>IFERROR(__xludf.DUMMYFUNCTION("""COMPUTED_VALUE"""),9.8591218)</f>
        <v>9.8591218</v>
      </c>
      <c r="F37" s="13" t="s">
        <v>759</v>
      </c>
      <c r="G37" s="13">
        <v>3.0</v>
      </c>
    </row>
    <row r="38">
      <c r="A38" s="13" t="s">
        <v>760</v>
      </c>
      <c r="B38" s="13" t="s">
        <v>244</v>
      </c>
      <c r="C38" s="13" t="s">
        <v>761</v>
      </c>
      <c r="D38" s="10">
        <f>IFERROR(__xludf.DUMMYFUNCTION("SPLIT(C38,"","")"),54.6680611)</f>
        <v>54.6680611</v>
      </c>
      <c r="E38" s="11">
        <f>IFERROR(__xludf.DUMMYFUNCTION("""COMPUTED_VALUE"""),11.7259071)</f>
        <v>11.7259071</v>
      </c>
      <c r="F38" s="13" t="s">
        <v>762</v>
      </c>
      <c r="G38" s="13">
        <v>4.0</v>
      </c>
      <c r="H38" s="13" t="s">
        <v>763</v>
      </c>
    </row>
    <row r="39">
      <c r="A39" s="13" t="s">
        <v>764</v>
      </c>
      <c r="B39" s="13" t="s">
        <v>765</v>
      </c>
      <c r="C39" s="13" t="s">
        <v>766</v>
      </c>
      <c r="D39" s="10">
        <f>IFERROR(__xludf.DUMMYFUNCTION("SPLIT(C39,"","")"),56.1656309)</f>
        <v>56.1656309</v>
      </c>
      <c r="E39" s="11">
        <f>IFERROR(__xludf.DUMMYFUNCTION("""COMPUTED_VALUE"""),10.2264851)</f>
        <v>10.2264851</v>
      </c>
      <c r="G39" s="13">
        <v>2.0</v>
      </c>
    </row>
    <row r="40">
      <c r="A40" s="13" t="s">
        <v>767</v>
      </c>
      <c r="B40" s="13" t="s">
        <v>748</v>
      </c>
      <c r="C40" s="13" t="s">
        <v>768</v>
      </c>
      <c r="D40" s="10">
        <f>IFERROR(__xludf.DUMMYFUNCTION("SPLIT(C40,"","")"),55.3283043)</f>
        <v>55.3283043</v>
      </c>
      <c r="E40" s="11">
        <f>IFERROR(__xludf.DUMMYFUNCTION("""COMPUTED_VALUE"""),8.7615532)</f>
        <v>8.7615532</v>
      </c>
      <c r="F40" s="13" t="s">
        <v>769</v>
      </c>
      <c r="G40" s="13">
        <v>5.0</v>
      </c>
      <c r="H40" s="13" t="s">
        <v>770</v>
      </c>
    </row>
    <row r="41">
      <c r="A41" s="13" t="s">
        <v>771</v>
      </c>
      <c r="B41" s="13" t="s">
        <v>475</v>
      </c>
      <c r="C41" s="13" t="s">
        <v>772</v>
      </c>
      <c r="D41" s="10">
        <f>IFERROR(__xludf.DUMMYFUNCTION("SPLIT(C41,"","")"),56.1227003)</f>
        <v>56.1227003</v>
      </c>
      <c r="E41" s="11">
        <f>IFERROR(__xludf.DUMMYFUNCTION("""COMPUTED_VALUE"""),10.2190643)</f>
        <v>10.2190643</v>
      </c>
      <c r="F41" s="13" t="s">
        <v>773</v>
      </c>
      <c r="G41" s="13">
        <v>3.0</v>
      </c>
    </row>
    <row r="42">
      <c r="A42" s="13" t="s">
        <v>774</v>
      </c>
      <c r="B42" s="13" t="s">
        <v>775</v>
      </c>
      <c r="C42" s="13" t="s">
        <v>776</v>
      </c>
      <c r="D42" s="10">
        <f>IFERROR(__xludf.DUMMYFUNCTION("SPLIT(C42,"","")"),55.4335662)</f>
        <v>55.4335662</v>
      </c>
      <c r="E42" s="11">
        <f>IFERROR(__xludf.DUMMYFUNCTION("""COMPUTED_VALUE"""),11.6874908)</f>
        <v>11.6874908</v>
      </c>
      <c r="F42" s="13" t="s">
        <v>777</v>
      </c>
      <c r="G42" s="13">
        <v>4.0</v>
      </c>
    </row>
    <row r="43">
      <c r="A43" s="13" t="s">
        <v>778</v>
      </c>
      <c r="B43" s="13" t="s">
        <v>779</v>
      </c>
      <c r="C43" s="13" t="s">
        <v>780</v>
      </c>
      <c r="D43" s="10">
        <f>IFERROR(__xludf.DUMMYFUNCTION("SPLIT(C43,"","")"),56.052311)</f>
        <v>56.052311</v>
      </c>
      <c r="E43" s="11">
        <f>IFERROR(__xludf.DUMMYFUNCTION("""COMPUTED_VALUE"""),9.7474401)</f>
        <v>9.7474401</v>
      </c>
      <c r="F43" s="13" t="s">
        <v>779</v>
      </c>
      <c r="G43" s="13">
        <v>3.0</v>
      </c>
    </row>
    <row r="44">
      <c r="A44" s="13" t="s">
        <v>781</v>
      </c>
      <c r="B44" s="13" t="s">
        <v>782</v>
      </c>
      <c r="C44" s="13" t="s">
        <v>783</v>
      </c>
      <c r="D44" s="10">
        <f>IFERROR(__xludf.DUMMYFUNCTION("SPLIT(C44,"","")"),56.1728708)</f>
        <v>56.1728708</v>
      </c>
      <c r="E44" s="11">
        <f>IFERROR(__xludf.DUMMYFUNCTION("""COMPUTED_VALUE"""),10.2039512)</f>
        <v>10.2039512</v>
      </c>
      <c r="F44" s="13" t="s">
        <v>784</v>
      </c>
      <c r="G44" s="13">
        <v>5.0</v>
      </c>
    </row>
    <row r="45">
      <c r="A45" s="13" t="s">
        <v>785</v>
      </c>
      <c r="B45" s="13" t="s">
        <v>748</v>
      </c>
      <c r="C45" s="13" t="s">
        <v>786</v>
      </c>
      <c r="D45" s="10">
        <f>IFERROR(__xludf.DUMMYFUNCTION("SPLIT(C45,"","")"),55.2498626)</f>
        <v>55.2498626</v>
      </c>
      <c r="E45" s="11">
        <f>IFERROR(__xludf.DUMMYFUNCTION("""COMPUTED_VALUE"""),9.4866225)</f>
        <v>9.4866225</v>
      </c>
      <c r="F45" s="13" t="s">
        <v>787</v>
      </c>
      <c r="G45" s="13">
        <v>5.0</v>
      </c>
      <c r="H45" s="13" t="s">
        <v>788</v>
      </c>
    </row>
    <row r="46">
      <c r="A46" s="13" t="s">
        <v>789</v>
      </c>
      <c r="B46" s="13" t="s">
        <v>790</v>
      </c>
      <c r="C46" s="13" t="s">
        <v>791</v>
      </c>
      <c r="D46" s="10">
        <f>IFERROR(__xludf.DUMMYFUNCTION("SPLIT(C46,"","")"),54.8310006)</f>
        <v>54.8310006</v>
      </c>
      <c r="E46" s="11">
        <f>IFERROR(__xludf.DUMMYFUNCTION("""COMPUTED_VALUE"""),11.1320784)</f>
        <v>11.1320784</v>
      </c>
      <c r="F46" s="13" t="s">
        <v>792</v>
      </c>
      <c r="G46" s="13">
        <v>4.0</v>
      </c>
      <c r="H46" s="13" t="s">
        <v>793</v>
      </c>
    </row>
    <row r="47">
      <c r="A47" s="13" t="s">
        <v>794</v>
      </c>
      <c r="B47" s="13" t="s">
        <v>757</v>
      </c>
      <c r="C47" s="13" t="s">
        <v>795</v>
      </c>
      <c r="D47" s="10">
        <f>IFERROR(__xludf.DUMMYFUNCTION("SPLIT(C47,"","")"),56.4552419)</f>
        <v>56.4552419</v>
      </c>
      <c r="E47" s="11">
        <f>IFERROR(__xludf.DUMMYFUNCTION("""COMPUTED_VALUE"""),9.3968526)</f>
        <v>9.3968526</v>
      </c>
      <c r="F47" s="13" t="s">
        <v>796</v>
      </c>
      <c r="G47" s="13">
        <v>2.0</v>
      </c>
    </row>
    <row r="48">
      <c r="A48" s="13" t="s">
        <v>797</v>
      </c>
      <c r="B48" s="13" t="s">
        <v>798</v>
      </c>
      <c r="C48" s="13" t="s">
        <v>799</v>
      </c>
      <c r="D48" s="10">
        <f>IFERROR(__xludf.DUMMYFUNCTION("SPLIT(C48,"","")"),56.1979752)</f>
        <v>56.1979752</v>
      </c>
      <c r="E48" s="11">
        <f>IFERROR(__xludf.DUMMYFUNCTION("""COMPUTED_VALUE"""),10.1754707)</f>
        <v>10.1754707</v>
      </c>
      <c r="F48" s="13" t="s">
        <v>800</v>
      </c>
      <c r="G48" s="13">
        <v>5.0</v>
      </c>
      <c r="H48" s="13" t="s">
        <v>801</v>
      </c>
    </row>
    <row r="49">
      <c r="A49" s="13" t="s">
        <v>400</v>
      </c>
      <c r="B49" s="13" t="s">
        <v>244</v>
      </c>
      <c r="C49" s="13" t="s">
        <v>802</v>
      </c>
      <c r="D49" s="10">
        <f>IFERROR(__xludf.DUMMYFUNCTION("SPLIT(C49,"","")"),56.0887158)</f>
        <v>56.0887158</v>
      </c>
      <c r="E49" s="11">
        <f>IFERROR(__xludf.DUMMYFUNCTION("""COMPUTED_VALUE"""),10.2209268)</f>
        <v>10.2209268</v>
      </c>
      <c r="F49" s="13" t="s">
        <v>803</v>
      </c>
      <c r="G49" s="13">
        <v>5.0</v>
      </c>
    </row>
    <row r="50">
      <c r="A50" s="13" t="s">
        <v>804</v>
      </c>
      <c r="B50" s="63" t="s">
        <v>805</v>
      </c>
      <c r="C50" s="13" t="s">
        <v>806</v>
      </c>
      <c r="D50" s="10">
        <f>IFERROR(__xludf.DUMMYFUNCTION("SPLIT(C50,"","")"),55.678595)</f>
        <v>55.678595</v>
      </c>
      <c r="E50" s="11">
        <f>IFERROR(__xludf.DUMMYFUNCTION("""COMPUTED_VALUE"""),12.5687056)</f>
        <v>12.5687056</v>
      </c>
      <c r="F50" s="13" t="s">
        <v>807</v>
      </c>
      <c r="G50" s="13">
        <v>3.0</v>
      </c>
    </row>
    <row r="51">
      <c r="A51" s="13" t="s">
        <v>808</v>
      </c>
      <c r="B51" s="13" t="s">
        <v>491</v>
      </c>
      <c r="C51" s="13" t="s">
        <v>809</v>
      </c>
      <c r="D51" s="10">
        <f>IFERROR(__xludf.DUMMYFUNCTION("SPLIT(C51,"","")"),55.3126452)</f>
        <v>55.3126452</v>
      </c>
      <c r="E51" s="11">
        <f>IFERROR(__xludf.DUMMYFUNCTION("""COMPUTED_VALUE"""),10.7842089)</f>
        <v>10.7842089</v>
      </c>
      <c r="F51" s="13" t="s">
        <v>810</v>
      </c>
      <c r="G51" s="13">
        <v>3.0</v>
      </c>
    </row>
    <row r="52">
      <c r="A52" s="13" t="s">
        <v>811</v>
      </c>
      <c r="B52" s="13" t="s">
        <v>790</v>
      </c>
      <c r="C52" s="13" t="s">
        <v>812</v>
      </c>
      <c r="D52" s="10">
        <f>IFERROR(__xludf.DUMMYFUNCTION("SPLIT(C52,"","")"),56.1444479)</f>
        <v>56.1444479</v>
      </c>
      <c r="E52" s="11">
        <f>IFERROR(__xludf.DUMMYFUNCTION("""COMPUTED_VALUE"""),9.050002)</f>
        <v>9.050002</v>
      </c>
      <c r="F52" s="13" t="s">
        <v>813</v>
      </c>
      <c r="G52" s="13">
        <v>2.0</v>
      </c>
    </row>
    <row r="53">
      <c r="A53" s="13" t="s">
        <v>814</v>
      </c>
      <c r="B53" s="13" t="s">
        <v>815</v>
      </c>
      <c r="C53" s="13" t="s">
        <v>816</v>
      </c>
      <c r="D53" s="10">
        <f>IFERROR(__xludf.DUMMYFUNCTION("SPLIT(C53,"","")"),56.1286693)</f>
        <v>56.1286693</v>
      </c>
      <c r="E53" s="11">
        <f>IFERROR(__xludf.DUMMYFUNCTION("""COMPUTED_VALUE"""),8.9484227)</f>
        <v>8.9484227</v>
      </c>
      <c r="F53" s="13" t="s">
        <v>817</v>
      </c>
      <c r="G53" s="13">
        <v>1.0</v>
      </c>
    </row>
    <row r="54">
      <c r="A54" s="13" t="s">
        <v>818</v>
      </c>
      <c r="B54" s="13" t="s">
        <v>244</v>
      </c>
      <c r="C54" s="13" t="s">
        <v>819</v>
      </c>
      <c r="D54" s="10">
        <f>IFERROR(__xludf.DUMMYFUNCTION("SPLIT(C54,"","")"),56.133896)</f>
        <v>56.133896</v>
      </c>
      <c r="E54" s="11">
        <f>IFERROR(__xludf.DUMMYFUNCTION("""COMPUTED_VALUE"""),8.9584724)</f>
        <v>8.9584724</v>
      </c>
      <c r="F54" s="13" t="s">
        <v>820</v>
      </c>
      <c r="G54" s="13">
        <v>3.0</v>
      </c>
    </row>
    <row r="55">
      <c r="A55" s="13" t="s">
        <v>143</v>
      </c>
      <c r="B55" s="13" t="s">
        <v>244</v>
      </c>
      <c r="C55" s="13" t="s">
        <v>424</v>
      </c>
      <c r="D55" s="10">
        <f>IFERROR(__xludf.DUMMYFUNCTION("SPLIT(C55,"","")"),54.90694)</f>
        <v>54.90694</v>
      </c>
      <c r="E55" s="11">
        <f>IFERROR(__xludf.DUMMYFUNCTION("""COMPUTED_VALUE"""),9.7553901)</f>
        <v>9.7553901</v>
      </c>
      <c r="F55" s="13" t="s">
        <v>821</v>
      </c>
      <c r="G55" s="13">
        <v>3.0</v>
      </c>
    </row>
    <row r="56">
      <c r="A56" s="13" t="s">
        <v>822</v>
      </c>
      <c r="B56" s="13" t="s">
        <v>823</v>
      </c>
      <c r="C56" s="13" t="s">
        <v>824</v>
      </c>
      <c r="D56" s="10">
        <f>IFERROR(__xludf.DUMMYFUNCTION("SPLIT(C56,"","")"),55.0569851)</f>
        <v>55.0569851</v>
      </c>
      <c r="E56" s="11">
        <f>IFERROR(__xludf.DUMMYFUNCTION("""COMPUTED_VALUE"""),8.9402638)</f>
        <v>8.9402638</v>
      </c>
      <c r="F56" s="13" t="s">
        <v>825</v>
      </c>
      <c r="G56" s="13">
        <v>2.0</v>
      </c>
    </row>
    <row r="57">
      <c r="A57" s="13" t="s">
        <v>826</v>
      </c>
      <c r="B57" s="13" t="s">
        <v>827</v>
      </c>
      <c r="C57" s="13" t="s">
        <v>828</v>
      </c>
      <c r="D57" s="10">
        <f>IFERROR(__xludf.DUMMYFUNCTION("SPLIT(C57,"","")"),56.1652038)</f>
        <v>56.1652038</v>
      </c>
      <c r="E57" s="11">
        <f>IFERROR(__xludf.DUMMYFUNCTION("""COMPUTED_VALUE"""),10.0714847)</f>
        <v>10.0714847</v>
      </c>
      <c r="F57" s="13" t="s">
        <v>829</v>
      </c>
      <c r="G57" s="13">
        <v>3.0</v>
      </c>
    </row>
    <row r="58">
      <c r="A58" s="13" t="s">
        <v>830</v>
      </c>
      <c r="B58" s="13" t="s">
        <v>831</v>
      </c>
      <c r="C58" s="13" t="s">
        <v>832</v>
      </c>
      <c r="D58" s="10">
        <f>IFERROR(__xludf.DUMMYFUNCTION("SPLIT(C58,"","")"),55.627167)</f>
        <v>55.627167</v>
      </c>
      <c r="E58" s="11">
        <f>IFERROR(__xludf.DUMMYFUNCTION("""COMPUTED_VALUE"""),9.0705561)</f>
        <v>9.0705561</v>
      </c>
      <c r="F58" s="13" t="s">
        <v>833</v>
      </c>
      <c r="G58" s="13">
        <v>5.0</v>
      </c>
    </row>
    <row r="59">
      <c r="A59" s="13" t="s">
        <v>834</v>
      </c>
      <c r="B59" s="13" t="s">
        <v>835</v>
      </c>
      <c r="C59" s="13" t="s">
        <v>836</v>
      </c>
      <c r="D59" s="10">
        <f>IFERROR(__xludf.DUMMYFUNCTION("SPLIT(C59,"","")"),55.8110182)</f>
        <v>55.8110182</v>
      </c>
      <c r="E59" s="11">
        <f>IFERROR(__xludf.DUMMYFUNCTION("""COMPUTED_VALUE"""),8.6216981)</f>
        <v>8.6216981</v>
      </c>
      <c r="F59" s="13" t="s">
        <v>837</v>
      </c>
      <c r="G59" s="13">
        <v>5.0</v>
      </c>
    </row>
    <row r="60">
      <c r="A60" s="13" t="s">
        <v>838</v>
      </c>
      <c r="B60" s="13" t="s">
        <v>839</v>
      </c>
      <c r="C60" s="13" t="s">
        <v>840</v>
      </c>
      <c r="D60" s="10">
        <f>IFERROR(__xludf.DUMMYFUNCTION("SPLIT(C60,"","")"),55.8589702)</f>
        <v>55.8589702</v>
      </c>
      <c r="E60" s="11">
        <f>IFERROR(__xludf.DUMMYFUNCTION("""COMPUTED_VALUE"""),9.8604612)</f>
        <v>9.8604612</v>
      </c>
      <c r="F60" s="13" t="s">
        <v>841</v>
      </c>
      <c r="G60" s="13">
        <v>5.0</v>
      </c>
    </row>
    <row r="61">
      <c r="A61" s="13" t="s">
        <v>834</v>
      </c>
      <c r="B61" s="13" t="s">
        <v>842</v>
      </c>
      <c r="C61" s="13" t="s">
        <v>843</v>
      </c>
      <c r="D61" s="10">
        <f>IFERROR(__xludf.DUMMYFUNCTION("SPLIT(C61,"","")"),55.8092246)</f>
        <v>55.8092246</v>
      </c>
      <c r="E61" s="11">
        <f>IFERROR(__xludf.DUMMYFUNCTION("""COMPUTED_VALUE"""),8.620149)</f>
        <v>8.620149</v>
      </c>
      <c r="F61" s="13" t="s">
        <v>844</v>
      </c>
      <c r="G61" s="13">
        <v>5.0</v>
      </c>
    </row>
    <row r="62">
      <c r="A62" s="13" t="s">
        <v>845</v>
      </c>
      <c r="B62" s="13" t="s">
        <v>244</v>
      </c>
      <c r="C62" s="13" t="s">
        <v>846</v>
      </c>
      <c r="D62" s="10">
        <f>IFERROR(__xludf.DUMMYFUNCTION("SPLIT(C62,"","")"),55.8650999)</f>
        <v>55.8650999</v>
      </c>
      <c r="E62" s="11">
        <f>IFERROR(__xludf.DUMMYFUNCTION("""COMPUTED_VALUE"""),9.8610085)</f>
        <v>9.8610085</v>
      </c>
      <c r="F62" s="13" t="s">
        <v>847</v>
      </c>
      <c r="G62" s="13">
        <v>5.0</v>
      </c>
    </row>
    <row r="63">
      <c r="A63" s="13" t="s">
        <v>848</v>
      </c>
      <c r="B63" s="13" t="s">
        <v>849</v>
      </c>
      <c r="C63" s="13" t="s">
        <v>850</v>
      </c>
      <c r="D63" s="10">
        <f>IFERROR(__xludf.DUMMYFUNCTION("SPLIT(C63,"","")"),55.8065764)</f>
        <v>55.8065764</v>
      </c>
      <c r="E63" s="11">
        <f>IFERROR(__xludf.DUMMYFUNCTION("""COMPUTED_VALUE"""),8.6178444)</f>
        <v>8.6178444</v>
      </c>
      <c r="F63" s="13" t="s">
        <v>851</v>
      </c>
      <c r="G63" s="13">
        <v>5.0</v>
      </c>
    </row>
    <row r="64">
      <c r="A64" s="13" t="s">
        <v>845</v>
      </c>
      <c r="B64" s="13" t="s">
        <v>790</v>
      </c>
      <c r="C64" s="13" t="s">
        <v>852</v>
      </c>
      <c r="D64" s="10">
        <f>IFERROR(__xludf.DUMMYFUNCTION("SPLIT(C64,"","")"),55.8628992)</f>
        <v>55.8628992</v>
      </c>
      <c r="E64" s="11">
        <f>IFERROR(__xludf.DUMMYFUNCTION("""COMPUTED_VALUE"""),9.8460282)</f>
        <v>9.8460282</v>
      </c>
      <c r="F64" s="13" t="s">
        <v>853</v>
      </c>
      <c r="G64" s="13">
        <v>4.0</v>
      </c>
    </row>
    <row r="65">
      <c r="A65" s="13" t="s">
        <v>854</v>
      </c>
      <c r="B65" s="13" t="s">
        <v>855</v>
      </c>
      <c r="C65" s="13" t="s">
        <v>856</v>
      </c>
      <c r="D65" s="10">
        <f>IFERROR(__xludf.DUMMYFUNCTION("SPLIT(C65,"","")"),55.1460745)</f>
        <v>55.1460745</v>
      </c>
      <c r="E65" s="11">
        <f>IFERROR(__xludf.DUMMYFUNCTION("""COMPUTED_VALUE"""),8.4926275)</f>
        <v>8.4926275</v>
      </c>
      <c r="F65" s="13" t="s">
        <v>857</v>
      </c>
      <c r="G65" s="13">
        <v>5.0</v>
      </c>
    </row>
    <row r="66">
      <c r="A66" s="13" t="s">
        <v>848</v>
      </c>
      <c r="B66" s="13" t="s">
        <v>858</v>
      </c>
      <c r="C66" s="13" t="s">
        <v>859</v>
      </c>
      <c r="D66" s="10">
        <f>IFERROR(__xludf.DUMMYFUNCTION("SPLIT(C66,"","")"),55.8088845)</f>
        <v>55.8088845</v>
      </c>
      <c r="E66" s="11">
        <f>IFERROR(__xludf.DUMMYFUNCTION("""COMPUTED_VALUE"""),8.6096275)</f>
        <v>8.6096275</v>
      </c>
      <c r="F66" s="13" t="s">
        <v>860</v>
      </c>
      <c r="G66" s="13">
        <v>5.0</v>
      </c>
    </row>
    <row r="67">
      <c r="A67" s="13" t="s">
        <v>838</v>
      </c>
      <c r="B67" s="13" t="s">
        <v>861</v>
      </c>
      <c r="C67" s="13" t="s">
        <v>862</v>
      </c>
      <c r="D67" s="10">
        <f>IFERROR(__xludf.DUMMYFUNCTION("SPLIT(C67,"","")"),55.8617067)</f>
        <v>55.8617067</v>
      </c>
      <c r="E67" s="11">
        <f>IFERROR(__xludf.DUMMYFUNCTION("""COMPUTED_VALUE"""),9.8553656)</f>
        <v>9.8553656</v>
      </c>
      <c r="F67" s="13" t="s">
        <v>863</v>
      </c>
      <c r="G67" s="13">
        <v>5.0</v>
      </c>
    </row>
    <row r="68">
      <c r="A68" s="13" t="s">
        <v>864</v>
      </c>
      <c r="B68" s="13" t="s">
        <v>865</v>
      </c>
      <c r="C68" s="13" t="s">
        <v>866</v>
      </c>
      <c r="D68" s="10">
        <f>IFERROR(__xludf.DUMMYFUNCTION("SPLIT(C68,"","")"),56.1150854)</f>
        <v>56.1150854</v>
      </c>
      <c r="E68" s="11">
        <f>IFERROR(__xludf.DUMMYFUNCTION("""COMPUTED_VALUE"""),8.086709)</f>
        <v>8.086709</v>
      </c>
      <c r="F68" s="13" t="s">
        <v>867</v>
      </c>
      <c r="G68" s="13">
        <v>4.0</v>
      </c>
    </row>
    <row r="69">
      <c r="A69" s="13" t="s">
        <v>868</v>
      </c>
      <c r="B69" s="13" t="s">
        <v>869</v>
      </c>
      <c r="C69" s="13" t="s">
        <v>870</v>
      </c>
      <c r="D69" s="10">
        <f>IFERROR(__xludf.DUMMYFUNCTION("SPLIT(C69,"","")"),55.835484)</f>
        <v>55.835484</v>
      </c>
      <c r="E69" s="11">
        <f>IFERROR(__xludf.DUMMYFUNCTION("""COMPUTED_VALUE"""),8.2591009)</f>
        <v>8.2591009</v>
      </c>
      <c r="F69" s="13" t="s">
        <v>871</v>
      </c>
      <c r="G69" s="13">
        <v>3.0</v>
      </c>
    </row>
    <row r="70">
      <c r="A70" s="13" t="s">
        <v>848</v>
      </c>
      <c r="B70" s="13" t="s">
        <v>872</v>
      </c>
      <c r="C70" s="13" t="s">
        <v>873</v>
      </c>
      <c r="D70" s="10">
        <f>IFERROR(__xludf.DUMMYFUNCTION("SPLIT(C70,"","")"),55.8087882)</f>
        <v>55.8087882</v>
      </c>
      <c r="E70" s="11">
        <f>IFERROR(__xludf.DUMMYFUNCTION("""COMPUTED_VALUE"""),8.6127801)</f>
        <v>8.6127801</v>
      </c>
      <c r="F70" s="13" t="s">
        <v>874</v>
      </c>
    </row>
    <row r="71">
      <c r="A71" s="13" t="s">
        <v>838</v>
      </c>
      <c r="B71" s="13" t="s">
        <v>875</v>
      </c>
      <c r="C71" s="13" t="s">
        <v>876</v>
      </c>
      <c r="D71" s="10">
        <f>IFERROR(__xludf.DUMMYFUNCTION("SPLIT(C71,"","")"),55.8700845)</f>
        <v>55.8700845</v>
      </c>
      <c r="E71" s="11">
        <f>IFERROR(__xludf.DUMMYFUNCTION("""COMPUTED_VALUE"""),9.8630781)</f>
        <v>9.8630781</v>
      </c>
      <c r="F71" s="13" t="s">
        <v>877</v>
      </c>
    </row>
    <row r="72">
      <c r="A72" s="13" t="s">
        <v>100</v>
      </c>
      <c r="B72" s="13" t="s">
        <v>878</v>
      </c>
      <c r="C72" s="13" t="s">
        <v>879</v>
      </c>
      <c r="D72" s="10">
        <f>IFERROR(__xludf.DUMMYFUNCTION("SPLIT(C72,"","")"),57.2488172)</f>
        <v>57.2488172</v>
      </c>
      <c r="E72" s="11">
        <f>IFERROR(__xludf.DUMMYFUNCTION("""COMPUTED_VALUE"""),9.6088532)</f>
        <v>9.6088532</v>
      </c>
      <c r="F72" s="13" t="s">
        <v>880</v>
      </c>
      <c r="G72" s="13">
        <v>3.0</v>
      </c>
    </row>
    <row r="73">
      <c r="A73" s="13" t="s">
        <v>881</v>
      </c>
      <c r="B73" s="13" t="s">
        <v>855</v>
      </c>
      <c r="C73" s="13" t="s">
        <v>882</v>
      </c>
      <c r="D73" s="10">
        <f>IFERROR(__xludf.DUMMYFUNCTION("SPLIT(C73,"","")"),57.3715579)</f>
        <v>57.3715579</v>
      </c>
      <c r="E73" s="11">
        <f>IFERROR(__xludf.DUMMYFUNCTION("""COMPUTED_VALUE"""),9.7090861)</f>
        <v>9.7090861</v>
      </c>
      <c r="F73" s="13" t="s">
        <v>883</v>
      </c>
      <c r="G73" s="13">
        <v>4.0</v>
      </c>
    </row>
    <row r="74">
      <c r="A74" s="13" t="s">
        <v>884</v>
      </c>
      <c r="B74" s="13" t="s">
        <v>827</v>
      </c>
      <c r="C74" s="13" t="s">
        <v>885</v>
      </c>
      <c r="D74" s="10">
        <f>IFERROR(__xludf.DUMMYFUNCTION("SPLIT(C74,"","")"),55.0591176)</f>
        <v>55.0591176</v>
      </c>
      <c r="E74" s="11">
        <f>IFERROR(__xludf.DUMMYFUNCTION("""COMPUTED_VALUE"""),9.7463957)</f>
        <v>9.7463957</v>
      </c>
      <c r="F74" s="13" t="s">
        <v>491</v>
      </c>
      <c r="G74" s="13">
        <v>3.0</v>
      </c>
      <c r="H74" s="13" t="s">
        <v>886</v>
      </c>
    </row>
    <row r="75">
      <c r="A75" s="13" t="s">
        <v>884</v>
      </c>
      <c r="B75" s="13" t="s">
        <v>887</v>
      </c>
      <c r="C75" s="13" t="s">
        <v>888</v>
      </c>
      <c r="D75" s="10">
        <f>IFERROR(__xludf.DUMMYFUNCTION("SPLIT(C75,"","")"),55.0414476)</f>
        <v>55.0414476</v>
      </c>
      <c r="E75" s="11">
        <f>IFERROR(__xludf.DUMMYFUNCTION("""COMPUTED_VALUE"""),9.7914973)</f>
        <v>9.7914973</v>
      </c>
      <c r="F75" s="13" t="s">
        <v>889</v>
      </c>
      <c r="G75" s="13">
        <v>5.0</v>
      </c>
      <c r="H75" s="13" t="s">
        <v>890</v>
      </c>
    </row>
    <row r="76">
      <c r="A76" s="13" t="s">
        <v>891</v>
      </c>
      <c r="B76" s="13" t="s">
        <v>244</v>
      </c>
      <c r="C76" s="13" t="s">
        <v>892</v>
      </c>
      <c r="D76" s="10">
        <f>IFERROR(__xludf.DUMMYFUNCTION("SPLIT(C76,"","")"),54.9073486)</f>
        <v>54.9073486</v>
      </c>
      <c r="E76" s="26">
        <f>IFERROR(__xludf.DUMMYFUNCTION("""COMPUTED_VALUE"""),9.7498943)</f>
        <v>9.7498943</v>
      </c>
      <c r="F76" s="13" t="s">
        <v>893</v>
      </c>
      <c r="G76" s="13">
        <v>4.0</v>
      </c>
      <c r="H76" s="13" t="s">
        <v>893</v>
      </c>
    </row>
    <row r="77">
      <c r="A77" s="13" t="s">
        <v>894</v>
      </c>
      <c r="B77" s="13" t="s">
        <v>895</v>
      </c>
      <c r="C77" s="13" t="s">
        <v>896</v>
      </c>
      <c r="D77" s="10">
        <f>IFERROR(__xludf.DUMMYFUNCTION("SPLIT(C77,"","")"),55.0456173)</f>
        <v>55.0456173</v>
      </c>
      <c r="E77" s="11">
        <f>IFERROR(__xludf.DUMMYFUNCTION("""COMPUTED_VALUE"""),9.683224)</f>
        <v>9.683224</v>
      </c>
      <c r="F77" s="13" t="s">
        <v>897</v>
      </c>
      <c r="G77" s="13">
        <v>4.0</v>
      </c>
      <c r="H77" s="13" t="s">
        <v>898</v>
      </c>
    </row>
    <row r="78">
      <c r="A78" s="13" t="s">
        <v>899</v>
      </c>
      <c r="B78" s="13" t="s">
        <v>855</v>
      </c>
      <c r="C78" s="13" t="s">
        <v>900</v>
      </c>
      <c r="D78" s="10">
        <f>IFERROR(__xludf.DUMMYFUNCTION("SPLIT(C78,"","")"),54.9082979)</f>
        <v>54.9082979</v>
      </c>
      <c r="E78" s="11">
        <f>IFERROR(__xludf.DUMMYFUNCTION("""COMPUTED_VALUE"""),9.783443)</f>
        <v>9.783443</v>
      </c>
      <c r="F78" s="13" t="s">
        <v>901</v>
      </c>
      <c r="G78" s="13">
        <v>5.0</v>
      </c>
      <c r="H78" s="13" t="s">
        <v>902</v>
      </c>
    </row>
    <row r="79">
      <c r="A79" s="13" t="s">
        <v>186</v>
      </c>
      <c r="B79" s="13" t="s">
        <v>903</v>
      </c>
      <c r="C79" s="13" t="s">
        <v>904</v>
      </c>
      <c r="D79" s="10">
        <f>IFERROR(__xludf.DUMMYFUNCTION("SPLIT(C79,"","")"),56.1534338)</f>
        <v>56.1534338</v>
      </c>
      <c r="E79" s="11">
        <f>IFERROR(__xludf.DUMMYFUNCTION("""COMPUTED_VALUE"""),8.9725947)</f>
        <v>8.9725947</v>
      </c>
      <c r="F79" s="13" t="s">
        <v>905</v>
      </c>
    </row>
    <row r="80">
      <c r="A80" s="13" t="s">
        <v>141</v>
      </c>
      <c r="B80" s="13" t="s">
        <v>54</v>
      </c>
      <c r="C80" s="13" t="s">
        <v>906</v>
      </c>
      <c r="D80" s="10">
        <f>IFERROR(__xludf.DUMMYFUNCTION("SPLIT(C80,"","")"),55.7352104)</f>
        <v>55.7352104</v>
      </c>
      <c r="E80" s="11">
        <f>IFERROR(__xludf.DUMMYFUNCTION("""COMPUTED_VALUE"""),9.1257106)</f>
        <v>9.1257106</v>
      </c>
      <c r="F80" s="13" t="s">
        <v>907</v>
      </c>
    </row>
    <row r="81">
      <c r="A81" s="13" t="s">
        <v>908</v>
      </c>
      <c r="B81" s="13" t="s">
        <v>909</v>
      </c>
      <c r="C81" s="13" t="s">
        <v>910</v>
      </c>
      <c r="D81" s="10">
        <f>IFERROR(__xludf.DUMMYFUNCTION("SPLIT(C81,"","")"),55.260873)</f>
        <v>55.260873</v>
      </c>
      <c r="E81" s="11">
        <f>IFERROR(__xludf.DUMMYFUNCTION("""COMPUTED_VALUE"""),11.8605921)</f>
        <v>11.8605921</v>
      </c>
      <c r="F81" s="13" t="s">
        <v>909</v>
      </c>
    </row>
    <row r="82">
      <c r="A82" s="13" t="s">
        <v>911</v>
      </c>
      <c r="B82" s="13" t="s">
        <v>912</v>
      </c>
      <c r="C82" s="13" t="s">
        <v>913</v>
      </c>
      <c r="D82" s="10">
        <f>IFERROR(__xludf.DUMMYFUNCTION("SPLIT(C82,"","")"),55.7565664)</f>
        <v>55.7565664</v>
      </c>
      <c r="E82" s="11">
        <f>IFERROR(__xludf.DUMMYFUNCTION("""COMPUTED_VALUE"""),9.4169964)</f>
        <v>9.4169964</v>
      </c>
      <c r="F82" s="13" t="s">
        <v>914</v>
      </c>
    </row>
    <row r="83">
      <c r="A83" s="13" t="s">
        <v>915</v>
      </c>
      <c r="B83" s="13" t="s">
        <v>916</v>
      </c>
      <c r="C83" s="13" t="s">
        <v>917</v>
      </c>
      <c r="D83" s="10">
        <f>IFERROR(__xludf.DUMMYFUNCTION("SPLIT(C83,"","")"),56.1387014)</f>
        <v>56.1387014</v>
      </c>
      <c r="E83" s="11">
        <f>IFERROR(__xludf.DUMMYFUNCTION("""COMPUTED_VALUE"""),10.2152327)</f>
        <v>10.2152327</v>
      </c>
      <c r="F83" s="13" t="s">
        <v>918</v>
      </c>
      <c r="G83" s="13">
        <v>4.0</v>
      </c>
    </row>
    <row r="84">
      <c r="A84" s="13" t="s">
        <v>127</v>
      </c>
      <c r="B84" s="13" t="s">
        <v>919</v>
      </c>
      <c r="C84" s="13" t="s">
        <v>920</v>
      </c>
      <c r="D84" s="10">
        <f>IFERROR(__xludf.DUMMYFUNCTION("SPLIT(C84,"","")"),56.1320428)</f>
        <v>56.1320428</v>
      </c>
      <c r="E84" s="11">
        <f>IFERROR(__xludf.DUMMYFUNCTION("""COMPUTED_VALUE"""),10.1941437)</f>
        <v>10.1941437</v>
      </c>
      <c r="F84" s="13" t="s">
        <v>921</v>
      </c>
      <c r="G84" s="13">
        <v>3.0</v>
      </c>
    </row>
    <row r="85">
      <c r="A85" s="13" t="s">
        <v>922</v>
      </c>
      <c r="B85" s="13" t="s">
        <v>923</v>
      </c>
      <c r="C85" s="13" t="s">
        <v>924</v>
      </c>
      <c r="D85" s="10">
        <f>IFERROR(__xludf.DUMMYFUNCTION("SPLIT(C85,"","")"),56.14938)</f>
        <v>56.14938</v>
      </c>
      <c r="E85" s="11">
        <f>IFERROR(__xludf.DUMMYFUNCTION("""COMPUTED_VALUE"""),10.2015491)</f>
        <v>10.2015491</v>
      </c>
      <c r="F85" s="13" t="s">
        <v>925</v>
      </c>
      <c r="G85" s="13">
        <v>5.0</v>
      </c>
    </row>
    <row r="86">
      <c r="A86" s="13" t="s">
        <v>926</v>
      </c>
      <c r="B86" s="13" t="s">
        <v>927</v>
      </c>
      <c r="C86" s="13" t="s">
        <v>928</v>
      </c>
      <c r="D86" s="10">
        <f>IFERROR(__xludf.DUMMYFUNCTION("SPLIT(C86,"","")"),55.9102276)</f>
        <v>55.9102276</v>
      </c>
      <c r="E86" s="11">
        <f>IFERROR(__xludf.DUMMYFUNCTION("""COMPUTED_VALUE"""),10.1338812)</f>
        <v>10.1338812</v>
      </c>
    </row>
    <row r="87">
      <c r="A87" s="13" t="s">
        <v>922</v>
      </c>
      <c r="B87" s="13" t="s">
        <v>929</v>
      </c>
      <c r="C87" s="13" t="s">
        <v>930</v>
      </c>
      <c r="D87" s="10">
        <f>IFERROR(__xludf.DUMMYFUNCTION("SPLIT(C87,"","")"),56.1621745)</f>
        <v>56.1621745</v>
      </c>
      <c r="E87" s="11">
        <f>IFERROR(__xludf.DUMMYFUNCTION("""COMPUTED_VALUE"""),10.186907)</f>
        <v>10.186907</v>
      </c>
      <c r="F87" s="13" t="s">
        <v>475</v>
      </c>
      <c r="G87" s="13">
        <v>4.0</v>
      </c>
    </row>
    <row r="88">
      <c r="A88" s="13" t="s">
        <v>931</v>
      </c>
      <c r="B88" s="13" t="s">
        <v>932</v>
      </c>
      <c r="C88" s="31" t="s">
        <v>710</v>
      </c>
      <c r="D88" s="10">
        <f>IFERROR(__xludf.DUMMYFUNCTION("SPLIT(C88,"","")"),55.0070976)</f>
        <v>55.0070976</v>
      </c>
      <c r="E88" s="11">
        <f>IFERROR(__xludf.DUMMYFUNCTION("""COMPUTED_VALUE"""),11.9121704)</f>
        <v>11.9121704</v>
      </c>
      <c r="F88" s="13" t="s">
        <v>711</v>
      </c>
    </row>
    <row r="89">
      <c r="A89" s="13" t="s">
        <v>933</v>
      </c>
      <c r="B89" s="13" t="s">
        <v>934</v>
      </c>
      <c r="C89" s="64" t="s">
        <v>935</v>
      </c>
      <c r="D89" s="10">
        <f>IFERROR(__xludf.DUMMYFUNCTION("SPLIT(C89,"","")"),55.9783371)</f>
        <v>55.9783371</v>
      </c>
      <c r="E89" s="11">
        <f>IFERROR(__xludf.DUMMYFUNCTION("""COMPUTED_VALUE"""),8.8878213)</f>
        <v>8.8878213</v>
      </c>
      <c r="F89" s="13" t="s">
        <v>936</v>
      </c>
      <c r="H89" s="13" t="s">
        <v>937</v>
      </c>
    </row>
    <row r="90">
      <c r="A90" s="13" t="s">
        <v>127</v>
      </c>
      <c r="B90" s="13" t="s">
        <v>938</v>
      </c>
      <c r="C90" s="13" t="s">
        <v>939</v>
      </c>
      <c r="D90" s="10">
        <f>IFERROR(__xludf.DUMMYFUNCTION("SPLIT(C90,"","")"),56.1568917)</f>
        <v>56.1568917</v>
      </c>
      <c r="E90" s="11">
        <f>IFERROR(__xludf.DUMMYFUNCTION("""COMPUTED_VALUE"""),10.2083009)</f>
        <v>10.2083009</v>
      </c>
      <c r="F90" s="13" t="s">
        <v>940</v>
      </c>
    </row>
    <row r="91">
      <c r="A91" s="13" t="s">
        <v>183</v>
      </c>
      <c r="B91" s="13" t="s">
        <v>941</v>
      </c>
      <c r="C91" s="13" t="s">
        <v>942</v>
      </c>
      <c r="D91" s="10">
        <f>IFERROR(__xludf.DUMMYFUNCTION("SPLIT(C91,"","")"),55.3984045)</f>
        <v>55.3984045</v>
      </c>
      <c r="E91" s="11">
        <f>IFERROR(__xludf.DUMMYFUNCTION("""COMPUTED_VALUE"""),10.3879384)</f>
        <v>10.3879384</v>
      </c>
      <c r="F91" s="13" t="s">
        <v>943</v>
      </c>
    </row>
    <row r="92">
      <c r="A92" s="13" t="s">
        <v>124</v>
      </c>
      <c r="B92" s="13" t="s">
        <v>944</v>
      </c>
      <c r="C92" s="13" t="s">
        <v>945</v>
      </c>
      <c r="D92" s="10">
        <f>IFERROR(__xludf.DUMMYFUNCTION("SPLIT(C92,"","")"),55.674491)</f>
        <v>55.674491</v>
      </c>
      <c r="E92" s="11">
        <f>IFERROR(__xludf.DUMMYFUNCTION("""COMPUTED_VALUE"""),12.5825651)</f>
        <v>12.5825651</v>
      </c>
      <c r="F92" s="13" t="s">
        <v>946</v>
      </c>
    </row>
    <row r="93">
      <c r="A93" s="13" t="s">
        <v>294</v>
      </c>
      <c r="B93" s="13" t="s">
        <v>947</v>
      </c>
      <c r="C93" s="13" t="s">
        <v>948</v>
      </c>
      <c r="D93" s="10">
        <f>IFERROR(__xludf.DUMMYFUNCTION("SPLIT(C93,"","")"),55.9310369)</f>
        <v>55.9310369</v>
      </c>
      <c r="E93" s="11">
        <f>IFERROR(__xludf.DUMMYFUNCTION("""COMPUTED_VALUE"""),10.073121)</f>
        <v>10.073121</v>
      </c>
      <c r="F93" s="13" t="s">
        <v>947</v>
      </c>
    </row>
    <row r="94">
      <c r="A94" s="13" t="s">
        <v>949</v>
      </c>
      <c r="B94" s="13" t="s">
        <v>950</v>
      </c>
      <c r="C94" s="13" t="s">
        <v>951</v>
      </c>
      <c r="D94" s="10">
        <f>IFERROR(__xludf.DUMMYFUNCTION("SPLIT(C94,"","")"),55.6939726)</f>
        <v>55.6939726</v>
      </c>
      <c r="E94" s="11">
        <f>IFERROR(__xludf.DUMMYFUNCTION("""COMPUTED_VALUE"""),12.5475822)</f>
        <v>12.5475822</v>
      </c>
      <c r="F94" s="13" t="s">
        <v>952</v>
      </c>
    </row>
    <row r="95">
      <c r="A95" s="13" t="s">
        <v>953</v>
      </c>
      <c r="B95" s="13" t="s">
        <v>954</v>
      </c>
      <c r="C95" s="13" t="s">
        <v>955</v>
      </c>
      <c r="D95" s="10">
        <f>IFERROR(__xludf.DUMMYFUNCTION("SPLIT(C95,"","")"),55.2439794)</f>
        <v>55.2439794</v>
      </c>
      <c r="E95" s="11">
        <f>IFERROR(__xludf.DUMMYFUNCTION("""COMPUTED_VALUE"""),9.2969418)</f>
        <v>9.2969418</v>
      </c>
      <c r="F95" s="13" t="s">
        <v>956</v>
      </c>
    </row>
    <row r="96">
      <c r="A96" s="13" t="s">
        <v>130</v>
      </c>
      <c r="B96" s="13" t="s">
        <v>957</v>
      </c>
      <c r="C96" s="13" t="s">
        <v>958</v>
      </c>
      <c r="D96" s="10">
        <f>IFERROR(__xludf.DUMMYFUNCTION("SPLIT(C96,"","")"),56.2042748)</f>
        <v>56.2042748</v>
      </c>
      <c r="E96" s="11">
        <f>IFERROR(__xludf.DUMMYFUNCTION("""COMPUTED_VALUE"""),10.5108845)</f>
        <v>10.5108845</v>
      </c>
      <c r="F96" s="13" t="s">
        <v>959</v>
      </c>
    </row>
    <row r="97">
      <c r="A97" s="13" t="s">
        <v>960</v>
      </c>
      <c r="B97" s="13" t="s">
        <v>961</v>
      </c>
      <c r="C97" s="13" t="s">
        <v>962</v>
      </c>
      <c r="D97" s="10">
        <f>IFERROR(__xludf.DUMMYFUNCTION("SPLIT(C97,"","")"),55.341805)</f>
        <v>55.341805</v>
      </c>
      <c r="E97" s="11">
        <f>IFERROR(__xludf.DUMMYFUNCTION("""COMPUTED_VALUE"""),11.0316461)</f>
        <v>11.0316461</v>
      </c>
      <c r="F97" s="13" t="s">
        <v>963</v>
      </c>
    </row>
    <row r="98">
      <c r="A98" s="13" t="s">
        <v>960</v>
      </c>
      <c r="B98" s="13" t="s">
        <v>964</v>
      </c>
      <c r="C98" s="13" t="s">
        <v>965</v>
      </c>
      <c r="D98" s="10">
        <f>IFERROR(__xludf.DUMMYFUNCTION("SPLIT(C98,"","")"),55.31057)</f>
        <v>55.31057</v>
      </c>
      <c r="E98" s="11">
        <f>IFERROR(__xludf.DUMMYFUNCTION("""COMPUTED_VALUE"""),10.8995251)</f>
        <v>10.8995251</v>
      </c>
      <c r="F98" s="13" t="s">
        <v>966</v>
      </c>
    </row>
    <row r="99">
      <c r="A99" s="13" t="s">
        <v>967</v>
      </c>
      <c r="B99" s="13" t="s">
        <v>968</v>
      </c>
      <c r="C99" s="13" t="s">
        <v>969</v>
      </c>
      <c r="D99" s="10">
        <f>IFERROR(__xludf.DUMMYFUNCTION("SPLIT(C99,"","")"),54.8635436)</f>
        <v>54.8635436</v>
      </c>
      <c r="E99" s="11">
        <f>IFERROR(__xludf.DUMMYFUNCTION("""COMPUTED_VALUE"""),9.5023098)</f>
        <v>9.5023098</v>
      </c>
      <c r="F99" s="13" t="s">
        <v>970</v>
      </c>
      <c r="G99" s="13">
        <v>5.0</v>
      </c>
    </row>
    <row r="100">
      <c r="A100" s="13" t="s">
        <v>971</v>
      </c>
      <c r="B100" s="13" t="s">
        <v>972</v>
      </c>
      <c r="C100" s="13" t="s">
        <v>973</v>
      </c>
      <c r="D100" s="10">
        <f>IFERROR(__xludf.DUMMYFUNCTION("SPLIT(C100,"","")"),55.4921451)</f>
        <v>55.4921451</v>
      </c>
      <c r="E100" s="11">
        <f>IFERROR(__xludf.DUMMYFUNCTION("""COMPUTED_VALUE"""),9.6592057)</f>
        <v>9.6592057</v>
      </c>
      <c r="F100" s="13" t="s">
        <v>974</v>
      </c>
    </row>
    <row r="101">
      <c r="A101" s="13" t="s">
        <v>706</v>
      </c>
      <c r="B101" s="13" t="s">
        <v>975</v>
      </c>
      <c r="C101" s="13" t="s">
        <v>707</v>
      </c>
      <c r="D101" s="10">
        <f>IFERROR(__xludf.DUMMYFUNCTION("SPLIT(C101,"","")"),57.271066)</f>
        <v>57.271066</v>
      </c>
      <c r="E101" s="11">
        <f>IFERROR(__xludf.DUMMYFUNCTION("""COMPUTED_VALUE"""),9.6469198)</f>
        <v>9.6469198</v>
      </c>
      <c r="F101" s="13" t="s">
        <v>976</v>
      </c>
    </row>
    <row r="102">
      <c r="A102" s="13" t="s">
        <v>977</v>
      </c>
      <c r="B102" s="13" t="s">
        <v>978</v>
      </c>
      <c r="C102" s="13" t="s">
        <v>979</v>
      </c>
      <c r="D102" s="10">
        <f>IFERROR(__xludf.DUMMYFUNCTION("SPLIT(C102,"","")"),55.926684)</f>
        <v>55.926684</v>
      </c>
      <c r="E102" s="11">
        <f>IFERROR(__xludf.DUMMYFUNCTION("""COMPUTED_VALUE"""),12.2887963)</f>
        <v>12.2887963</v>
      </c>
      <c r="F102" s="15">
        <f>IFERROR(__xludf.DUMMYFUNCTION("""COMPUTED_VALUE"""),4424.0)</f>
        <v>4424</v>
      </c>
    </row>
    <row r="103">
      <c r="A103" s="13" t="s">
        <v>980</v>
      </c>
      <c r="B103" s="13" t="s">
        <v>757</v>
      </c>
      <c r="C103" s="13" t="s">
        <v>981</v>
      </c>
      <c r="D103" s="10">
        <f>IFERROR(__xludf.DUMMYFUNCTION("SPLIT(C103,"","")"),56.1799209)</f>
        <v>56.1799209</v>
      </c>
      <c r="E103" s="11">
        <f>IFERROR(__xludf.DUMMYFUNCTION("""COMPUTED_VALUE"""),9.5715494)</f>
        <v>9.5715494</v>
      </c>
      <c r="F103" s="13" t="s">
        <v>982</v>
      </c>
    </row>
    <row r="104">
      <c r="A104" s="13" t="s">
        <v>983</v>
      </c>
      <c r="B104" s="13" t="s">
        <v>984</v>
      </c>
      <c r="C104" s="13" t="s">
        <v>985</v>
      </c>
      <c r="D104" s="10">
        <f>IFERROR(__xludf.DUMMYFUNCTION("SPLIT(C104,"","")"),56.091848)</f>
        <v>56.091848</v>
      </c>
      <c r="E104" s="11">
        <f>IFERROR(__xludf.DUMMYFUNCTION("""COMPUTED_VALUE"""),9.7588051)</f>
        <v>9.7588051</v>
      </c>
      <c r="F104" s="15">
        <f>IFERROR(__xludf.DUMMYFUNCTION("""COMPUTED_VALUE"""),164.0)</f>
        <v>164</v>
      </c>
    </row>
    <row r="105">
      <c r="A105" s="13" t="s">
        <v>986</v>
      </c>
      <c r="B105" s="13" t="s">
        <v>987</v>
      </c>
      <c r="C105" s="13" t="s">
        <v>988</v>
      </c>
      <c r="D105" s="33">
        <v>55.7072023819709</v>
      </c>
      <c r="E105" s="26">
        <v>9.5406361765952</v>
      </c>
      <c r="F105" s="13" t="s">
        <v>989</v>
      </c>
    </row>
    <row r="106">
      <c r="A106" s="65" t="s">
        <v>990</v>
      </c>
      <c r="B106" s="13" t="s">
        <v>991</v>
      </c>
      <c r="C106" s="13" t="s">
        <v>992</v>
      </c>
      <c r="D106" s="10">
        <f>IFERROR(__xludf.DUMMYFUNCTION("SPLIT(C106,"","")"),55.7137336610839)</f>
        <v>55.71373366</v>
      </c>
      <c r="E106" s="11">
        <f>IFERROR(__xludf.DUMMYFUNCTION("""COMPUTED_VALUE"""),9.55628682371264)</f>
        <v>9.556286824</v>
      </c>
      <c r="F106" s="13" t="s">
        <v>993</v>
      </c>
    </row>
    <row r="107">
      <c r="A107" s="13" t="s">
        <v>994</v>
      </c>
      <c r="B107" s="13" t="s">
        <v>995</v>
      </c>
      <c r="C107" s="13" t="s">
        <v>996</v>
      </c>
      <c r="D107" s="10">
        <f>IFERROR(__xludf.DUMMYFUNCTION("SPLIT(C107,"","")"),55.6990626286107)</f>
        <v>55.69906263</v>
      </c>
      <c r="E107" s="11">
        <f>IFERROR(__xludf.DUMMYFUNCTION("""COMPUTED_VALUE"""),9.57270383264166)</f>
        <v>9.572703833</v>
      </c>
      <c r="F107" s="13" t="s">
        <v>997</v>
      </c>
    </row>
    <row r="108">
      <c r="A108" s="13" t="s">
        <v>151</v>
      </c>
      <c r="B108" s="13" t="s">
        <v>210</v>
      </c>
      <c r="C108" s="13" t="s">
        <v>998</v>
      </c>
      <c r="D108" s="10">
        <f>IFERROR(__xludf.DUMMYFUNCTION("SPLIT(C108,"","")"),56.457126)</f>
        <v>56.457126</v>
      </c>
      <c r="E108" s="11">
        <f>IFERROR(__xludf.DUMMYFUNCTION("""COMPUTED_VALUE"""),10.0299577)</f>
        <v>10.0299577</v>
      </c>
      <c r="F108" s="13" t="s">
        <v>999</v>
      </c>
      <c r="G108" s="13">
        <v>4.0</v>
      </c>
    </row>
    <row r="109">
      <c r="A109" s="13" t="s">
        <v>1000</v>
      </c>
      <c r="B109" s="13" t="s">
        <v>1001</v>
      </c>
      <c r="C109" s="13" t="s">
        <v>1002</v>
      </c>
      <c r="D109" s="10">
        <f>IFERROR(__xludf.DUMMYFUNCTION("SPLIT(C109,"","")"),56.1802838)</f>
        <v>56.1802838</v>
      </c>
      <c r="E109" s="66">
        <f>IFERROR(__xludf.DUMMYFUNCTION("""COMPUTED_VALUE"""),10.199354)</f>
        <v>10.199354</v>
      </c>
      <c r="F109" s="13" t="s">
        <v>1003</v>
      </c>
      <c r="G109" s="13">
        <v>4.0</v>
      </c>
    </row>
    <row r="110">
      <c r="A110" s="13" t="s">
        <v>1004</v>
      </c>
      <c r="C110" s="13" t="s">
        <v>1005</v>
      </c>
      <c r="D110" s="10">
        <f>IFERROR(__xludf.DUMMYFUNCTION("SPLIT(C110,"","")"),56.1713346035952)</f>
        <v>56.1713346</v>
      </c>
      <c r="E110" s="11">
        <f>IFERROR(__xludf.DUMMYFUNCTION("""COMPUTED_VALUE"""),10.2002936684044)</f>
        <v>10.20029367</v>
      </c>
    </row>
    <row r="111">
      <c r="A111" s="13" t="s">
        <v>1006</v>
      </c>
      <c r="B111" s="13" t="s">
        <v>244</v>
      </c>
      <c r="C111" s="13" t="s">
        <v>1007</v>
      </c>
      <c r="D111" s="10">
        <f>IFERROR(__xludf.DUMMYFUNCTION("SPLIT(C111,"","")"),55.264558)</f>
        <v>55.264558</v>
      </c>
      <c r="E111" s="11">
        <f>IFERROR(__xludf.DUMMYFUNCTION("""COMPUTED_VALUE"""),12.3684984)</f>
        <v>12.3684984</v>
      </c>
      <c r="F111" s="13" t="s">
        <v>1008</v>
      </c>
    </row>
    <row r="112">
      <c r="A112" s="13" t="s">
        <v>1009</v>
      </c>
      <c r="B112" s="13" t="s">
        <v>731</v>
      </c>
      <c r="C112" s="13" t="s">
        <v>1010</v>
      </c>
      <c r="D112" s="10">
        <f>IFERROR(__xludf.DUMMYFUNCTION("SPLIT(C112,"","")"),55.46564)</f>
        <v>55.46564</v>
      </c>
      <c r="E112" s="11">
        <f>IFERROR(__xludf.DUMMYFUNCTION("""COMPUTED_VALUE"""),8.4537231)</f>
        <v>8.4537231</v>
      </c>
      <c r="F112" s="13" t="s">
        <v>1011</v>
      </c>
      <c r="G112" s="13">
        <v>4.0</v>
      </c>
    </row>
    <row r="113">
      <c r="A113" s="13" t="s">
        <v>1012</v>
      </c>
      <c r="B113" s="13" t="s">
        <v>160</v>
      </c>
      <c r="C113" s="13" t="s">
        <v>1013</v>
      </c>
      <c r="D113" s="10">
        <f>IFERROR(__xludf.DUMMYFUNCTION("SPLIT(C113,"","")"),56.1943684)</f>
        <v>56.1943684</v>
      </c>
      <c r="E113" s="11">
        <f>IFERROR(__xludf.DUMMYFUNCTION("""COMPUTED_VALUE"""),10.1944196)</f>
        <v>10.1944196</v>
      </c>
      <c r="F113" s="13" t="s">
        <v>1014</v>
      </c>
      <c r="G113" s="13">
        <v>5.0</v>
      </c>
    </row>
    <row r="114">
      <c r="A114" s="13" t="s">
        <v>1015</v>
      </c>
      <c r="B114" s="13" t="s">
        <v>1016</v>
      </c>
      <c r="C114" s="13" t="s">
        <v>1017</v>
      </c>
      <c r="D114" s="10">
        <f>IFERROR(__xludf.DUMMYFUNCTION("SPLIT(C114,"","")"),56.367263)</f>
        <v>56.367263</v>
      </c>
      <c r="E114" s="11">
        <f>IFERROR(__xludf.DUMMYFUNCTION("""COMPUTED_VALUE"""),8.6170479)</f>
        <v>8.6170479</v>
      </c>
      <c r="F114" s="13" t="s">
        <v>1018</v>
      </c>
    </row>
    <row r="115">
      <c r="A115" s="13" t="s">
        <v>1019</v>
      </c>
      <c r="B115" s="13" t="s">
        <v>984</v>
      </c>
      <c r="C115" s="13" t="s">
        <v>1020</v>
      </c>
      <c r="D115" s="10">
        <f>IFERROR(__xludf.DUMMYFUNCTION("SPLIT(C115,"","")"),55.4896192)</f>
        <v>55.4896192</v>
      </c>
      <c r="E115" s="67">
        <f>IFERROR(__xludf.DUMMYFUNCTION("""COMPUTED_VALUE"""),9.4725834)</f>
        <v>9.4725834</v>
      </c>
    </row>
    <row r="116">
      <c r="A116" s="13" t="s">
        <v>1021</v>
      </c>
      <c r="B116" s="13" t="s">
        <v>1022</v>
      </c>
      <c r="C116" s="13" t="s">
        <v>1023</v>
      </c>
      <c r="D116" s="10">
        <f>IFERROR(__xludf.DUMMYFUNCTION("SPLIT(C116,"","")"),55.9351033932733)</f>
        <v>55.93510339</v>
      </c>
      <c r="E116" s="67">
        <f>IFERROR(__xludf.DUMMYFUNCTION("""COMPUTED_VALUE"""),12.3012723962677)</f>
        <v>12.3012724</v>
      </c>
      <c r="F116" s="13" t="s">
        <v>1024</v>
      </c>
    </row>
    <row r="117">
      <c r="A117" s="13" t="s">
        <v>1025</v>
      </c>
      <c r="B117" s="13" t="s">
        <v>1026</v>
      </c>
      <c r="C117" s="13" t="s">
        <v>1027</v>
      </c>
      <c r="D117" s="10">
        <f>IFERROR(__xludf.DUMMYFUNCTION("SPLIT(C117,"","")"),56.4488892746418)</f>
        <v>56.44888927</v>
      </c>
      <c r="E117" s="67">
        <f>IFERROR(__xludf.DUMMYFUNCTION("""COMPUTED_VALUE"""),10.0602799155509)</f>
        <v>10.06027992</v>
      </c>
      <c r="F117" s="13" t="s">
        <v>1028</v>
      </c>
    </row>
    <row r="118">
      <c r="A118" s="13" t="s">
        <v>953</v>
      </c>
      <c r="B118" s="13" t="s">
        <v>1029</v>
      </c>
      <c r="C118" s="13" t="s">
        <v>1030</v>
      </c>
      <c r="D118" s="10">
        <f>IFERROR(__xludf.DUMMYFUNCTION("SPLIT(C118,"","")"),55.2510706)</f>
        <v>55.2510706</v>
      </c>
      <c r="E118" s="67">
        <f>IFERROR(__xludf.DUMMYFUNCTION("""COMPUTED_VALUE"""),9.3095699)</f>
        <v>9.3095699</v>
      </c>
      <c r="F118" s="13" t="s">
        <v>1031</v>
      </c>
    </row>
    <row r="119">
      <c r="A119" s="7" t="s">
        <v>709</v>
      </c>
      <c r="B119" s="7" t="s">
        <v>9</v>
      </c>
      <c r="C119" s="62" t="s">
        <v>710</v>
      </c>
      <c r="D119" s="10">
        <f>IFERROR(__xludf.DUMMYFUNCTION("SPLIT(C119,"","")"),55.0070976)</f>
        <v>55.0070976</v>
      </c>
      <c r="E119" s="67">
        <f>IFERROR(__xludf.DUMMYFUNCTION("""COMPUTED_VALUE"""),11.9121704)</f>
        <v>11.9121704</v>
      </c>
      <c r="F119" s="13" t="s">
        <v>711</v>
      </c>
      <c r="G119" s="13">
        <v>5.0</v>
      </c>
    </row>
    <row r="120">
      <c r="A120" s="13" t="s">
        <v>1032</v>
      </c>
      <c r="B120" s="13" t="s">
        <v>169</v>
      </c>
      <c r="C120" s="13" t="s">
        <v>1033</v>
      </c>
      <c r="D120" s="10">
        <f>IFERROR(__xludf.DUMMYFUNCTION("SPLIT(C120,"","")"),55.831776)</f>
        <v>55.831776</v>
      </c>
      <c r="E120" s="67">
        <f>IFERROR(__xludf.DUMMYFUNCTION("""COMPUTED_VALUE"""),10.018869)</f>
        <v>10.018869</v>
      </c>
      <c r="F120" s="13" t="s">
        <v>1034</v>
      </c>
    </row>
    <row r="121">
      <c r="A121" s="13" t="s">
        <v>1035</v>
      </c>
      <c r="B121" s="13" t="s">
        <v>1036</v>
      </c>
      <c r="C121" s="13" t="s">
        <v>1037</v>
      </c>
      <c r="D121" s="10">
        <f>IFERROR(__xludf.DUMMYFUNCTION("SPLIT(C121,"","")"),55.6687429959423)</f>
        <v>55.668743</v>
      </c>
      <c r="E121" s="67">
        <f>IFERROR(__xludf.DUMMYFUNCTION("""COMPUTED_VALUE"""),12.5597732051581)</f>
        <v>12.55977321</v>
      </c>
      <c r="F121" s="13" t="s">
        <v>1038</v>
      </c>
    </row>
    <row r="122">
      <c r="A122" s="13" t="s">
        <v>1039</v>
      </c>
      <c r="B122" s="13" t="s">
        <v>1040</v>
      </c>
      <c r="C122" s="13" t="s">
        <v>1041</v>
      </c>
      <c r="D122" s="10">
        <f>IFERROR(__xludf.DUMMYFUNCTION("SPLIT(C122,"","")"),55.7036911373108)</f>
        <v>55.70369114</v>
      </c>
      <c r="E122" s="67">
        <f>IFERROR(__xludf.DUMMYFUNCTION("""COMPUTED_VALUE"""),12.5537155180665)</f>
        <v>12.55371552</v>
      </c>
      <c r="F122" s="13" t="s">
        <v>1042</v>
      </c>
    </row>
    <row r="123">
      <c r="A123" s="13" t="s">
        <v>1043</v>
      </c>
      <c r="B123" s="13" t="s">
        <v>169</v>
      </c>
      <c r="C123" s="13" t="s">
        <v>1044</v>
      </c>
      <c r="D123" s="10">
        <f>IFERROR(__xludf.DUMMYFUNCTION("SPLIT(C123,"","")"),55.9324217)</f>
        <v>55.9324217</v>
      </c>
      <c r="E123" s="67">
        <f>IFERROR(__xludf.DUMMYFUNCTION("""COMPUTED_VALUE"""),9.3441676)</f>
        <v>9.3441676</v>
      </c>
      <c r="F123" s="13" t="s">
        <v>1045</v>
      </c>
    </row>
    <row r="124">
      <c r="A124" s="13" t="s">
        <v>1046</v>
      </c>
      <c r="B124" s="13" t="s">
        <v>1047</v>
      </c>
      <c r="C124" s="13" t="s">
        <v>1048</v>
      </c>
      <c r="D124" s="10">
        <f>IFERROR(__xludf.DUMMYFUNCTION("SPLIT(C124,"","")"),55.7139887)</f>
        <v>55.7139887</v>
      </c>
      <c r="E124" s="67">
        <f>IFERROR(__xludf.DUMMYFUNCTION("""COMPUTED_VALUE"""),10.0137133)</f>
        <v>10.0137133</v>
      </c>
      <c r="F124" s="13" t="s">
        <v>1049</v>
      </c>
    </row>
    <row r="125">
      <c r="D125" s="10" t="str">
        <f>IFERROR(__xludf.DUMMYFUNCTION("SPLIT(C125,"","")"),"#VALUE!")</f>
        <v>#VALUE!</v>
      </c>
      <c r="E125" s="67"/>
    </row>
    <row r="126">
      <c r="D126" s="10" t="str">
        <f>IFERROR(__xludf.DUMMYFUNCTION("SPLIT(C126,"","")"),"#VALUE!")</f>
        <v>#VALUE!</v>
      </c>
      <c r="E126" s="67"/>
    </row>
    <row r="127">
      <c r="D127" s="10" t="str">
        <f>IFERROR(__xludf.DUMMYFUNCTION("SPLIT(C127,"","")"),"#VALUE!")</f>
        <v>#VALUE!</v>
      </c>
      <c r="E127" s="67"/>
    </row>
    <row r="128">
      <c r="D128" s="10" t="str">
        <f>IFERROR(__xludf.DUMMYFUNCTION("SPLIT(C128,"","")"),"#VALUE!")</f>
        <v>#VALUE!</v>
      </c>
      <c r="E128" s="67"/>
    </row>
    <row r="129">
      <c r="D129" s="10" t="str">
        <f>IFERROR(__xludf.DUMMYFUNCTION("SPLIT(C129,"","")"),"#VALUE!")</f>
        <v>#VALUE!</v>
      </c>
      <c r="E129" s="67"/>
    </row>
    <row r="130">
      <c r="E130" s="67"/>
    </row>
    <row r="131">
      <c r="E131" s="67"/>
    </row>
    <row r="132">
      <c r="E132" s="67"/>
    </row>
    <row r="133">
      <c r="E133" s="67"/>
    </row>
    <row r="134">
      <c r="E134" s="67"/>
    </row>
    <row r="135">
      <c r="E135" s="67"/>
    </row>
    <row r="136">
      <c r="E136" s="67"/>
    </row>
    <row r="137">
      <c r="E137" s="67"/>
    </row>
    <row r="138">
      <c r="E138" s="67"/>
    </row>
    <row r="139">
      <c r="E139" s="67"/>
    </row>
    <row r="140">
      <c r="E140" s="67"/>
    </row>
    <row r="141">
      <c r="E141" s="67"/>
    </row>
    <row r="142">
      <c r="E142" s="67"/>
    </row>
    <row r="143">
      <c r="E143" s="67"/>
    </row>
    <row r="144">
      <c r="E144" s="67"/>
    </row>
    <row r="145">
      <c r="E145" s="67"/>
    </row>
    <row r="146">
      <c r="E146" s="67"/>
    </row>
    <row r="147">
      <c r="E147" s="67"/>
    </row>
    <row r="148">
      <c r="E148" s="67"/>
    </row>
    <row r="149">
      <c r="E149" s="67"/>
    </row>
    <row r="150">
      <c r="E150" s="67"/>
    </row>
    <row r="151">
      <c r="E151" s="67"/>
    </row>
    <row r="152">
      <c r="E152" s="67"/>
    </row>
    <row r="153">
      <c r="E153" s="67"/>
    </row>
    <row r="154">
      <c r="E154" s="67"/>
    </row>
    <row r="155">
      <c r="E155" s="67"/>
    </row>
    <row r="156">
      <c r="E156" s="67"/>
    </row>
    <row r="157">
      <c r="E157" s="67"/>
    </row>
    <row r="158">
      <c r="E158" s="67"/>
    </row>
    <row r="159">
      <c r="E159" s="67"/>
    </row>
    <row r="160">
      <c r="E160" s="67"/>
    </row>
    <row r="161">
      <c r="E161" s="67"/>
    </row>
    <row r="162">
      <c r="E162" s="67"/>
    </row>
    <row r="163">
      <c r="E163" s="67"/>
    </row>
    <row r="164">
      <c r="E164" s="67"/>
    </row>
    <row r="165">
      <c r="E165" s="67"/>
    </row>
    <row r="166">
      <c r="E166" s="67"/>
    </row>
    <row r="167">
      <c r="E167" s="67"/>
    </row>
    <row r="168">
      <c r="E168" s="67"/>
    </row>
    <row r="169">
      <c r="E169" s="67"/>
    </row>
    <row r="170">
      <c r="E170" s="67"/>
    </row>
    <row r="171">
      <c r="E171" s="67"/>
    </row>
    <row r="172">
      <c r="E172" s="67"/>
    </row>
    <row r="173">
      <c r="E173" s="67"/>
    </row>
    <row r="174">
      <c r="E174" s="67"/>
    </row>
    <row r="175">
      <c r="E175" s="67"/>
    </row>
    <row r="176">
      <c r="E176" s="67"/>
    </row>
    <row r="177">
      <c r="E177" s="67"/>
    </row>
    <row r="178">
      <c r="E178" s="67"/>
    </row>
    <row r="179">
      <c r="E179" s="67"/>
    </row>
    <row r="180">
      <c r="E180" s="67"/>
    </row>
    <row r="181">
      <c r="E181" s="67"/>
    </row>
    <row r="182">
      <c r="E182" s="67"/>
    </row>
    <row r="183">
      <c r="E183" s="67"/>
    </row>
    <row r="184">
      <c r="E184" s="67"/>
    </row>
    <row r="185">
      <c r="E185" s="67"/>
    </row>
    <row r="186">
      <c r="E186" s="67"/>
    </row>
    <row r="187">
      <c r="E187" s="67"/>
    </row>
    <row r="188">
      <c r="E188" s="67"/>
    </row>
    <row r="189">
      <c r="E189" s="67"/>
    </row>
    <row r="190">
      <c r="E190" s="67"/>
    </row>
    <row r="191">
      <c r="E191" s="67"/>
    </row>
    <row r="192">
      <c r="E192" s="67"/>
    </row>
    <row r="193">
      <c r="E193" s="67"/>
    </row>
    <row r="194">
      <c r="E194" s="67"/>
    </row>
    <row r="195">
      <c r="E195" s="67"/>
    </row>
    <row r="196">
      <c r="E196" s="67"/>
    </row>
    <row r="197">
      <c r="E197" s="67"/>
    </row>
    <row r="198">
      <c r="E198" s="67"/>
    </row>
    <row r="199">
      <c r="E199" s="67"/>
    </row>
    <row r="200">
      <c r="E200" s="67"/>
    </row>
    <row r="201">
      <c r="E201" s="67"/>
    </row>
    <row r="202">
      <c r="E202" s="67"/>
    </row>
    <row r="203">
      <c r="E203" s="67"/>
    </row>
    <row r="204">
      <c r="E204" s="67"/>
    </row>
    <row r="205">
      <c r="E205" s="67"/>
    </row>
    <row r="206">
      <c r="E206" s="67"/>
    </row>
    <row r="207">
      <c r="E207" s="67"/>
    </row>
    <row r="208">
      <c r="E208" s="67"/>
    </row>
    <row r="209">
      <c r="E209" s="67"/>
    </row>
    <row r="210">
      <c r="E210" s="67"/>
    </row>
    <row r="211">
      <c r="E211" s="67"/>
    </row>
    <row r="212">
      <c r="E212" s="67"/>
    </row>
    <row r="213">
      <c r="E213" s="67"/>
    </row>
    <row r="214">
      <c r="E214" s="67"/>
    </row>
    <row r="215">
      <c r="E215" s="67"/>
    </row>
    <row r="216">
      <c r="E216" s="67"/>
    </row>
    <row r="217">
      <c r="E217" s="67"/>
    </row>
    <row r="218">
      <c r="E218" s="67"/>
    </row>
    <row r="219">
      <c r="E219" s="67"/>
    </row>
    <row r="220">
      <c r="E220" s="67"/>
    </row>
    <row r="221">
      <c r="E221" s="67"/>
    </row>
    <row r="222">
      <c r="E222" s="67"/>
    </row>
    <row r="223">
      <c r="E223" s="67"/>
    </row>
    <row r="224">
      <c r="E224" s="67"/>
    </row>
    <row r="225">
      <c r="E225" s="67"/>
    </row>
    <row r="226">
      <c r="E226" s="67"/>
    </row>
    <row r="227">
      <c r="E227" s="67"/>
    </row>
    <row r="228">
      <c r="E228" s="67"/>
    </row>
    <row r="229">
      <c r="E229" s="67"/>
    </row>
    <row r="230">
      <c r="E230" s="67"/>
    </row>
    <row r="231">
      <c r="E231" s="67"/>
    </row>
    <row r="232">
      <c r="E232" s="67"/>
    </row>
    <row r="233">
      <c r="E233" s="67"/>
    </row>
    <row r="234">
      <c r="E234" s="67"/>
    </row>
    <row r="235">
      <c r="E235" s="67"/>
    </row>
    <row r="236">
      <c r="E236" s="67"/>
    </row>
    <row r="237">
      <c r="E237" s="67"/>
    </row>
    <row r="238">
      <c r="E238" s="67"/>
    </row>
    <row r="239">
      <c r="E239" s="67"/>
    </row>
    <row r="240">
      <c r="E240" s="67"/>
    </row>
    <row r="241">
      <c r="E241" s="67"/>
    </row>
    <row r="242">
      <c r="E242" s="67"/>
    </row>
    <row r="243">
      <c r="E243" s="67"/>
    </row>
    <row r="244">
      <c r="E244" s="67"/>
    </row>
    <row r="245">
      <c r="E245" s="67"/>
    </row>
    <row r="246">
      <c r="E246" s="67"/>
    </row>
    <row r="247">
      <c r="E247" s="67"/>
    </row>
    <row r="248">
      <c r="E248" s="67"/>
    </row>
    <row r="249">
      <c r="E249" s="67"/>
    </row>
    <row r="250">
      <c r="E250" s="67"/>
    </row>
    <row r="251">
      <c r="E251" s="67"/>
    </row>
    <row r="252">
      <c r="E252" s="67"/>
    </row>
    <row r="253">
      <c r="E253" s="67"/>
    </row>
    <row r="254">
      <c r="E254" s="67"/>
    </row>
    <row r="255">
      <c r="E255" s="67"/>
    </row>
    <row r="256">
      <c r="E256" s="67"/>
    </row>
    <row r="257">
      <c r="E257" s="67"/>
    </row>
    <row r="258">
      <c r="E258" s="67"/>
    </row>
    <row r="259">
      <c r="E259" s="67"/>
    </row>
    <row r="260">
      <c r="E260" s="67"/>
    </row>
    <row r="261">
      <c r="E261" s="67"/>
    </row>
    <row r="262">
      <c r="E262" s="67"/>
    </row>
    <row r="263">
      <c r="E263" s="67"/>
    </row>
    <row r="264">
      <c r="E264" s="67"/>
    </row>
    <row r="265">
      <c r="E265" s="67"/>
    </row>
    <row r="266">
      <c r="E266" s="67"/>
    </row>
    <row r="267">
      <c r="E267" s="67"/>
    </row>
    <row r="268">
      <c r="E268" s="67"/>
    </row>
    <row r="269">
      <c r="E269" s="67"/>
    </row>
    <row r="270">
      <c r="E270" s="67"/>
    </row>
    <row r="271">
      <c r="E271" s="67"/>
    </row>
    <row r="272">
      <c r="E272" s="67"/>
    </row>
    <row r="273">
      <c r="E273" s="67"/>
    </row>
    <row r="274">
      <c r="E274" s="67"/>
    </row>
    <row r="275">
      <c r="E275" s="67"/>
    </row>
    <row r="276">
      <c r="E276" s="67"/>
    </row>
    <row r="277">
      <c r="E277" s="67"/>
    </row>
    <row r="278">
      <c r="E278" s="67"/>
    </row>
    <row r="279">
      <c r="E279" s="67"/>
    </row>
    <row r="280">
      <c r="E280" s="67"/>
    </row>
    <row r="281">
      <c r="E281" s="67"/>
    </row>
    <row r="282">
      <c r="E282" s="67"/>
    </row>
    <row r="283">
      <c r="E283" s="67"/>
    </row>
    <row r="284">
      <c r="E284" s="67"/>
    </row>
    <row r="285">
      <c r="E285" s="67"/>
    </row>
    <row r="286">
      <c r="E286" s="67"/>
    </row>
    <row r="287">
      <c r="E287" s="67"/>
    </row>
    <row r="288">
      <c r="E288" s="67"/>
    </row>
    <row r="289">
      <c r="E289" s="67"/>
    </row>
    <row r="290">
      <c r="E290" s="67"/>
    </row>
    <row r="291">
      <c r="E291" s="67"/>
    </row>
    <row r="292">
      <c r="E292" s="67"/>
    </row>
    <row r="293">
      <c r="E293" s="67"/>
    </row>
    <row r="294">
      <c r="E294" s="67"/>
    </row>
    <row r="295">
      <c r="E295" s="67"/>
    </row>
    <row r="296">
      <c r="E296" s="67"/>
    </row>
    <row r="297">
      <c r="E297" s="67"/>
    </row>
    <row r="298">
      <c r="E298" s="67"/>
    </row>
    <row r="299">
      <c r="E299" s="67"/>
    </row>
    <row r="300">
      <c r="E300" s="67"/>
    </row>
    <row r="301">
      <c r="E301" s="67"/>
    </row>
    <row r="302">
      <c r="E302" s="67"/>
    </row>
    <row r="303">
      <c r="E303" s="67"/>
    </row>
    <row r="304">
      <c r="E304" s="67"/>
    </row>
    <row r="305">
      <c r="E305" s="67"/>
    </row>
    <row r="306">
      <c r="E306" s="67"/>
    </row>
    <row r="307">
      <c r="E307" s="67"/>
    </row>
    <row r="308">
      <c r="E308" s="67"/>
    </row>
    <row r="309">
      <c r="E309" s="67"/>
    </row>
    <row r="310">
      <c r="E310" s="67"/>
    </row>
    <row r="311">
      <c r="E311" s="67"/>
    </row>
    <row r="312">
      <c r="E312" s="67"/>
    </row>
    <row r="313">
      <c r="E313" s="67"/>
    </row>
    <row r="314">
      <c r="E314" s="67"/>
    </row>
    <row r="315">
      <c r="E315" s="67"/>
    </row>
    <row r="316">
      <c r="E316" s="67"/>
    </row>
    <row r="317">
      <c r="E317" s="67"/>
    </row>
    <row r="318">
      <c r="E318" s="67"/>
    </row>
    <row r="319">
      <c r="E319" s="67"/>
    </row>
    <row r="320">
      <c r="E320" s="67"/>
    </row>
    <row r="321">
      <c r="E321" s="67"/>
    </row>
    <row r="322">
      <c r="E322" s="67"/>
    </row>
    <row r="323">
      <c r="E323" s="67"/>
    </row>
    <row r="324">
      <c r="E324" s="67"/>
    </row>
    <row r="325">
      <c r="E325" s="67"/>
    </row>
    <row r="326">
      <c r="E326" s="67"/>
    </row>
    <row r="327">
      <c r="E327" s="67"/>
    </row>
    <row r="328">
      <c r="E328" s="67"/>
    </row>
    <row r="329">
      <c r="E329" s="67"/>
    </row>
    <row r="330">
      <c r="E330" s="67"/>
    </row>
    <row r="331">
      <c r="E331" s="67"/>
    </row>
    <row r="332">
      <c r="E332" s="67"/>
    </row>
    <row r="333">
      <c r="E333" s="67"/>
    </row>
    <row r="334">
      <c r="E334" s="67"/>
    </row>
    <row r="335">
      <c r="E335" s="67"/>
    </row>
    <row r="336">
      <c r="E336" s="67"/>
    </row>
    <row r="337">
      <c r="E337" s="67"/>
    </row>
    <row r="338">
      <c r="E338" s="67"/>
    </row>
    <row r="339">
      <c r="E339" s="67"/>
    </row>
    <row r="340">
      <c r="E340" s="67"/>
    </row>
    <row r="341">
      <c r="E341" s="67"/>
    </row>
    <row r="342">
      <c r="E342" s="67"/>
    </row>
    <row r="343">
      <c r="E343" s="67"/>
    </row>
    <row r="344">
      <c r="E344" s="67"/>
    </row>
    <row r="345">
      <c r="E345" s="67"/>
    </row>
    <row r="346">
      <c r="E346" s="67"/>
    </row>
    <row r="347">
      <c r="E347" s="67"/>
    </row>
    <row r="348">
      <c r="E348" s="67"/>
    </row>
    <row r="349">
      <c r="E349" s="67"/>
    </row>
    <row r="350">
      <c r="E350" s="67"/>
    </row>
    <row r="351">
      <c r="E351" s="67"/>
    </row>
    <row r="352">
      <c r="E352" s="67"/>
    </row>
    <row r="353">
      <c r="E353" s="67"/>
    </row>
    <row r="354">
      <c r="E354" s="67"/>
    </row>
    <row r="355">
      <c r="E355" s="67"/>
    </row>
    <row r="356">
      <c r="E356" s="67"/>
    </row>
    <row r="357">
      <c r="E357" s="67"/>
    </row>
    <row r="358">
      <c r="E358" s="67"/>
    </row>
    <row r="359">
      <c r="E359" s="67"/>
    </row>
    <row r="360">
      <c r="E360" s="67"/>
    </row>
    <row r="361">
      <c r="E361" s="67"/>
    </row>
    <row r="362">
      <c r="E362" s="67"/>
    </row>
    <row r="363">
      <c r="E363" s="67"/>
    </row>
    <row r="364">
      <c r="E364" s="67"/>
    </row>
    <row r="365">
      <c r="E365" s="67"/>
    </row>
    <row r="366">
      <c r="E366" s="67"/>
    </row>
    <row r="367">
      <c r="E367" s="67"/>
    </row>
    <row r="368">
      <c r="E368" s="67"/>
    </row>
    <row r="369">
      <c r="E369" s="67"/>
    </row>
    <row r="370">
      <c r="E370" s="67"/>
    </row>
    <row r="371">
      <c r="E371" s="67"/>
    </row>
    <row r="372">
      <c r="E372" s="67"/>
    </row>
    <row r="373">
      <c r="E373" s="67"/>
    </row>
    <row r="374">
      <c r="E374" s="67"/>
    </row>
    <row r="375">
      <c r="E375" s="67"/>
    </row>
    <row r="376">
      <c r="E376" s="67"/>
    </row>
    <row r="377">
      <c r="E377" s="67"/>
    </row>
    <row r="378">
      <c r="E378" s="67"/>
    </row>
    <row r="379">
      <c r="E379" s="67"/>
    </row>
    <row r="380">
      <c r="E380" s="67"/>
    </row>
    <row r="381">
      <c r="E381" s="67"/>
    </row>
    <row r="382">
      <c r="E382" s="67"/>
    </row>
    <row r="383">
      <c r="E383" s="67"/>
    </row>
    <row r="384">
      <c r="E384" s="67"/>
    </row>
    <row r="385">
      <c r="E385" s="67"/>
    </row>
    <row r="386">
      <c r="E386" s="67"/>
    </row>
    <row r="387">
      <c r="E387" s="67"/>
    </row>
    <row r="388">
      <c r="E388" s="67"/>
    </row>
    <row r="389">
      <c r="E389" s="67"/>
    </row>
    <row r="390">
      <c r="E390" s="67"/>
    </row>
    <row r="391">
      <c r="E391" s="67"/>
    </row>
    <row r="392">
      <c r="E392" s="67"/>
    </row>
    <row r="393">
      <c r="E393" s="67"/>
    </row>
    <row r="394">
      <c r="E394" s="67"/>
    </row>
    <row r="395">
      <c r="E395" s="67"/>
    </row>
    <row r="396">
      <c r="E396" s="67"/>
    </row>
    <row r="397">
      <c r="E397" s="67"/>
    </row>
    <row r="398">
      <c r="E398" s="67"/>
    </row>
    <row r="399">
      <c r="E399" s="67"/>
    </row>
    <row r="400">
      <c r="E400" s="67"/>
    </row>
    <row r="401">
      <c r="E401" s="67"/>
    </row>
    <row r="402">
      <c r="E402" s="67"/>
    </row>
    <row r="403">
      <c r="E403" s="67"/>
    </row>
    <row r="404">
      <c r="E404" s="67"/>
    </row>
    <row r="405">
      <c r="E405" s="67"/>
    </row>
    <row r="406">
      <c r="E406" s="67"/>
    </row>
    <row r="407">
      <c r="E407" s="67"/>
    </row>
    <row r="408">
      <c r="E408" s="67"/>
    </row>
    <row r="409">
      <c r="E409" s="67"/>
    </row>
    <row r="410">
      <c r="E410" s="67"/>
    </row>
    <row r="411">
      <c r="E411" s="67"/>
    </row>
    <row r="412">
      <c r="E412" s="67"/>
    </row>
    <row r="413">
      <c r="E413" s="67"/>
    </row>
    <row r="414">
      <c r="E414" s="67"/>
    </row>
    <row r="415">
      <c r="E415" s="67"/>
    </row>
    <row r="416">
      <c r="E416" s="67"/>
    </row>
    <row r="417">
      <c r="E417" s="67"/>
    </row>
    <row r="418">
      <c r="E418" s="67"/>
    </row>
    <row r="419">
      <c r="E419" s="67"/>
    </row>
    <row r="420">
      <c r="E420" s="67"/>
    </row>
    <row r="421">
      <c r="E421" s="67"/>
    </row>
    <row r="422">
      <c r="E422" s="67"/>
    </row>
    <row r="423">
      <c r="E423" s="67"/>
    </row>
    <row r="424">
      <c r="E424" s="67"/>
    </row>
    <row r="425">
      <c r="E425" s="67"/>
    </row>
    <row r="426">
      <c r="E426" s="67"/>
    </row>
    <row r="427">
      <c r="E427" s="67"/>
    </row>
    <row r="428">
      <c r="E428" s="67"/>
    </row>
    <row r="429">
      <c r="E429" s="67"/>
    </row>
    <row r="430">
      <c r="E430" s="67"/>
    </row>
    <row r="431">
      <c r="E431" s="67"/>
    </row>
    <row r="432">
      <c r="E432" s="67"/>
    </row>
    <row r="433">
      <c r="E433" s="67"/>
    </row>
    <row r="434">
      <c r="E434" s="67"/>
    </row>
    <row r="435">
      <c r="E435" s="67"/>
    </row>
    <row r="436">
      <c r="E436" s="67"/>
    </row>
    <row r="437">
      <c r="E437" s="67"/>
    </row>
    <row r="438">
      <c r="E438" s="67"/>
    </row>
    <row r="439">
      <c r="E439" s="67"/>
    </row>
    <row r="440">
      <c r="E440" s="67"/>
    </row>
    <row r="441">
      <c r="E441" s="67"/>
    </row>
    <row r="442">
      <c r="E442" s="67"/>
    </row>
    <row r="443">
      <c r="E443" s="67"/>
    </row>
    <row r="444">
      <c r="E444" s="67"/>
    </row>
    <row r="445">
      <c r="E445" s="67"/>
    </row>
    <row r="446">
      <c r="E446" s="67"/>
    </row>
    <row r="447">
      <c r="E447" s="67"/>
    </row>
    <row r="448">
      <c r="E448" s="67"/>
    </row>
    <row r="449">
      <c r="E449" s="67"/>
    </row>
    <row r="450">
      <c r="E450" s="67"/>
    </row>
    <row r="451">
      <c r="E451" s="67"/>
    </row>
    <row r="452">
      <c r="E452" s="67"/>
    </row>
    <row r="453">
      <c r="E453" s="67"/>
    </row>
    <row r="454">
      <c r="E454" s="67"/>
    </row>
    <row r="455">
      <c r="E455" s="67"/>
    </row>
    <row r="456">
      <c r="E456" s="67"/>
    </row>
    <row r="457">
      <c r="E457" s="67"/>
    </row>
    <row r="458">
      <c r="E458" s="67"/>
    </row>
    <row r="459">
      <c r="E459" s="67"/>
    </row>
    <row r="460">
      <c r="E460" s="67"/>
    </row>
    <row r="461">
      <c r="E461" s="67"/>
    </row>
    <row r="462">
      <c r="E462" s="67"/>
    </row>
    <row r="463">
      <c r="E463" s="67"/>
    </row>
    <row r="464">
      <c r="E464" s="67"/>
    </row>
    <row r="465">
      <c r="E465" s="67"/>
    </row>
    <row r="466">
      <c r="E466" s="67"/>
    </row>
    <row r="467">
      <c r="E467" s="67"/>
    </row>
    <row r="468">
      <c r="E468" s="67"/>
    </row>
    <row r="469">
      <c r="E469" s="67"/>
    </row>
    <row r="470">
      <c r="E470" s="67"/>
    </row>
    <row r="471">
      <c r="E471" s="67"/>
    </row>
    <row r="472">
      <c r="E472" s="67"/>
    </row>
    <row r="473">
      <c r="E473" s="67"/>
    </row>
    <row r="474">
      <c r="E474" s="67"/>
    </row>
    <row r="475">
      <c r="E475" s="67"/>
    </row>
    <row r="476">
      <c r="E476" s="67"/>
    </row>
    <row r="477">
      <c r="E477" s="67"/>
    </row>
    <row r="478">
      <c r="E478" s="67"/>
    </row>
    <row r="479">
      <c r="E479" s="67"/>
    </row>
    <row r="480">
      <c r="E480" s="67"/>
    </row>
    <row r="481">
      <c r="E481" s="67"/>
    </row>
    <row r="482">
      <c r="E482" s="67"/>
    </row>
    <row r="483">
      <c r="E483" s="67"/>
    </row>
    <row r="484">
      <c r="E484" s="67"/>
    </row>
    <row r="485">
      <c r="E485" s="67"/>
    </row>
    <row r="486">
      <c r="E486" s="67"/>
    </row>
    <row r="487">
      <c r="E487" s="67"/>
    </row>
    <row r="488">
      <c r="E488" s="67"/>
    </row>
    <row r="489">
      <c r="E489" s="67"/>
    </row>
    <row r="490">
      <c r="E490" s="67"/>
    </row>
    <row r="491">
      <c r="E491" s="67"/>
    </row>
    <row r="492">
      <c r="E492" s="67"/>
    </row>
    <row r="493">
      <c r="E493" s="67"/>
    </row>
    <row r="494">
      <c r="E494" s="67"/>
    </row>
    <row r="495">
      <c r="E495" s="67"/>
    </row>
    <row r="496">
      <c r="E496" s="67"/>
    </row>
    <row r="497">
      <c r="E497" s="67"/>
    </row>
    <row r="498">
      <c r="E498" s="67"/>
    </row>
    <row r="499">
      <c r="E499" s="67"/>
    </row>
    <row r="500">
      <c r="E500" s="67"/>
    </row>
    <row r="501">
      <c r="E501" s="67"/>
    </row>
    <row r="502">
      <c r="E502" s="67"/>
    </row>
    <row r="503">
      <c r="E503" s="67"/>
    </row>
    <row r="504">
      <c r="E504" s="67"/>
    </row>
    <row r="505">
      <c r="E505" s="67"/>
    </row>
    <row r="506">
      <c r="E506" s="67"/>
    </row>
    <row r="507">
      <c r="E507" s="67"/>
    </row>
    <row r="508">
      <c r="E508" s="67"/>
    </row>
    <row r="509">
      <c r="E509" s="67"/>
    </row>
    <row r="510">
      <c r="E510" s="67"/>
    </row>
    <row r="511">
      <c r="E511" s="67"/>
    </row>
    <row r="512">
      <c r="E512" s="67"/>
    </row>
    <row r="513">
      <c r="E513" s="67"/>
    </row>
    <row r="514">
      <c r="E514" s="67"/>
    </row>
    <row r="515">
      <c r="E515" s="67"/>
    </row>
    <row r="516">
      <c r="E516" s="67"/>
    </row>
    <row r="517">
      <c r="E517" s="67"/>
    </row>
    <row r="518">
      <c r="E518" s="67"/>
    </row>
    <row r="519">
      <c r="E519" s="67"/>
    </row>
    <row r="520">
      <c r="E520" s="67"/>
    </row>
    <row r="521">
      <c r="E521" s="67"/>
    </row>
    <row r="522">
      <c r="E522" s="67"/>
    </row>
    <row r="523">
      <c r="E523" s="67"/>
    </row>
    <row r="524">
      <c r="E524" s="67"/>
    </row>
    <row r="525">
      <c r="E525" s="67"/>
    </row>
    <row r="526">
      <c r="E526" s="67"/>
    </row>
    <row r="527">
      <c r="E527" s="67"/>
    </row>
    <row r="528">
      <c r="E528" s="67"/>
    </row>
    <row r="529">
      <c r="E529" s="67"/>
    </row>
    <row r="530">
      <c r="E530" s="67"/>
    </row>
    <row r="531">
      <c r="E531" s="67"/>
    </row>
    <row r="532">
      <c r="E532" s="67"/>
    </row>
    <row r="533">
      <c r="E533" s="67"/>
    </row>
    <row r="534">
      <c r="E534" s="67"/>
    </row>
    <row r="535">
      <c r="E535" s="67"/>
    </row>
    <row r="536">
      <c r="E536" s="67"/>
    </row>
    <row r="537">
      <c r="E537" s="67"/>
    </row>
    <row r="538">
      <c r="E538" s="67"/>
    </row>
    <row r="539">
      <c r="E539" s="67"/>
    </row>
    <row r="540">
      <c r="E540" s="67"/>
    </row>
    <row r="541">
      <c r="E541" s="67"/>
    </row>
    <row r="542">
      <c r="E542" s="67"/>
    </row>
    <row r="543">
      <c r="E543" s="67"/>
    </row>
    <row r="544">
      <c r="E544" s="67"/>
    </row>
    <row r="545">
      <c r="E545" s="67"/>
    </row>
    <row r="546">
      <c r="E546" s="67"/>
    </row>
    <row r="547">
      <c r="E547" s="67"/>
    </row>
    <row r="548">
      <c r="E548" s="67"/>
    </row>
    <row r="549">
      <c r="E549" s="67"/>
    </row>
    <row r="550">
      <c r="E550" s="67"/>
    </row>
    <row r="551">
      <c r="E551" s="67"/>
    </row>
    <row r="552">
      <c r="E552" s="67"/>
    </row>
    <row r="553">
      <c r="E553" s="67"/>
    </row>
    <row r="554">
      <c r="E554" s="67"/>
    </row>
    <row r="555">
      <c r="E555" s="67"/>
    </row>
    <row r="556">
      <c r="E556" s="67"/>
    </row>
    <row r="557">
      <c r="E557" s="67"/>
    </row>
    <row r="558">
      <c r="E558" s="67"/>
    </row>
    <row r="559">
      <c r="E559" s="67"/>
    </row>
    <row r="560">
      <c r="E560" s="67"/>
    </row>
    <row r="561">
      <c r="E561" s="67"/>
    </row>
    <row r="562">
      <c r="E562" s="67"/>
    </row>
    <row r="563">
      <c r="E563" s="67"/>
    </row>
    <row r="564">
      <c r="E564" s="67"/>
    </row>
    <row r="565">
      <c r="E565" s="67"/>
    </row>
    <row r="566">
      <c r="E566" s="67"/>
    </row>
    <row r="567">
      <c r="E567" s="67"/>
    </row>
    <row r="568">
      <c r="E568" s="67"/>
    </row>
    <row r="569">
      <c r="E569" s="67"/>
    </row>
    <row r="570">
      <c r="E570" s="67"/>
    </row>
    <row r="571">
      <c r="E571" s="67"/>
    </row>
    <row r="572">
      <c r="E572" s="67"/>
    </row>
    <row r="573">
      <c r="E573" s="67"/>
    </row>
    <row r="574">
      <c r="E574" s="67"/>
    </row>
    <row r="575">
      <c r="E575" s="67"/>
    </row>
    <row r="576">
      <c r="E576" s="67"/>
    </row>
    <row r="577">
      <c r="E577" s="67"/>
    </row>
    <row r="578">
      <c r="E578" s="67"/>
    </row>
    <row r="579">
      <c r="E579" s="67"/>
    </row>
    <row r="580">
      <c r="E580" s="67"/>
    </row>
    <row r="581">
      <c r="E581" s="67"/>
    </row>
    <row r="582">
      <c r="E582" s="67"/>
    </row>
    <row r="583">
      <c r="E583" s="67"/>
    </row>
    <row r="584">
      <c r="E584" s="67"/>
    </row>
    <row r="585">
      <c r="E585" s="67"/>
    </row>
    <row r="586">
      <c r="E586" s="67"/>
    </row>
    <row r="587">
      <c r="E587" s="67"/>
    </row>
    <row r="588">
      <c r="E588" s="67"/>
    </row>
    <row r="589">
      <c r="E589" s="67"/>
    </row>
    <row r="590">
      <c r="E590" s="67"/>
    </row>
    <row r="591">
      <c r="E591" s="67"/>
    </row>
    <row r="592">
      <c r="E592" s="67"/>
    </row>
    <row r="593">
      <c r="E593" s="67"/>
    </row>
    <row r="594">
      <c r="E594" s="67"/>
    </row>
    <row r="595">
      <c r="E595" s="67"/>
    </row>
    <row r="596">
      <c r="E596" s="67"/>
    </row>
    <row r="597">
      <c r="E597" s="67"/>
    </row>
    <row r="598">
      <c r="E598" s="67"/>
    </row>
    <row r="599">
      <c r="E599" s="67"/>
    </row>
    <row r="600">
      <c r="E600" s="67"/>
    </row>
    <row r="601">
      <c r="E601" s="67"/>
    </row>
    <row r="602">
      <c r="E602" s="67"/>
    </row>
    <row r="603">
      <c r="E603" s="67"/>
    </row>
    <row r="604">
      <c r="E604" s="67"/>
    </row>
    <row r="605">
      <c r="E605" s="67"/>
    </row>
    <row r="606">
      <c r="E606" s="67"/>
    </row>
    <row r="607">
      <c r="E607" s="67"/>
    </row>
    <row r="608">
      <c r="E608" s="67"/>
    </row>
    <row r="609">
      <c r="E609" s="67"/>
    </row>
    <row r="610">
      <c r="E610" s="67"/>
    </row>
    <row r="611">
      <c r="E611" s="67"/>
    </row>
    <row r="612">
      <c r="E612" s="67"/>
    </row>
    <row r="613">
      <c r="E613" s="67"/>
    </row>
    <row r="614">
      <c r="E614" s="67"/>
    </row>
    <row r="615">
      <c r="E615" s="67"/>
    </row>
    <row r="616">
      <c r="E616" s="67"/>
    </row>
    <row r="617">
      <c r="E617" s="67"/>
    </row>
    <row r="618">
      <c r="E618" s="67"/>
    </row>
    <row r="619">
      <c r="E619" s="67"/>
    </row>
    <row r="620">
      <c r="E620" s="67"/>
    </row>
    <row r="621">
      <c r="E621" s="67"/>
    </row>
    <row r="622">
      <c r="E622" s="67"/>
    </row>
    <row r="623">
      <c r="E623" s="67"/>
    </row>
    <row r="624">
      <c r="E624" s="67"/>
    </row>
    <row r="625">
      <c r="E625" s="67"/>
    </row>
    <row r="626">
      <c r="E626" s="67"/>
    </row>
    <row r="627">
      <c r="E627" s="67"/>
    </row>
    <row r="628">
      <c r="E628" s="67"/>
    </row>
    <row r="629">
      <c r="E629" s="67"/>
    </row>
    <row r="630">
      <c r="E630" s="67"/>
    </row>
    <row r="631">
      <c r="E631" s="67"/>
    </row>
    <row r="632">
      <c r="E632" s="67"/>
    </row>
    <row r="633">
      <c r="E633" s="67"/>
    </row>
    <row r="634">
      <c r="E634" s="67"/>
    </row>
    <row r="635">
      <c r="E635" s="67"/>
    </row>
    <row r="636">
      <c r="E636" s="67"/>
    </row>
    <row r="637">
      <c r="E637" s="67"/>
    </row>
    <row r="638">
      <c r="E638" s="67"/>
    </row>
    <row r="639">
      <c r="E639" s="67"/>
    </row>
    <row r="640">
      <c r="E640" s="67"/>
    </row>
    <row r="641">
      <c r="E641" s="67"/>
    </row>
    <row r="642">
      <c r="E642" s="67"/>
    </row>
    <row r="643">
      <c r="E643" s="67"/>
    </row>
    <row r="644">
      <c r="E644" s="67"/>
    </row>
    <row r="645">
      <c r="E645" s="67"/>
    </row>
    <row r="646">
      <c r="E646" s="67"/>
    </row>
    <row r="647">
      <c r="E647" s="67"/>
    </row>
    <row r="648">
      <c r="E648" s="67"/>
    </row>
    <row r="649">
      <c r="E649" s="67"/>
    </row>
    <row r="650">
      <c r="E650" s="67"/>
    </row>
    <row r="651">
      <c r="E651" s="67"/>
    </row>
    <row r="652">
      <c r="E652" s="67"/>
    </row>
    <row r="653">
      <c r="E653" s="67"/>
    </row>
    <row r="654">
      <c r="E654" s="67"/>
    </row>
    <row r="655">
      <c r="E655" s="67"/>
    </row>
    <row r="656">
      <c r="E656" s="67"/>
    </row>
    <row r="657">
      <c r="E657" s="67"/>
    </row>
    <row r="658">
      <c r="E658" s="67"/>
    </row>
    <row r="659">
      <c r="E659" s="67"/>
    </row>
    <row r="660">
      <c r="E660" s="67"/>
    </row>
    <row r="661">
      <c r="E661" s="67"/>
    </row>
    <row r="662">
      <c r="E662" s="67"/>
    </row>
    <row r="663">
      <c r="E663" s="67"/>
    </row>
    <row r="664">
      <c r="E664" s="67"/>
    </row>
    <row r="665">
      <c r="E665" s="67"/>
    </row>
    <row r="666">
      <c r="E666" s="67"/>
    </row>
    <row r="667">
      <c r="E667" s="67"/>
    </row>
    <row r="668">
      <c r="E668" s="67"/>
    </row>
    <row r="669">
      <c r="E669" s="67"/>
    </row>
    <row r="670">
      <c r="E670" s="67"/>
    </row>
    <row r="671">
      <c r="E671" s="67"/>
    </row>
    <row r="672">
      <c r="E672" s="67"/>
    </row>
    <row r="673">
      <c r="E673" s="67"/>
    </row>
    <row r="674">
      <c r="E674" s="67"/>
    </row>
    <row r="675">
      <c r="E675" s="67"/>
    </row>
    <row r="676">
      <c r="E676" s="67"/>
    </row>
    <row r="677">
      <c r="E677" s="67"/>
    </row>
    <row r="678">
      <c r="E678" s="67"/>
    </row>
    <row r="679">
      <c r="E679" s="67"/>
    </row>
    <row r="680">
      <c r="E680" s="67"/>
    </row>
    <row r="681">
      <c r="E681" s="67"/>
    </row>
    <row r="682">
      <c r="E682" s="67"/>
    </row>
    <row r="683">
      <c r="E683" s="67"/>
    </row>
    <row r="684">
      <c r="E684" s="67"/>
    </row>
    <row r="685">
      <c r="E685" s="67"/>
    </row>
    <row r="686">
      <c r="E686" s="67"/>
    </row>
    <row r="687">
      <c r="E687" s="67"/>
    </row>
    <row r="688">
      <c r="E688" s="67"/>
    </row>
    <row r="689">
      <c r="E689" s="67"/>
    </row>
    <row r="690">
      <c r="E690" s="67"/>
    </row>
    <row r="691">
      <c r="E691" s="67"/>
    </row>
    <row r="692">
      <c r="E692" s="67"/>
    </row>
    <row r="693">
      <c r="E693" s="67"/>
    </row>
    <row r="694">
      <c r="E694" s="67"/>
    </row>
    <row r="695">
      <c r="E695" s="67"/>
    </row>
    <row r="696">
      <c r="E696" s="67"/>
    </row>
    <row r="697">
      <c r="E697" s="67"/>
    </row>
    <row r="698">
      <c r="E698" s="67"/>
    </row>
    <row r="699">
      <c r="E699" s="67"/>
    </row>
    <row r="700">
      <c r="E700" s="67"/>
    </row>
    <row r="701">
      <c r="E701" s="67"/>
    </row>
    <row r="702">
      <c r="E702" s="67"/>
    </row>
    <row r="703">
      <c r="E703" s="67"/>
    </row>
    <row r="704">
      <c r="E704" s="67"/>
    </row>
    <row r="705">
      <c r="E705" s="67"/>
    </row>
    <row r="706">
      <c r="E706" s="67"/>
    </row>
    <row r="707">
      <c r="E707" s="67"/>
    </row>
    <row r="708">
      <c r="E708" s="67"/>
    </row>
    <row r="709">
      <c r="E709" s="67"/>
    </row>
    <row r="710">
      <c r="E710" s="67"/>
    </row>
    <row r="711">
      <c r="E711" s="67"/>
    </row>
    <row r="712">
      <c r="E712" s="67"/>
    </row>
    <row r="713">
      <c r="E713" s="67"/>
    </row>
    <row r="714">
      <c r="E714" s="67"/>
    </row>
    <row r="715">
      <c r="E715" s="67"/>
    </row>
    <row r="716">
      <c r="E716" s="67"/>
    </row>
    <row r="717">
      <c r="E717" s="67"/>
    </row>
    <row r="718">
      <c r="E718" s="67"/>
    </row>
    <row r="719">
      <c r="E719" s="67"/>
    </row>
    <row r="720">
      <c r="E720" s="67"/>
    </row>
    <row r="721">
      <c r="E721" s="67"/>
    </row>
    <row r="722">
      <c r="E722" s="67"/>
    </row>
    <row r="723">
      <c r="E723" s="67"/>
    </row>
    <row r="724">
      <c r="E724" s="67"/>
    </row>
    <row r="725">
      <c r="E725" s="67"/>
    </row>
    <row r="726">
      <c r="E726" s="67"/>
    </row>
    <row r="727">
      <c r="E727" s="67"/>
    </row>
    <row r="728">
      <c r="E728" s="67"/>
    </row>
    <row r="729">
      <c r="E729" s="67"/>
    </row>
    <row r="730">
      <c r="E730" s="67"/>
    </row>
    <row r="731">
      <c r="E731" s="67"/>
    </row>
    <row r="732">
      <c r="E732" s="67"/>
    </row>
    <row r="733">
      <c r="E733" s="67"/>
    </row>
    <row r="734">
      <c r="E734" s="67"/>
    </row>
    <row r="735">
      <c r="E735" s="67"/>
    </row>
    <row r="736">
      <c r="E736" s="67"/>
    </row>
    <row r="737">
      <c r="E737" s="67"/>
    </row>
    <row r="738">
      <c r="E738" s="67"/>
    </row>
    <row r="739">
      <c r="E739" s="67"/>
    </row>
    <row r="740">
      <c r="E740" s="67"/>
    </row>
    <row r="741">
      <c r="E741" s="67"/>
    </row>
    <row r="742">
      <c r="E742" s="67"/>
    </row>
    <row r="743">
      <c r="E743" s="67"/>
    </row>
    <row r="744">
      <c r="E744" s="67"/>
    </row>
    <row r="745">
      <c r="E745" s="67"/>
    </row>
    <row r="746">
      <c r="E746" s="67"/>
    </row>
    <row r="747">
      <c r="E747" s="67"/>
    </row>
    <row r="748">
      <c r="E748" s="67"/>
    </row>
    <row r="749">
      <c r="E749" s="67"/>
    </row>
    <row r="750">
      <c r="E750" s="67"/>
    </row>
    <row r="751">
      <c r="E751" s="67"/>
    </row>
    <row r="752">
      <c r="E752" s="67"/>
    </row>
    <row r="753">
      <c r="E753" s="67"/>
    </row>
    <row r="754">
      <c r="E754" s="67"/>
    </row>
    <row r="755">
      <c r="E755" s="67"/>
    </row>
    <row r="756">
      <c r="E756" s="67"/>
    </row>
    <row r="757">
      <c r="E757" s="67"/>
    </row>
    <row r="758">
      <c r="E758" s="67"/>
    </row>
    <row r="759">
      <c r="E759" s="67"/>
    </row>
    <row r="760">
      <c r="E760" s="67"/>
    </row>
    <row r="761">
      <c r="E761" s="67"/>
    </row>
    <row r="762">
      <c r="E762" s="67"/>
    </row>
    <row r="763">
      <c r="E763" s="67"/>
    </row>
    <row r="764">
      <c r="E764" s="67"/>
    </row>
    <row r="765">
      <c r="E765" s="67"/>
    </row>
    <row r="766">
      <c r="E766" s="67"/>
    </row>
    <row r="767">
      <c r="E767" s="67"/>
    </row>
    <row r="768">
      <c r="E768" s="67"/>
    </row>
    <row r="769">
      <c r="E769" s="67"/>
    </row>
    <row r="770">
      <c r="E770" s="67"/>
    </row>
    <row r="771">
      <c r="E771" s="67"/>
    </row>
    <row r="772">
      <c r="E772" s="67"/>
    </row>
    <row r="773">
      <c r="E773" s="67"/>
    </row>
    <row r="774">
      <c r="E774" s="67"/>
    </row>
    <row r="775">
      <c r="E775" s="67"/>
    </row>
    <row r="776">
      <c r="E776" s="67"/>
    </row>
    <row r="777">
      <c r="E777" s="67"/>
    </row>
    <row r="778">
      <c r="E778" s="67"/>
    </row>
    <row r="779">
      <c r="E779" s="67"/>
    </row>
    <row r="780">
      <c r="E780" s="67"/>
    </row>
    <row r="781">
      <c r="E781" s="67"/>
    </row>
    <row r="782">
      <c r="E782" s="67"/>
    </row>
    <row r="783">
      <c r="E783" s="67"/>
    </row>
    <row r="784">
      <c r="E784" s="67"/>
    </row>
    <row r="785">
      <c r="E785" s="67"/>
    </row>
    <row r="786">
      <c r="E786" s="67"/>
    </row>
    <row r="787">
      <c r="E787" s="67"/>
    </row>
    <row r="788">
      <c r="E788" s="67"/>
    </row>
    <row r="789">
      <c r="E789" s="67"/>
    </row>
    <row r="790">
      <c r="E790" s="67"/>
    </row>
    <row r="791">
      <c r="E791" s="67"/>
    </row>
    <row r="792">
      <c r="E792" s="67"/>
    </row>
    <row r="793">
      <c r="E793" s="67"/>
    </row>
    <row r="794">
      <c r="E794" s="67"/>
    </row>
    <row r="795">
      <c r="E795" s="67"/>
    </row>
    <row r="796">
      <c r="E796" s="67"/>
    </row>
    <row r="797">
      <c r="E797" s="67"/>
    </row>
    <row r="798">
      <c r="E798" s="67"/>
    </row>
    <row r="799">
      <c r="E799" s="67"/>
    </row>
    <row r="800">
      <c r="E800" s="67"/>
    </row>
    <row r="801">
      <c r="E801" s="67"/>
    </row>
    <row r="802">
      <c r="E802" s="67"/>
    </row>
    <row r="803">
      <c r="E803" s="67"/>
    </row>
    <row r="804">
      <c r="E804" s="67"/>
    </row>
    <row r="805">
      <c r="E805" s="67"/>
    </row>
    <row r="806">
      <c r="E806" s="67"/>
    </row>
    <row r="807">
      <c r="E807" s="67"/>
    </row>
    <row r="808">
      <c r="E808" s="67"/>
    </row>
    <row r="809">
      <c r="E809" s="67"/>
    </row>
    <row r="810">
      <c r="E810" s="67"/>
    </row>
    <row r="811">
      <c r="E811" s="67"/>
    </row>
    <row r="812">
      <c r="E812" s="67"/>
    </row>
    <row r="813">
      <c r="E813" s="67"/>
    </row>
    <row r="814">
      <c r="E814" s="67"/>
    </row>
    <row r="815">
      <c r="E815" s="67"/>
    </row>
    <row r="816">
      <c r="E816" s="67"/>
    </row>
    <row r="817">
      <c r="E817" s="67"/>
    </row>
    <row r="818">
      <c r="E818" s="67"/>
    </row>
    <row r="819">
      <c r="E819" s="67"/>
    </row>
    <row r="820">
      <c r="E820" s="67"/>
    </row>
    <row r="821">
      <c r="E821" s="67"/>
    </row>
    <row r="822">
      <c r="E822" s="67"/>
    </row>
    <row r="823">
      <c r="E823" s="67"/>
    </row>
    <row r="824">
      <c r="E824" s="67"/>
    </row>
    <row r="825">
      <c r="E825" s="67"/>
    </row>
    <row r="826">
      <c r="E826" s="67"/>
    </row>
    <row r="827">
      <c r="E827" s="67"/>
    </row>
    <row r="828">
      <c r="E828" s="67"/>
    </row>
    <row r="829">
      <c r="E829" s="67"/>
    </row>
    <row r="830">
      <c r="E830" s="67"/>
    </row>
    <row r="831">
      <c r="E831" s="67"/>
    </row>
    <row r="832">
      <c r="E832" s="67"/>
    </row>
    <row r="833">
      <c r="E833" s="67"/>
    </row>
    <row r="834">
      <c r="E834" s="67"/>
    </row>
    <row r="835">
      <c r="E835" s="67"/>
    </row>
    <row r="836">
      <c r="E836" s="67"/>
    </row>
    <row r="837">
      <c r="E837" s="67"/>
    </row>
    <row r="838">
      <c r="E838" s="67"/>
    </row>
    <row r="839">
      <c r="E839" s="67"/>
    </row>
    <row r="840">
      <c r="E840" s="67"/>
    </row>
    <row r="841">
      <c r="E841" s="67"/>
    </row>
    <row r="842">
      <c r="E842" s="67"/>
    </row>
    <row r="843">
      <c r="E843" s="67"/>
    </row>
    <row r="844">
      <c r="E844" s="67"/>
    </row>
    <row r="845">
      <c r="E845" s="67"/>
    </row>
    <row r="846">
      <c r="E846" s="67"/>
    </row>
    <row r="847">
      <c r="E847" s="67"/>
    </row>
    <row r="848">
      <c r="E848" s="67"/>
    </row>
    <row r="849">
      <c r="E849" s="67"/>
    </row>
    <row r="850">
      <c r="E850" s="67"/>
    </row>
    <row r="851">
      <c r="E851" s="67"/>
    </row>
    <row r="852">
      <c r="E852" s="67"/>
    </row>
    <row r="853">
      <c r="E853" s="67"/>
    </row>
    <row r="854">
      <c r="E854" s="67"/>
    </row>
    <row r="855">
      <c r="E855" s="67"/>
    </row>
    <row r="856">
      <c r="E856" s="67"/>
    </row>
    <row r="857">
      <c r="E857" s="67"/>
    </row>
    <row r="858">
      <c r="E858" s="67"/>
    </row>
    <row r="859">
      <c r="E859" s="67"/>
    </row>
    <row r="860">
      <c r="E860" s="67"/>
    </row>
    <row r="861">
      <c r="E861" s="67"/>
    </row>
    <row r="862">
      <c r="E862" s="67"/>
    </row>
    <row r="863">
      <c r="E863" s="67"/>
    </row>
    <row r="864">
      <c r="E864" s="67"/>
    </row>
    <row r="865">
      <c r="E865" s="67"/>
    </row>
    <row r="866">
      <c r="E866" s="67"/>
    </row>
    <row r="867">
      <c r="E867" s="67"/>
    </row>
    <row r="868">
      <c r="E868" s="67"/>
    </row>
    <row r="869">
      <c r="E869" s="67"/>
    </row>
    <row r="870">
      <c r="E870" s="67"/>
    </row>
    <row r="871">
      <c r="E871" s="67"/>
    </row>
    <row r="872">
      <c r="E872" s="67"/>
    </row>
    <row r="873">
      <c r="E873" s="67"/>
    </row>
    <row r="874">
      <c r="E874" s="67"/>
    </row>
    <row r="875">
      <c r="E875" s="67"/>
    </row>
    <row r="876">
      <c r="E876" s="67"/>
    </row>
    <row r="877">
      <c r="E877" s="67"/>
    </row>
    <row r="878">
      <c r="E878" s="67"/>
    </row>
    <row r="879">
      <c r="E879" s="67"/>
    </row>
    <row r="880">
      <c r="E880" s="67"/>
    </row>
    <row r="881">
      <c r="E881" s="67"/>
    </row>
    <row r="882">
      <c r="E882" s="67"/>
    </row>
    <row r="883">
      <c r="E883" s="67"/>
    </row>
    <row r="884">
      <c r="E884" s="67"/>
    </row>
    <row r="885">
      <c r="E885" s="67"/>
    </row>
    <row r="886">
      <c r="E886" s="67"/>
    </row>
    <row r="887">
      <c r="E887" s="67"/>
    </row>
    <row r="888">
      <c r="E888" s="67"/>
    </row>
    <row r="889">
      <c r="E889" s="67"/>
    </row>
    <row r="890">
      <c r="E890" s="67"/>
    </row>
    <row r="891">
      <c r="E891" s="67"/>
    </row>
    <row r="892">
      <c r="E892" s="67"/>
    </row>
    <row r="893">
      <c r="E893" s="67"/>
    </row>
    <row r="894">
      <c r="E894" s="67"/>
    </row>
    <row r="895">
      <c r="E895" s="67"/>
    </row>
    <row r="896">
      <c r="E896" s="67"/>
    </row>
    <row r="897">
      <c r="E897" s="67"/>
    </row>
    <row r="898">
      <c r="E898" s="67"/>
    </row>
    <row r="899">
      <c r="E899" s="67"/>
    </row>
    <row r="900">
      <c r="E900" s="67"/>
    </row>
    <row r="901">
      <c r="E901" s="67"/>
    </row>
    <row r="902">
      <c r="E902" s="67"/>
    </row>
    <row r="903">
      <c r="E903" s="67"/>
    </row>
    <row r="904">
      <c r="E904" s="67"/>
    </row>
    <row r="905">
      <c r="E905" s="67"/>
    </row>
    <row r="906">
      <c r="E906" s="67"/>
    </row>
    <row r="907">
      <c r="E907" s="67"/>
    </row>
    <row r="908">
      <c r="E908" s="67"/>
    </row>
    <row r="909">
      <c r="E909" s="67"/>
    </row>
    <row r="910">
      <c r="E910" s="67"/>
    </row>
    <row r="911">
      <c r="E911" s="67"/>
    </row>
    <row r="912">
      <c r="E912" s="67"/>
    </row>
    <row r="913">
      <c r="E913" s="67"/>
    </row>
    <row r="914">
      <c r="E914" s="67"/>
    </row>
    <row r="915">
      <c r="E915" s="67"/>
    </row>
    <row r="916">
      <c r="E916" s="67"/>
    </row>
    <row r="917">
      <c r="E917" s="67"/>
    </row>
    <row r="918">
      <c r="E918" s="67"/>
    </row>
    <row r="919">
      <c r="E919" s="67"/>
    </row>
    <row r="920">
      <c r="E920" s="67"/>
    </row>
    <row r="921">
      <c r="E921" s="67"/>
    </row>
    <row r="922">
      <c r="E922" s="67"/>
    </row>
    <row r="923">
      <c r="E923" s="67"/>
    </row>
    <row r="924">
      <c r="E924" s="67"/>
    </row>
    <row r="925">
      <c r="E925" s="67"/>
    </row>
    <row r="926">
      <c r="E926" s="67"/>
    </row>
    <row r="927">
      <c r="E927" s="67"/>
    </row>
    <row r="928">
      <c r="E928" s="67"/>
    </row>
    <row r="929">
      <c r="E929" s="67"/>
    </row>
    <row r="930">
      <c r="E930" s="67"/>
    </row>
    <row r="931">
      <c r="E931" s="67"/>
    </row>
    <row r="932">
      <c r="E932" s="67"/>
    </row>
    <row r="933">
      <c r="E933" s="67"/>
    </row>
    <row r="934">
      <c r="E934" s="67"/>
    </row>
    <row r="935">
      <c r="E935" s="67"/>
    </row>
    <row r="936">
      <c r="E936" s="67"/>
    </row>
    <row r="937">
      <c r="E937" s="67"/>
    </row>
    <row r="938">
      <c r="E938" s="67"/>
    </row>
    <row r="939">
      <c r="E939" s="67"/>
    </row>
    <row r="940">
      <c r="E940" s="67"/>
    </row>
    <row r="941">
      <c r="E941" s="67"/>
    </row>
    <row r="942">
      <c r="E942" s="67"/>
    </row>
    <row r="943">
      <c r="E943" s="67"/>
    </row>
    <row r="944">
      <c r="E944" s="67"/>
    </row>
    <row r="945">
      <c r="E945" s="67"/>
    </row>
    <row r="946">
      <c r="E946" s="67"/>
    </row>
    <row r="947">
      <c r="E947" s="67"/>
    </row>
    <row r="948">
      <c r="E948" s="67"/>
    </row>
    <row r="949">
      <c r="E949" s="67"/>
    </row>
    <row r="950">
      <c r="E950" s="67"/>
    </row>
    <row r="951">
      <c r="E951" s="67"/>
    </row>
    <row r="952">
      <c r="E952" s="67"/>
    </row>
    <row r="953">
      <c r="E953" s="67"/>
    </row>
    <row r="954">
      <c r="E954" s="67"/>
    </row>
    <row r="955">
      <c r="E955" s="67"/>
    </row>
    <row r="956">
      <c r="E956" s="67"/>
    </row>
    <row r="957">
      <c r="E957" s="67"/>
    </row>
    <row r="958">
      <c r="E958" s="67"/>
    </row>
    <row r="959">
      <c r="E959" s="67"/>
    </row>
    <row r="960">
      <c r="E960" s="67"/>
    </row>
    <row r="961">
      <c r="E961" s="67"/>
    </row>
    <row r="962">
      <c r="E962" s="67"/>
    </row>
    <row r="963">
      <c r="E963" s="67"/>
    </row>
    <row r="964">
      <c r="E964" s="67"/>
    </row>
    <row r="965">
      <c r="E965" s="67"/>
    </row>
    <row r="966">
      <c r="E966" s="67"/>
    </row>
    <row r="967">
      <c r="E967" s="67"/>
    </row>
    <row r="968">
      <c r="E968" s="67"/>
    </row>
    <row r="969">
      <c r="E969" s="67"/>
    </row>
    <row r="970">
      <c r="E970" s="67"/>
    </row>
    <row r="971">
      <c r="E971" s="67"/>
    </row>
    <row r="972">
      <c r="E972" s="67"/>
    </row>
    <row r="973">
      <c r="E973" s="67"/>
    </row>
    <row r="974">
      <c r="E974" s="67"/>
    </row>
    <row r="975">
      <c r="E975" s="67"/>
    </row>
    <row r="976">
      <c r="E976" s="67"/>
    </row>
    <row r="977">
      <c r="E977" s="67"/>
    </row>
    <row r="978">
      <c r="E978" s="67"/>
    </row>
    <row r="979">
      <c r="E979" s="67"/>
    </row>
    <row r="980">
      <c r="E980" s="67"/>
    </row>
    <row r="981">
      <c r="E981" s="67"/>
    </row>
    <row r="982">
      <c r="E982" s="67"/>
    </row>
    <row r="983">
      <c r="E983" s="67"/>
    </row>
    <row r="984">
      <c r="E984" s="67"/>
    </row>
    <row r="985">
      <c r="E985" s="67"/>
    </row>
    <row r="986">
      <c r="E986" s="67"/>
    </row>
    <row r="987">
      <c r="E987" s="67"/>
    </row>
    <row r="988">
      <c r="E988" s="67"/>
    </row>
    <row r="989">
      <c r="E989" s="67"/>
    </row>
    <row r="990">
      <c r="E990" s="67"/>
    </row>
    <row r="991">
      <c r="E991" s="67"/>
    </row>
    <row r="992">
      <c r="E992" s="67"/>
    </row>
    <row r="993">
      <c r="E993" s="67"/>
    </row>
  </sheetData>
  <dataValidations>
    <dataValidation type="list" allowBlank="1" sqref="B2 B119">
      <formula1>Lookups!$A$1:$A$6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13"/>
  </cols>
  <sheetData>
    <row r="1">
      <c r="A1" s="2" t="s">
        <v>0</v>
      </c>
      <c r="B1" s="2" t="s">
        <v>1</v>
      </c>
      <c r="C1" s="27" t="s">
        <v>276</v>
      </c>
      <c r="D1" s="4" t="s">
        <v>3</v>
      </c>
      <c r="E1" s="5" t="s">
        <v>4</v>
      </c>
      <c r="F1" s="2" t="s">
        <v>5</v>
      </c>
      <c r="G1" s="6" t="s">
        <v>6</v>
      </c>
      <c r="H1" s="7" t="s">
        <v>7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7" t="s">
        <v>8</v>
      </c>
      <c r="B2" s="7" t="s">
        <v>9</v>
      </c>
      <c r="C2" s="9" t="s">
        <v>10</v>
      </c>
      <c r="D2" s="10">
        <f>IFERROR(__xludf.DUMMYFUNCTION("SPLIT(C2,"","")"),57.0482555)</f>
        <v>57.0482555</v>
      </c>
      <c r="E2" s="11">
        <f>IFERROR(__xludf.DUMMYFUNCTION("""COMPUTED_VALUE"""),9.913457)</f>
        <v>9.913457</v>
      </c>
      <c r="F2" s="12" t="s">
        <v>11</v>
      </c>
      <c r="G2" s="7">
        <v>3.0</v>
      </c>
      <c r="H2" s="13" t="s">
        <v>12</v>
      </c>
    </row>
    <row r="3">
      <c r="A3" s="13" t="s">
        <v>1050</v>
      </c>
      <c r="B3" s="13" t="s">
        <v>9</v>
      </c>
      <c r="C3" s="14" t="s">
        <v>1051</v>
      </c>
      <c r="D3" s="10">
        <f>IFERROR(__xludf.DUMMYFUNCTION("SPLIT(C3,"","")"),56.623432377039)</f>
        <v>56.62343238</v>
      </c>
      <c r="E3" s="15">
        <f>IFERROR(__xludf.DUMMYFUNCTION("""COMPUTED_VALUE"""),9.77017806919847)</f>
        <v>9.770178069</v>
      </c>
      <c r="G3" s="13">
        <v>5.0</v>
      </c>
      <c r="H3" s="13" t="s">
        <v>1052</v>
      </c>
    </row>
    <row r="4">
      <c r="A4" s="13" t="s">
        <v>343</v>
      </c>
      <c r="B4" s="13" t="s">
        <v>1053</v>
      </c>
      <c r="C4" s="14" t="s">
        <v>1054</v>
      </c>
      <c r="D4" s="10">
        <f>IFERROR(__xludf.DUMMYFUNCTION("SPLIT(C4,"","")"),57.7253765607988)</f>
        <v>57.72537656</v>
      </c>
      <c r="E4" s="15">
        <f>IFERROR(__xludf.DUMMYFUNCTION("""COMPUTED_VALUE"""),10.5723699650336)</f>
        <v>10.57236997</v>
      </c>
      <c r="G4" s="13">
        <v>5.0</v>
      </c>
      <c r="H4" s="13" t="s">
        <v>1052</v>
      </c>
    </row>
    <row r="5">
      <c r="C5" s="18"/>
      <c r="D5" s="10" t="str">
        <f>IFERROR(__xludf.DUMMYFUNCTION("SPLIT(C5,"","")"),"#VALUE!")</f>
        <v>#VALUE!</v>
      </c>
    </row>
    <row r="6">
      <c r="C6" s="18"/>
      <c r="D6" s="10" t="str">
        <f>IFERROR(__xludf.DUMMYFUNCTION("SPLIT(C6,"","")"),"#VALUE!")</f>
        <v>#VALUE!</v>
      </c>
    </row>
    <row r="7">
      <c r="C7" s="18"/>
      <c r="D7" s="10" t="str">
        <f>IFERROR(__xludf.DUMMYFUNCTION("SPLIT(C7,"","")"),"#VALUE!")</f>
        <v>#VALUE!</v>
      </c>
    </row>
    <row r="8">
      <c r="C8" s="18"/>
      <c r="D8" s="10" t="str">
        <f>IFERROR(__xludf.DUMMYFUNCTION("SPLIT(C8,"","")"),"#VALUE!")</f>
        <v>#VALUE!</v>
      </c>
    </row>
    <row r="9">
      <c r="C9" s="18"/>
      <c r="D9" s="10" t="str">
        <f>IFERROR(__xludf.DUMMYFUNCTION("SPLIT(C9,"","")"),"#VALUE!")</f>
        <v>#VALUE!</v>
      </c>
    </row>
    <row r="10">
      <c r="A10" s="13" t="s">
        <v>1055</v>
      </c>
      <c r="B10" s="13" t="s">
        <v>1056</v>
      </c>
      <c r="C10" s="14" t="s">
        <v>1057</v>
      </c>
      <c r="D10" s="10">
        <f>IFERROR(__xludf.DUMMYFUNCTION("SPLIT(C10,"","")"),56.15857)</f>
        <v>56.15857</v>
      </c>
      <c r="E10" s="15">
        <f>IFERROR(__xludf.DUMMYFUNCTION("""COMPUTED_VALUE"""),10.21044)</f>
        <v>10.21044</v>
      </c>
      <c r="F10" s="13" t="s">
        <v>1058</v>
      </c>
      <c r="G10" s="13">
        <v>5.0</v>
      </c>
      <c r="H10" s="13" t="s">
        <v>1059</v>
      </c>
    </row>
    <row r="11">
      <c r="A11" s="13" t="s">
        <v>1060</v>
      </c>
      <c r="B11" s="13" t="s">
        <v>9</v>
      </c>
      <c r="C11" s="14" t="s">
        <v>1061</v>
      </c>
      <c r="D11" s="10">
        <f>IFERROR(__xludf.DUMMYFUNCTION("SPLIT(C11,"","")"),56.17047)</f>
        <v>56.17047</v>
      </c>
      <c r="E11" s="15">
        <f>IFERROR(__xludf.DUMMYFUNCTION("""COMPUTED_VALUE"""),10.19937)</f>
        <v>10.19937</v>
      </c>
      <c r="F11" s="13" t="s">
        <v>1062</v>
      </c>
      <c r="G11" s="13">
        <v>5.0</v>
      </c>
      <c r="H11" s="13" t="s">
        <v>1059</v>
      </c>
    </row>
    <row r="12">
      <c r="A12" s="13" t="s">
        <v>1063</v>
      </c>
      <c r="B12" s="13" t="s">
        <v>9</v>
      </c>
      <c r="C12" s="14" t="s">
        <v>1064</v>
      </c>
      <c r="D12" s="10">
        <f>IFERROR(__xludf.DUMMYFUNCTION("SPLIT(C12,"","")"),56.15605)</f>
        <v>56.15605</v>
      </c>
      <c r="E12" s="15">
        <f>IFERROR(__xludf.DUMMYFUNCTION("""COMPUTED_VALUE"""),10.20613)</f>
        <v>10.20613</v>
      </c>
      <c r="F12" s="13" t="s">
        <v>1065</v>
      </c>
      <c r="G12" s="13">
        <v>5.0</v>
      </c>
      <c r="H12" s="13" t="s">
        <v>1059</v>
      </c>
    </row>
    <row r="13">
      <c r="A13" s="13" t="s">
        <v>1066</v>
      </c>
      <c r="B13" s="13" t="s">
        <v>9</v>
      </c>
      <c r="C13" s="14" t="s">
        <v>1067</v>
      </c>
      <c r="D13" s="10">
        <f>IFERROR(__xludf.DUMMYFUNCTION("SPLIT(C13,"","")"),56.16739)</f>
        <v>56.16739</v>
      </c>
      <c r="E13" s="15">
        <f>IFERROR(__xludf.DUMMYFUNCTION("""COMPUTED_VALUE"""),10.18795)</f>
        <v>10.18795</v>
      </c>
      <c r="F13" s="13" t="s">
        <v>1068</v>
      </c>
      <c r="G13" s="13">
        <v>5.0</v>
      </c>
      <c r="H13" s="13" t="s">
        <v>1059</v>
      </c>
    </row>
    <row r="14">
      <c r="C14" s="18"/>
      <c r="D14" s="10" t="str">
        <f>IFERROR(__xludf.DUMMYFUNCTION("SPLIT(C14,"","")"),"#VALUE!")</f>
        <v>#VALUE!</v>
      </c>
    </row>
    <row r="15">
      <c r="C15" s="18"/>
      <c r="D15" s="10" t="str">
        <f>IFERROR(__xludf.DUMMYFUNCTION("SPLIT(C15,"","")"),"#VALUE!")</f>
        <v>#VALUE!</v>
      </c>
    </row>
    <row r="16">
      <c r="C16" s="18"/>
      <c r="D16" s="10" t="str">
        <f>IFERROR(__xludf.DUMMYFUNCTION("SPLIT(C16,"","")"),"#VALUE!")</f>
        <v>#VALUE!</v>
      </c>
    </row>
    <row r="17">
      <c r="C17" s="18"/>
      <c r="D17" s="10" t="str">
        <f>IFERROR(__xludf.DUMMYFUNCTION("SPLIT(C17,"","")"),"#VALUE!")</f>
        <v>#VALUE!</v>
      </c>
    </row>
    <row r="18">
      <c r="A18" s="13" t="s">
        <v>1069</v>
      </c>
      <c r="B18" s="13" t="s">
        <v>1056</v>
      </c>
      <c r="C18" s="14" t="s">
        <v>1070</v>
      </c>
      <c r="D18" s="10">
        <f>IFERROR(__xludf.DUMMYFUNCTION("SPLIT(C18,"","")"),55.6861663099101)</f>
        <v>55.68616631</v>
      </c>
      <c r="E18" s="15">
        <f>IFERROR(__xludf.DUMMYFUNCTION("""COMPUTED_VALUE"""),12.597241097429)</f>
        <v>12.5972411</v>
      </c>
      <c r="F18" s="13" t="s">
        <v>1071</v>
      </c>
      <c r="G18" s="13" t="s">
        <v>1072</v>
      </c>
      <c r="H18" s="13" t="s">
        <v>1073</v>
      </c>
    </row>
    <row r="19">
      <c r="A19" s="13" t="s">
        <v>1074</v>
      </c>
      <c r="B19" s="13" t="s">
        <v>51</v>
      </c>
      <c r="C19" s="14" t="s">
        <v>1075</v>
      </c>
      <c r="D19" s="10">
        <f>IFERROR(__xludf.DUMMYFUNCTION("SPLIT(C19,"","")"),55.6778364983942)</f>
        <v>55.6778365</v>
      </c>
      <c r="E19" s="15">
        <f>IFERROR(__xludf.DUMMYFUNCTION("""COMPUTED_VALUE"""),12.5965829702349)</f>
        <v>12.59658297</v>
      </c>
      <c r="F19" s="13" t="s">
        <v>1076</v>
      </c>
      <c r="G19" s="13" t="s">
        <v>1072</v>
      </c>
      <c r="H19" s="13" t="s">
        <v>1073</v>
      </c>
    </row>
    <row r="20">
      <c r="A20" s="13" t="s">
        <v>1074</v>
      </c>
      <c r="B20" s="13" t="s">
        <v>51</v>
      </c>
      <c r="C20" s="14" t="s">
        <v>1077</v>
      </c>
      <c r="D20" s="10">
        <f>IFERROR(__xludf.DUMMYFUNCTION("SPLIT(C20,"","")"),55.4078616949564)</f>
        <v>55.40786169</v>
      </c>
      <c r="E20" s="15">
        <f>IFERROR(__xludf.DUMMYFUNCTION("""COMPUTED_VALUE"""),10.3802079127471)</f>
        <v>10.38020791</v>
      </c>
      <c r="F20" s="13" t="s">
        <v>1076</v>
      </c>
      <c r="G20" s="13" t="s">
        <v>1072</v>
      </c>
      <c r="H20" s="13" t="s">
        <v>1073</v>
      </c>
    </row>
    <row r="21">
      <c r="C21" s="18"/>
      <c r="D21" s="10" t="str">
        <f>IFERROR(__xludf.DUMMYFUNCTION("SPLIT(C21,"","")"),"#VALUE!")</f>
        <v>#VALUE!</v>
      </c>
    </row>
    <row r="22">
      <c r="C22" s="18"/>
      <c r="D22" s="10" t="str">
        <f>IFERROR(__xludf.DUMMYFUNCTION("SPLIT(C22,"","")"),"#VALUE!")</f>
        <v>#VALUE!</v>
      </c>
    </row>
    <row r="23">
      <c r="C23" s="18"/>
      <c r="D23" s="10" t="str">
        <f>IFERROR(__xludf.DUMMYFUNCTION("SPLIT(C23,"","")"),"#VALUE!")</f>
        <v>#VALUE!</v>
      </c>
    </row>
    <row r="24">
      <c r="C24" s="18"/>
      <c r="D24" s="10" t="str">
        <f>IFERROR(__xludf.DUMMYFUNCTION("SPLIT(C24,"","")"),"#VALUE!")</f>
        <v>#VALUE!</v>
      </c>
    </row>
    <row r="25">
      <c r="C25" s="18"/>
      <c r="D25" s="10" t="str">
        <f>IFERROR(__xludf.DUMMYFUNCTION("SPLIT(C25,"","")"),"#VALUE!")</f>
        <v>#VALUE!</v>
      </c>
    </row>
    <row r="26">
      <c r="C26" s="18"/>
      <c r="D26" s="10" t="str">
        <f>IFERROR(__xludf.DUMMYFUNCTION("SPLIT(C26,"","")"),"#VALUE!")</f>
        <v>#VALUE!</v>
      </c>
    </row>
    <row r="27">
      <c r="C27" s="18"/>
      <c r="D27" s="10" t="str">
        <f>IFERROR(__xludf.DUMMYFUNCTION("SPLIT(C27,"","")"),"#VALUE!")</f>
        <v>#VALUE!</v>
      </c>
    </row>
    <row r="28">
      <c r="C28" s="18"/>
      <c r="D28" s="10" t="str">
        <f>IFERROR(__xludf.DUMMYFUNCTION("SPLIT(C28,"","")"),"#VALUE!")</f>
        <v>#VALUE!</v>
      </c>
    </row>
    <row r="29">
      <c r="C29" s="18"/>
      <c r="D29" s="10" t="str">
        <f>IFERROR(__xludf.DUMMYFUNCTION("SPLIT(C29,"","")"),"#VALUE!")</f>
        <v>#VALUE!</v>
      </c>
    </row>
    <row r="30">
      <c r="C30" s="18"/>
      <c r="D30" s="10" t="str">
        <f>IFERROR(__xludf.DUMMYFUNCTION("SPLIT(C30,"","")"),"#VALUE!")</f>
        <v>#VALUE!</v>
      </c>
    </row>
    <row r="31">
      <c r="C31" s="18"/>
      <c r="D31" s="10" t="str">
        <f>IFERROR(__xludf.DUMMYFUNCTION("SPLIT(C31,"","")"),"#VALUE!")</f>
        <v>#VALUE!</v>
      </c>
    </row>
    <row r="32">
      <c r="C32" s="18"/>
      <c r="D32" s="10" t="str">
        <f>IFERROR(__xludf.DUMMYFUNCTION("SPLIT(C32,"","")"),"#VALUE!")</f>
        <v>#VALUE!</v>
      </c>
    </row>
    <row r="33">
      <c r="C33" s="18"/>
      <c r="D33" s="10" t="str">
        <f>IFERROR(__xludf.DUMMYFUNCTION("SPLIT(C33,"","")"),"#VALUE!")</f>
        <v>#VALUE!</v>
      </c>
    </row>
    <row r="34">
      <c r="C34" s="18"/>
      <c r="D34" s="10" t="str">
        <f>IFERROR(__xludf.DUMMYFUNCTION("SPLIT(C34,"","")"),"#VALUE!")</f>
        <v>#VALUE!</v>
      </c>
    </row>
    <row r="35">
      <c r="C35" s="18"/>
      <c r="D35" s="10" t="str">
        <f>IFERROR(__xludf.DUMMYFUNCTION("SPLIT(C35,"","")"),"#VALUE!")</f>
        <v>#VALUE!</v>
      </c>
    </row>
    <row r="36">
      <c r="C36" s="18"/>
      <c r="D36" s="10" t="str">
        <f>IFERROR(__xludf.DUMMYFUNCTION("SPLIT(C36,"","")"),"#VALUE!")</f>
        <v>#VALUE!</v>
      </c>
    </row>
    <row r="37">
      <c r="C37" s="18"/>
      <c r="D37" s="10" t="str">
        <f>IFERROR(__xludf.DUMMYFUNCTION("SPLIT(C37,"","")"),"#VALUE!")</f>
        <v>#VALUE!</v>
      </c>
    </row>
    <row r="38">
      <c r="C38" s="18"/>
      <c r="D38" s="10" t="str">
        <f>IFERROR(__xludf.DUMMYFUNCTION("SPLIT(C38,"","")"),"#VALUE!")</f>
        <v>#VALUE!</v>
      </c>
    </row>
    <row r="39">
      <c r="C39" s="18"/>
      <c r="D39" s="10" t="str">
        <f>IFERROR(__xludf.DUMMYFUNCTION("SPLIT(C39,"","")"),"#VALUE!")</f>
        <v>#VALUE!</v>
      </c>
    </row>
    <row r="40">
      <c r="C40" s="18"/>
      <c r="D40" s="10" t="str">
        <f>IFERROR(__xludf.DUMMYFUNCTION("SPLIT(C40,"","")"),"#VALUE!")</f>
        <v>#VALUE!</v>
      </c>
    </row>
    <row r="41">
      <c r="C41" s="18"/>
      <c r="D41" s="10" t="str">
        <f>IFERROR(__xludf.DUMMYFUNCTION("SPLIT(C41,"","")"),"#VALUE!")</f>
        <v>#VALUE!</v>
      </c>
    </row>
    <row r="42">
      <c r="C42" s="18"/>
      <c r="D42" s="10" t="str">
        <f>IFERROR(__xludf.DUMMYFUNCTION("SPLIT(C42,"","")"),"#VALUE!")</f>
        <v>#VALUE!</v>
      </c>
    </row>
    <row r="43">
      <c r="C43" s="18"/>
      <c r="D43" s="10" t="str">
        <f>IFERROR(__xludf.DUMMYFUNCTION("SPLIT(C43,"","")"),"#VALUE!")</f>
        <v>#VALUE!</v>
      </c>
    </row>
    <row r="44">
      <c r="C44" s="18"/>
      <c r="D44" s="10" t="str">
        <f>IFERROR(__xludf.DUMMYFUNCTION("SPLIT(C44,"","")"),"#VALUE!")</f>
        <v>#VALUE!</v>
      </c>
    </row>
    <row r="45">
      <c r="C45" s="18"/>
      <c r="D45" s="10" t="str">
        <f>IFERROR(__xludf.DUMMYFUNCTION("SPLIT(C45,"","")"),"#VALUE!")</f>
        <v>#VALUE!</v>
      </c>
    </row>
    <row r="46">
      <c r="C46" s="18"/>
      <c r="D46" s="10" t="str">
        <f>IFERROR(__xludf.DUMMYFUNCTION("SPLIT(C46,"","")"),"#VALUE!")</f>
        <v>#VALUE!</v>
      </c>
    </row>
    <row r="47">
      <c r="C47" s="18"/>
      <c r="D47" s="10" t="str">
        <f>IFERROR(__xludf.DUMMYFUNCTION("SPLIT(C47,"","")"),"#VALUE!")</f>
        <v>#VALUE!</v>
      </c>
    </row>
    <row r="48">
      <c r="C48" s="18"/>
      <c r="D48" s="10" t="str">
        <f>IFERROR(__xludf.DUMMYFUNCTION("SPLIT(C48,"","")"),"#VALUE!")</f>
        <v>#VALUE!</v>
      </c>
    </row>
    <row r="49">
      <c r="C49" s="18"/>
      <c r="D49" s="10" t="str">
        <f>IFERROR(__xludf.DUMMYFUNCTION("SPLIT(C49,"","")"),"#VALUE!")</f>
        <v>#VALUE!</v>
      </c>
    </row>
    <row r="50">
      <c r="C50" s="18"/>
      <c r="D50" s="10" t="str">
        <f>IFERROR(__xludf.DUMMYFUNCTION("SPLIT(C50,"","")"),"#VALUE!")</f>
        <v>#VALUE!</v>
      </c>
    </row>
    <row r="51">
      <c r="C51" s="18"/>
      <c r="D51" s="10" t="str">
        <f>IFERROR(__xludf.DUMMYFUNCTION("SPLIT(C51,"","")"),"#VALUE!")</f>
        <v>#VALUE!</v>
      </c>
    </row>
    <row r="52">
      <c r="C52" s="18"/>
      <c r="D52" s="10" t="str">
        <f>IFERROR(__xludf.DUMMYFUNCTION("SPLIT(C52,"","")"),"#VALUE!")</f>
        <v>#VALUE!</v>
      </c>
    </row>
    <row r="53">
      <c r="C53" s="18"/>
      <c r="D53" s="10" t="str">
        <f>IFERROR(__xludf.DUMMYFUNCTION("SPLIT(C53,"","")"),"#VALUE!")</f>
        <v>#VALUE!</v>
      </c>
    </row>
    <row r="54">
      <c r="C54" s="18"/>
      <c r="D54" s="10" t="str">
        <f>IFERROR(__xludf.DUMMYFUNCTION("SPLIT(C54,"","")"),"#VALUE!")</f>
        <v>#VALUE!</v>
      </c>
    </row>
    <row r="55">
      <c r="C55" s="18"/>
    </row>
    <row r="56">
      <c r="C56" s="18"/>
    </row>
    <row r="57">
      <c r="C57" s="18"/>
    </row>
    <row r="58">
      <c r="C58" s="18"/>
    </row>
    <row r="59">
      <c r="C59" s="18"/>
    </row>
    <row r="60">
      <c r="C60" s="18"/>
    </row>
    <row r="61">
      <c r="C61" s="18"/>
    </row>
    <row r="62">
      <c r="C62" s="18"/>
    </row>
    <row r="63">
      <c r="C63" s="18"/>
    </row>
    <row r="64">
      <c r="C64" s="18"/>
    </row>
    <row r="65">
      <c r="C65" s="18"/>
    </row>
    <row r="66">
      <c r="C66" s="18"/>
    </row>
    <row r="67">
      <c r="C67" s="18"/>
    </row>
    <row r="68">
      <c r="C68" s="18"/>
    </row>
    <row r="69">
      <c r="C69" s="18"/>
    </row>
    <row r="70">
      <c r="C70" s="18"/>
    </row>
    <row r="71">
      <c r="C71" s="18"/>
    </row>
    <row r="72">
      <c r="C72" s="18"/>
    </row>
    <row r="73">
      <c r="C73" s="18"/>
    </row>
    <row r="74">
      <c r="C74" s="18"/>
    </row>
    <row r="75">
      <c r="C75" s="18"/>
    </row>
    <row r="76">
      <c r="C76" s="18"/>
    </row>
    <row r="77">
      <c r="C77" s="18"/>
    </row>
    <row r="78">
      <c r="C78" s="18"/>
    </row>
    <row r="79">
      <c r="C79" s="18"/>
    </row>
    <row r="80">
      <c r="C80" s="18"/>
    </row>
    <row r="81">
      <c r="C81" s="18"/>
    </row>
    <row r="82">
      <c r="C82" s="18"/>
    </row>
    <row r="83">
      <c r="C83" s="18"/>
    </row>
    <row r="84">
      <c r="C84" s="18"/>
    </row>
    <row r="85">
      <c r="C85" s="18"/>
    </row>
    <row r="86">
      <c r="C86" s="18"/>
    </row>
    <row r="87">
      <c r="C87" s="18"/>
    </row>
    <row r="88">
      <c r="C88" s="18"/>
    </row>
    <row r="89">
      <c r="C89" s="18"/>
    </row>
    <row r="90">
      <c r="C90" s="18"/>
    </row>
    <row r="91">
      <c r="C91" s="18"/>
    </row>
    <row r="92">
      <c r="C92" s="18"/>
    </row>
    <row r="93">
      <c r="C93" s="18"/>
    </row>
    <row r="94">
      <c r="C94" s="18"/>
    </row>
    <row r="95">
      <c r="C95" s="18"/>
    </row>
    <row r="96">
      <c r="C96" s="18"/>
    </row>
    <row r="97">
      <c r="C97" s="18"/>
    </row>
    <row r="98">
      <c r="C98" s="18"/>
    </row>
    <row r="99">
      <c r="C99" s="18"/>
    </row>
    <row r="100">
      <c r="C100" s="18"/>
    </row>
    <row r="101">
      <c r="C101" s="18"/>
    </row>
    <row r="102">
      <c r="C102" s="18"/>
    </row>
    <row r="103">
      <c r="C103" s="18"/>
    </row>
    <row r="104">
      <c r="C104" s="18"/>
    </row>
    <row r="105">
      <c r="C105" s="18"/>
    </row>
    <row r="106">
      <c r="C106" s="18"/>
    </row>
    <row r="107">
      <c r="C107" s="18"/>
    </row>
    <row r="108">
      <c r="C108" s="18"/>
    </row>
    <row r="109">
      <c r="C109" s="18"/>
    </row>
    <row r="110">
      <c r="C110" s="18"/>
    </row>
    <row r="111">
      <c r="C111" s="18"/>
    </row>
    <row r="112">
      <c r="C112" s="18"/>
    </row>
    <row r="113">
      <c r="C113" s="18"/>
    </row>
    <row r="114">
      <c r="C114" s="18"/>
    </row>
    <row r="115">
      <c r="C115" s="18"/>
    </row>
    <row r="116">
      <c r="C116" s="18"/>
    </row>
    <row r="117">
      <c r="C117" s="18"/>
    </row>
    <row r="118">
      <c r="C118" s="18"/>
    </row>
    <row r="119">
      <c r="C119" s="18"/>
    </row>
    <row r="120">
      <c r="C120" s="18"/>
    </row>
    <row r="121">
      <c r="C121" s="18"/>
    </row>
    <row r="122">
      <c r="C122" s="18"/>
    </row>
    <row r="123">
      <c r="C123" s="18"/>
    </row>
    <row r="124">
      <c r="C124" s="18"/>
    </row>
    <row r="125">
      <c r="C125" s="18"/>
    </row>
    <row r="126">
      <c r="C126" s="18"/>
    </row>
    <row r="127">
      <c r="C127" s="18"/>
    </row>
    <row r="128">
      <c r="C128" s="18"/>
    </row>
    <row r="129">
      <c r="C129" s="18"/>
    </row>
    <row r="130">
      <c r="C130" s="18"/>
    </row>
    <row r="131">
      <c r="C131" s="18"/>
    </row>
    <row r="132">
      <c r="C132" s="18"/>
    </row>
    <row r="133">
      <c r="C133" s="18"/>
    </row>
    <row r="134">
      <c r="C134" s="18"/>
    </row>
    <row r="135">
      <c r="C135" s="18"/>
    </row>
    <row r="136">
      <c r="C136" s="18"/>
    </row>
    <row r="137">
      <c r="C137" s="18"/>
    </row>
    <row r="138">
      <c r="C138" s="18"/>
    </row>
    <row r="139">
      <c r="C139" s="18"/>
    </row>
    <row r="140">
      <c r="C140" s="18"/>
    </row>
    <row r="141">
      <c r="C141" s="18"/>
    </row>
    <row r="142">
      <c r="C142" s="18"/>
    </row>
    <row r="143">
      <c r="C143" s="18"/>
    </row>
    <row r="144">
      <c r="C144" s="18"/>
    </row>
    <row r="145">
      <c r="C145" s="18"/>
    </row>
    <row r="146">
      <c r="C146" s="18"/>
    </row>
    <row r="147">
      <c r="C147" s="18"/>
    </row>
    <row r="148">
      <c r="C148" s="18"/>
    </row>
    <row r="149">
      <c r="C149" s="18"/>
    </row>
    <row r="150">
      <c r="C150" s="18"/>
    </row>
    <row r="151">
      <c r="C151" s="18"/>
    </row>
    <row r="152">
      <c r="C152" s="18"/>
    </row>
    <row r="153">
      <c r="C153" s="18"/>
    </row>
    <row r="154">
      <c r="C154" s="18"/>
    </row>
    <row r="155">
      <c r="C155" s="18"/>
    </row>
    <row r="156">
      <c r="C156" s="18"/>
    </row>
    <row r="157">
      <c r="C157" s="18"/>
    </row>
    <row r="158">
      <c r="C158" s="18"/>
    </row>
    <row r="159">
      <c r="C159" s="18"/>
    </row>
    <row r="160">
      <c r="C160" s="18"/>
    </row>
    <row r="161">
      <c r="C161" s="18"/>
    </row>
    <row r="162">
      <c r="C162" s="18"/>
    </row>
    <row r="163">
      <c r="C163" s="18"/>
    </row>
    <row r="164">
      <c r="C164" s="18"/>
    </row>
    <row r="165">
      <c r="C165" s="18"/>
    </row>
    <row r="166">
      <c r="C166" s="18"/>
    </row>
    <row r="167">
      <c r="C167" s="18"/>
    </row>
    <row r="168">
      <c r="C168" s="18"/>
    </row>
    <row r="169">
      <c r="C169" s="18"/>
    </row>
    <row r="170">
      <c r="C170" s="18"/>
    </row>
    <row r="171">
      <c r="C171" s="18"/>
    </row>
    <row r="172">
      <c r="C172" s="18"/>
    </row>
    <row r="173">
      <c r="C173" s="18"/>
    </row>
    <row r="174">
      <c r="C174" s="18"/>
    </row>
    <row r="175">
      <c r="C175" s="18"/>
    </row>
    <row r="176">
      <c r="C176" s="18"/>
    </row>
    <row r="177">
      <c r="C177" s="18"/>
    </row>
    <row r="178">
      <c r="C178" s="18"/>
    </row>
    <row r="179">
      <c r="C179" s="18"/>
    </row>
    <row r="180">
      <c r="C180" s="18"/>
    </row>
    <row r="181">
      <c r="C181" s="18"/>
    </row>
    <row r="182">
      <c r="C182" s="18"/>
    </row>
    <row r="183">
      <c r="C183" s="18"/>
    </row>
    <row r="184">
      <c r="C184" s="18"/>
    </row>
    <row r="185">
      <c r="C185" s="18"/>
    </row>
    <row r="186">
      <c r="C186" s="18"/>
    </row>
    <row r="187">
      <c r="C187" s="18"/>
    </row>
    <row r="188">
      <c r="C188" s="18"/>
    </row>
    <row r="189">
      <c r="C189" s="18"/>
    </row>
    <row r="190">
      <c r="C190" s="18"/>
    </row>
    <row r="191">
      <c r="C191" s="18"/>
    </row>
    <row r="192">
      <c r="C192" s="18"/>
    </row>
    <row r="193">
      <c r="C193" s="18"/>
    </row>
    <row r="194">
      <c r="C194" s="18"/>
    </row>
    <row r="195">
      <c r="C195" s="18"/>
    </row>
    <row r="196">
      <c r="C196" s="18"/>
    </row>
    <row r="197">
      <c r="C197" s="18"/>
    </row>
    <row r="198">
      <c r="C198" s="18"/>
    </row>
    <row r="199">
      <c r="C199" s="18"/>
    </row>
    <row r="200">
      <c r="C200" s="18"/>
    </row>
    <row r="201">
      <c r="C201" s="18"/>
    </row>
    <row r="202">
      <c r="C202" s="18"/>
    </row>
    <row r="203">
      <c r="C203" s="18"/>
    </row>
    <row r="204">
      <c r="C204" s="18"/>
    </row>
    <row r="205">
      <c r="C205" s="18"/>
    </row>
    <row r="206">
      <c r="C206" s="18"/>
    </row>
    <row r="207">
      <c r="C207" s="18"/>
    </row>
    <row r="208">
      <c r="C208" s="18"/>
    </row>
    <row r="209">
      <c r="C209" s="18"/>
    </row>
    <row r="210">
      <c r="C210" s="18"/>
    </row>
    <row r="211">
      <c r="C211" s="18"/>
    </row>
    <row r="212">
      <c r="C212" s="18"/>
    </row>
    <row r="213">
      <c r="C213" s="18"/>
    </row>
    <row r="214">
      <c r="C214" s="18"/>
    </row>
    <row r="215">
      <c r="C215" s="18"/>
    </row>
    <row r="216">
      <c r="C216" s="18"/>
    </row>
    <row r="217">
      <c r="C217" s="18"/>
    </row>
    <row r="218">
      <c r="C218" s="18"/>
    </row>
    <row r="219">
      <c r="C219" s="18"/>
    </row>
    <row r="220">
      <c r="C220" s="18"/>
    </row>
    <row r="221">
      <c r="C221" s="18"/>
    </row>
    <row r="222">
      <c r="C222" s="18"/>
    </row>
    <row r="223">
      <c r="C223" s="18"/>
    </row>
    <row r="224">
      <c r="C224" s="18"/>
    </row>
    <row r="225">
      <c r="C225" s="18"/>
    </row>
    <row r="226">
      <c r="C226" s="18"/>
    </row>
    <row r="227">
      <c r="C227" s="18"/>
    </row>
    <row r="228">
      <c r="C228" s="18"/>
    </row>
    <row r="229">
      <c r="C229" s="18"/>
    </row>
    <row r="230">
      <c r="C230" s="18"/>
    </row>
    <row r="231">
      <c r="C231" s="18"/>
    </row>
    <row r="232">
      <c r="C232" s="18"/>
    </row>
    <row r="233">
      <c r="C233" s="18"/>
    </row>
    <row r="234">
      <c r="C234" s="18"/>
    </row>
    <row r="235">
      <c r="C235" s="18"/>
    </row>
    <row r="236">
      <c r="C236" s="18"/>
    </row>
    <row r="237">
      <c r="C237" s="18"/>
    </row>
    <row r="238">
      <c r="C238" s="18"/>
    </row>
    <row r="239">
      <c r="C239" s="18"/>
    </row>
    <row r="240">
      <c r="C240" s="18"/>
    </row>
    <row r="241">
      <c r="C241" s="18"/>
    </row>
    <row r="242">
      <c r="C242" s="18"/>
    </row>
    <row r="243">
      <c r="C243" s="18"/>
    </row>
    <row r="244">
      <c r="C244" s="18"/>
    </row>
    <row r="245">
      <c r="C245" s="18"/>
    </row>
    <row r="246">
      <c r="C246" s="18"/>
    </row>
    <row r="247">
      <c r="C247" s="18"/>
    </row>
    <row r="248">
      <c r="C248" s="18"/>
    </row>
    <row r="249">
      <c r="C249" s="18"/>
    </row>
    <row r="250">
      <c r="C250" s="18"/>
    </row>
    <row r="251">
      <c r="C251" s="18"/>
    </row>
    <row r="252">
      <c r="C252" s="18"/>
    </row>
    <row r="253">
      <c r="C253" s="18"/>
    </row>
    <row r="254">
      <c r="C254" s="18"/>
    </row>
    <row r="255">
      <c r="C255" s="18"/>
    </row>
    <row r="256">
      <c r="C256" s="18"/>
    </row>
    <row r="257">
      <c r="C257" s="18"/>
    </row>
    <row r="258">
      <c r="C258" s="18"/>
    </row>
    <row r="259">
      <c r="C259" s="18"/>
    </row>
    <row r="260">
      <c r="C260" s="18"/>
    </row>
    <row r="261">
      <c r="C261" s="18"/>
    </row>
    <row r="262">
      <c r="C262" s="18"/>
    </row>
    <row r="263">
      <c r="C263" s="18"/>
    </row>
    <row r="264">
      <c r="C264" s="18"/>
    </row>
    <row r="265">
      <c r="C265" s="18"/>
    </row>
    <row r="266">
      <c r="C266" s="18"/>
    </row>
    <row r="267">
      <c r="C267" s="18"/>
    </row>
    <row r="268">
      <c r="C268" s="18"/>
    </row>
    <row r="269">
      <c r="C269" s="18"/>
    </row>
    <row r="270">
      <c r="C270" s="18"/>
    </row>
    <row r="271">
      <c r="C271" s="18"/>
    </row>
    <row r="272">
      <c r="C272" s="18"/>
    </row>
    <row r="273">
      <c r="C273" s="18"/>
    </row>
    <row r="274">
      <c r="C274" s="18"/>
    </row>
    <row r="275">
      <c r="C275" s="18"/>
    </row>
    <row r="276">
      <c r="C276" s="18"/>
    </row>
    <row r="277">
      <c r="C277" s="18"/>
    </row>
    <row r="278">
      <c r="C278" s="18"/>
    </row>
    <row r="279">
      <c r="C279" s="18"/>
    </row>
    <row r="280">
      <c r="C280" s="18"/>
    </row>
    <row r="281">
      <c r="C281" s="18"/>
    </row>
    <row r="282">
      <c r="C282" s="18"/>
    </row>
    <row r="283">
      <c r="C283" s="18"/>
    </row>
    <row r="284">
      <c r="C284" s="18"/>
    </row>
    <row r="285">
      <c r="C285" s="18"/>
    </row>
    <row r="286">
      <c r="C286" s="18"/>
    </row>
    <row r="287">
      <c r="C287" s="18"/>
    </row>
    <row r="288">
      <c r="C288" s="18"/>
    </row>
    <row r="289">
      <c r="C289" s="18"/>
    </row>
    <row r="290">
      <c r="C290" s="18"/>
    </row>
    <row r="291">
      <c r="C291" s="18"/>
    </row>
    <row r="292">
      <c r="C292" s="18"/>
    </row>
    <row r="293">
      <c r="C293" s="18"/>
    </row>
    <row r="294">
      <c r="C294" s="18"/>
    </row>
    <row r="295">
      <c r="C295" s="18"/>
    </row>
    <row r="296">
      <c r="C296" s="18"/>
    </row>
    <row r="297">
      <c r="C297" s="18"/>
    </row>
    <row r="298">
      <c r="C298" s="18"/>
    </row>
    <row r="299">
      <c r="C299" s="18"/>
    </row>
    <row r="300">
      <c r="C300" s="18"/>
    </row>
    <row r="301">
      <c r="C301" s="18"/>
    </row>
    <row r="302">
      <c r="C302" s="18"/>
    </row>
    <row r="303">
      <c r="C303" s="18"/>
    </row>
    <row r="304">
      <c r="C304" s="18"/>
    </row>
    <row r="305">
      <c r="C305" s="18"/>
    </row>
    <row r="306">
      <c r="C306" s="18"/>
    </row>
    <row r="307">
      <c r="C307" s="18"/>
    </row>
    <row r="308">
      <c r="C308" s="18"/>
    </row>
    <row r="309">
      <c r="C309" s="18"/>
    </row>
    <row r="310">
      <c r="C310" s="18"/>
    </row>
    <row r="311">
      <c r="C311" s="18"/>
    </row>
    <row r="312">
      <c r="C312" s="18"/>
    </row>
    <row r="313">
      <c r="C313" s="18"/>
    </row>
    <row r="314">
      <c r="C314" s="18"/>
    </row>
    <row r="315">
      <c r="C315" s="18"/>
    </row>
    <row r="316">
      <c r="C316" s="18"/>
    </row>
    <row r="317">
      <c r="C317" s="18"/>
    </row>
    <row r="318">
      <c r="C318" s="18"/>
    </row>
    <row r="319">
      <c r="C319" s="18"/>
    </row>
    <row r="320">
      <c r="C320" s="18"/>
    </row>
    <row r="321">
      <c r="C321" s="18"/>
    </row>
    <row r="322">
      <c r="C322" s="18"/>
    </row>
    <row r="323">
      <c r="C323" s="18"/>
    </row>
    <row r="324">
      <c r="C324" s="18"/>
    </row>
    <row r="325">
      <c r="C325" s="18"/>
    </row>
    <row r="326">
      <c r="C326" s="18"/>
    </row>
    <row r="327">
      <c r="C327" s="18"/>
    </row>
    <row r="328">
      <c r="C328" s="18"/>
    </row>
    <row r="329">
      <c r="C329" s="18"/>
    </row>
    <row r="330">
      <c r="C330" s="18"/>
    </row>
    <row r="331">
      <c r="C331" s="18"/>
    </row>
    <row r="332">
      <c r="C332" s="18"/>
    </row>
    <row r="333">
      <c r="C333" s="18"/>
    </row>
    <row r="334">
      <c r="C334" s="18"/>
    </row>
    <row r="335">
      <c r="C335" s="18"/>
    </row>
    <row r="336">
      <c r="C336" s="18"/>
    </row>
    <row r="337">
      <c r="C337" s="18"/>
    </row>
    <row r="338">
      <c r="C338" s="18"/>
    </row>
    <row r="339">
      <c r="C339" s="18"/>
    </row>
    <row r="340">
      <c r="C340" s="18"/>
    </row>
    <row r="341">
      <c r="C341" s="18"/>
    </row>
    <row r="342">
      <c r="C342" s="18"/>
    </row>
    <row r="343">
      <c r="C343" s="18"/>
    </row>
    <row r="344">
      <c r="C344" s="18"/>
    </row>
    <row r="345">
      <c r="C345" s="18"/>
    </row>
    <row r="346">
      <c r="C346" s="18"/>
    </row>
    <row r="347">
      <c r="C347" s="18"/>
    </row>
    <row r="348">
      <c r="C348" s="18"/>
    </row>
    <row r="349">
      <c r="C349" s="18"/>
    </row>
    <row r="350">
      <c r="C350" s="18"/>
    </row>
    <row r="351">
      <c r="C351" s="18"/>
    </row>
    <row r="352">
      <c r="C352" s="18"/>
    </row>
    <row r="353">
      <c r="C353" s="18"/>
    </row>
    <row r="354">
      <c r="C354" s="18"/>
    </row>
    <row r="355">
      <c r="C355" s="18"/>
    </row>
    <row r="356">
      <c r="C356" s="18"/>
    </row>
    <row r="357">
      <c r="C357" s="18"/>
    </row>
    <row r="358">
      <c r="C358" s="18"/>
    </row>
    <row r="359">
      <c r="C359" s="18"/>
    </row>
    <row r="360">
      <c r="C360" s="18"/>
    </row>
    <row r="361">
      <c r="C361" s="18"/>
    </row>
    <row r="362">
      <c r="C362" s="18"/>
    </row>
    <row r="363">
      <c r="C363" s="18"/>
    </row>
    <row r="364">
      <c r="C364" s="18"/>
    </row>
    <row r="365">
      <c r="C365" s="18"/>
    </row>
    <row r="366">
      <c r="C366" s="18"/>
    </row>
    <row r="367">
      <c r="C367" s="18"/>
    </row>
    <row r="368">
      <c r="C368" s="18"/>
    </row>
    <row r="369">
      <c r="C369" s="18"/>
    </row>
    <row r="370">
      <c r="C370" s="18"/>
    </row>
    <row r="371">
      <c r="C371" s="18"/>
    </row>
    <row r="372">
      <c r="C372" s="18"/>
    </row>
    <row r="373">
      <c r="C373" s="18"/>
    </row>
    <row r="374">
      <c r="C374" s="18"/>
    </row>
    <row r="375">
      <c r="C375" s="18"/>
    </row>
    <row r="376">
      <c r="C376" s="18"/>
    </row>
    <row r="377">
      <c r="C377" s="18"/>
    </row>
    <row r="378">
      <c r="C378" s="18"/>
    </row>
    <row r="379">
      <c r="C379" s="18"/>
    </row>
    <row r="380">
      <c r="C380" s="18"/>
    </row>
    <row r="381">
      <c r="C381" s="18"/>
    </row>
    <row r="382">
      <c r="C382" s="18"/>
    </row>
    <row r="383">
      <c r="C383" s="18"/>
    </row>
    <row r="384">
      <c r="C384" s="18"/>
    </row>
    <row r="385">
      <c r="C385" s="18"/>
    </row>
    <row r="386">
      <c r="C386" s="18"/>
    </row>
    <row r="387">
      <c r="C387" s="18"/>
    </row>
    <row r="388">
      <c r="C388" s="18"/>
    </row>
    <row r="389">
      <c r="C389" s="18"/>
    </row>
    <row r="390">
      <c r="C390" s="18"/>
    </row>
    <row r="391">
      <c r="C391" s="18"/>
    </row>
    <row r="392">
      <c r="C392" s="18"/>
    </row>
    <row r="393">
      <c r="C393" s="18"/>
    </row>
    <row r="394">
      <c r="C394" s="18"/>
    </row>
    <row r="395">
      <c r="C395" s="18"/>
    </row>
    <row r="396">
      <c r="C396" s="18"/>
    </row>
    <row r="397">
      <c r="C397" s="18"/>
    </row>
    <row r="398">
      <c r="C398" s="18"/>
    </row>
    <row r="399">
      <c r="C399" s="18"/>
    </row>
    <row r="400">
      <c r="C400" s="18"/>
    </row>
    <row r="401">
      <c r="C401" s="18"/>
    </row>
    <row r="402">
      <c r="C402" s="18"/>
    </row>
    <row r="403">
      <c r="C403" s="18"/>
    </row>
    <row r="404">
      <c r="C404" s="18"/>
    </row>
    <row r="405">
      <c r="C405" s="18"/>
    </row>
    <row r="406">
      <c r="C406" s="18"/>
    </row>
    <row r="407">
      <c r="C407" s="18"/>
    </row>
    <row r="408">
      <c r="C408" s="18"/>
    </row>
    <row r="409">
      <c r="C409" s="18"/>
    </row>
    <row r="410">
      <c r="C410" s="18"/>
    </row>
    <row r="411">
      <c r="C411" s="18"/>
    </row>
    <row r="412">
      <c r="C412" s="18"/>
    </row>
    <row r="413">
      <c r="C413" s="18"/>
    </row>
    <row r="414">
      <c r="C414" s="18"/>
    </row>
    <row r="415">
      <c r="C415" s="18"/>
    </row>
    <row r="416">
      <c r="C416" s="18"/>
    </row>
    <row r="417">
      <c r="C417" s="18"/>
    </row>
    <row r="418">
      <c r="C418" s="18"/>
    </row>
    <row r="419">
      <c r="C419" s="18"/>
    </row>
    <row r="420">
      <c r="C420" s="18"/>
    </row>
    <row r="421">
      <c r="C421" s="18"/>
    </row>
    <row r="422">
      <c r="C422" s="18"/>
    </row>
    <row r="423">
      <c r="C423" s="18"/>
    </row>
    <row r="424">
      <c r="C424" s="18"/>
    </row>
    <row r="425">
      <c r="C425" s="18"/>
    </row>
    <row r="426">
      <c r="C426" s="18"/>
    </row>
    <row r="427">
      <c r="C427" s="18"/>
    </row>
    <row r="428">
      <c r="C428" s="18"/>
    </row>
    <row r="429">
      <c r="C429" s="18"/>
    </row>
    <row r="430">
      <c r="C430" s="18"/>
    </row>
    <row r="431">
      <c r="C431" s="18"/>
    </row>
    <row r="432">
      <c r="C432" s="18"/>
    </row>
    <row r="433">
      <c r="C433" s="18"/>
    </row>
    <row r="434">
      <c r="C434" s="18"/>
    </row>
    <row r="435">
      <c r="C435" s="18"/>
    </row>
    <row r="436">
      <c r="C436" s="18"/>
    </row>
    <row r="437">
      <c r="C437" s="18"/>
    </row>
    <row r="438">
      <c r="C438" s="18"/>
    </row>
    <row r="439">
      <c r="C439" s="18"/>
    </row>
    <row r="440">
      <c r="C440" s="18"/>
    </row>
    <row r="441">
      <c r="C441" s="18"/>
    </row>
    <row r="442">
      <c r="C442" s="18"/>
    </row>
    <row r="443">
      <c r="C443" s="18"/>
    </row>
    <row r="444">
      <c r="C444" s="18"/>
    </row>
    <row r="445">
      <c r="C445" s="18"/>
    </row>
    <row r="446">
      <c r="C446" s="18"/>
    </row>
    <row r="447">
      <c r="C447" s="18"/>
    </row>
    <row r="448">
      <c r="C448" s="18"/>
    </row>
    <row r="449">
      <c r="C449" s="18"/>
    </row>
    <row r="450">
      <c r="C450" s="18"/>
    </row>
    <row r="451">
      <c r="C451" s="18"/>
    </row>
    <row r="452">
      <c r="C452" s="18"/>
    </row>
    <row r="453">
      <c r="C453" s="18"/>
    </row>
    <row r="454">
      <c r="C454" s="18"/>
    </row>
    <row r="455">
      <c r="C455" s="18"/>
    </row>
    <row r="456">
      <c r="C456" s="18"/>
    </row>
    <row r="457">
      <c r="C457" s="18"/>
    </row>
    <row r="458">
      <c r="C458" s="18"/>
    </row>
    <row r="459">
      <c r="C459" s="18"/>
    </row>
    <row r="460">
      <c r="C460" s="18"/>
    </row>
    <row r="461">
      <c r="C461" s="18"/>
    </row>
    <row r="462">
      <c r="C462" s="18"/>
    </row>
    <row r="463">
      <c r="C463" s="18"/>
    </row>
    <row r="464">
      <c r="C464" s="18"/>
    </row>
    <row r="465">
      <c r="C465" s="18"/>
    </row>
    <row r="466">
      <c r="C466" s="18"/>
    </row>
    <row r="467">
      <c r="C467" s="18"/>
    </row>
    <row r="468">
      <c r="C468" s="18"/>
    </row>
    <row r="469">
      <c r="C469" s="18"/>
    </row>
    <row r="470">
      <c r="C470" s="18"/>
    </row>
    <row r="471">
      <c r="C471" s="18"/>
    </row>
    <row r="472">
      <c r="C472" s="18"/>
    </row>
    <row r="473">
      <c r="C473" s="18"/>
    </row>
    <row r="474">
      <c r="C474" s="18"/>
    </row>
    <row r="475">
      <c r="C475" s="18"/>
    </row>
    <row r="476">
      <c r="C476" s="18"/>
    </row>
    <row r="477">
      <c r="C477" s="18"/>
    </row>
    <row r="478">
      <c r="C478" s="18"/>
    </row>
    <row r="479">
      <c r="C479" s="18"/>
    </row>
    <row r="480">
      <c r="C480" s="18"/>
    </row>
    <row r="481">
      <c r="C481" s="18"/>
    </row>
    <row r="482">
      <c r="C482" s="18"/>
    </row>
    <row r="483">
      <c r="C483" s="18"/>
    </row>
    <row r="484">
      <c r="C484" s="18"/>
    </row>
    <row r="485">
      <c r="C485" s="18"/>
    </row>
    <row r="486">
      <c r="C486" s="18"/>
    </row>
    <row r="487">
      <c r="C487" s="18"/>
    </row>
    <row r="488">
      <c r="C488" s="18"/>
    </row>
    <row r="489">
      <c r="C489" s="18"/>
    </row>
    <row r="490">
      <c r="C490" s="18"/>
    </row>
    <row r="491">
      <c r="C491" s="18"/>
    </row>
    <row r="492">
      <c r="C492" s="18"/>
    </row>
    <row r="493">
      <c r="C493" s="18"/>
    </row>
    <row r="494">
      <c r="C494" s="18"/>
    </row>
    <row r="495">
      <c r="C495" s="18"/>
    </row>
    <row r="496">
      <c r="C496" s="18"/>
    </row>
    <row r="497">
      <c r="C497" s="18"/>
    </row>
    <row r="498">
      <c r="C498" s="18"/>
    </row>
    <row r="499">
      <c r="C499" s="18"/>
    </row>
    <row r="500">
      <c r="C500" s="18"/>
    </row>
    <row r="501">
      <c r="C501" s="18"/>
    </row>
    <row r="502">
      <c r="C502" s="18"/>
    </row>
    <row r="503">
      <c r="C503" s="18"/>
    </row>
    <row r="504">
      <c r="C504" s="18"/>
    </row>
    <row r="505">
      <c r="C505" s="18"/>
    </row>
    <row r="506">
      <c r="C506" s="18"/>
    </row>
    <row r="507">
      <c r="C507" s="18"/>
    </row>
    <row r="508">
      <c r="C508" s="18"/>
    </row>
    <row r="509">
      <c r="C509" s="18"/>
    </row>
    <row r="510">
      <c r="C510" s="18"/>
    </row>
    <row r="511">
      <c r="C511" s="18"/>
    </row>
    <row r="512">
      <c r="C512" s="18"/>
    </row>
    <row r="513">
      <c r="C513" s="18"/>
    </row>
    <row r="514">
      <c r="C514" s="18"/>
    </row>
    <row r="515">
      <c r="C515" s="18"/>
    </row>
    <row r="516">
      <c r="C516" s="18"/>
    </row>
    <row r="517">
      <c r="C517" s="18"/>
    </row>
    <row r="518">
      <c r="C518" s="18"/>
    </row>
    <row r="519">
      <c r="C519" s="18"/>
    </row>
    <row r="520">
      <c r="C520" s="18"/>
    </row>
    <row r="521">
      <c r="C521" s="18"/>
    </row>
    <row r="522">
      <c r="C522" s="18"/>
    </row>
    <row r="523">
      <c r="C523" s="18"/>
    </row>
    <row r="524">
      <c r="C524" s="18"/>
    </row>
    <row r="525">
      <c r="C525" s="18"/>
    </row>
    <row r="526">
      <c r="C526" s="18"/>
    </row>
    <row r="527">
      <c r="C527" s="18"/>
    </row>
    <row r="528">
      <c r="C528" s="18"/>
    </row>
    <row r="529">
      <c r="C529" s="18"/>
    </row>
    <row r="530">
      <c r="C530" s="18"/>
    </row>
    <row r="531">
      <c r="C531" s="18"/>
    </row>
    <row r="532">
      <c r="C532" s="18"/>
    </row>
    <row r="533">
      <c r="C533" s="18"/>
    </row>
    <row r="534">
      <c r="C534" s="18"/>
    </row>
    <row r="535">
      <c r="C535" s="18"/>
    </row>
    <row r="536">
      <c r="C536" s="18"/>
    </row>
    <row r="537">
      <c r="C537" s="18"/>
    </row>
    <row r="538">
      <c r="C538" s="18"/>
    </row>
    <row r="539">
      <c r="C539" s="18"/>
    </row>
    <row r="540">
      <c r="C540" s="18"/>
    </row>
    <row r="541">
      <c r="C541" s="18"/>
    </row>
    <row r="542">
      <c r="C542" s="18"/>
    </row>
    <row r="543">
      <c r="C543" s="18"/>
    </row>
    <row r="544">
      <c r="C544" s="18"/>
    </row>
    <row r="545">
      <c r="C545" s="18"/>
    </row>
    <row r="546">
      <c r="C546" s="18"/>
    </row>
    <row r="547">
      <c r="C547" s="18"/>
    </row>
    <row r="548">
      <c r="C548" s="18"/>
    </row>
    <row r="549">
      <c r="C549" s="18"/>
    </row>
    <row r="550">
      <c r="C550" s="18"/>
    </row>
    <row r="551">
      <c r="C551" s="18"/>
    </row>
    <row r="552">
      <c r="C552" s="18"/>
    </row>
    <row r="553">
      <c r="C553" s="18"/>
    </row>
    <row r="554">
      <c r="C554" s="18"/>
    </row>
    <row r="555">
      <c r="C555" s="18"/>
    </row>
    <row r="556">
      <c r="C556" s="18"/>
    </row>
    <row r="557">
      <c r="C557" s="18"/>
    </row>
    <row r="558">
      <c r="C558" s="18"/>
    </row>
    <row r="559">
      <c r="C559" s="18"/>
    </row>
    <row r="560">
      <c r="C560" s="18"/>
    </row>
    <row r="561">
      <c r="C561" s="18"/>
    </row>
    <row r="562">
      <c r="C562" s="18"/>
    </row>
    <row r="563">
      <c r="C563" s="18"/>
    </row>
    <row r="564">
      <c r="C564" s="18"/>
    </row>
    <row r="565">
      <c r="C565" s="18"/>
    </row>
    <row r="566">
      <c r="C566" s="18"/>
    </row>
    <row r="567">
      <c r="C567" s="18"/>
    </row>
    <row r="568">
      <c r="C568" s="18"/>
    </row>
    <row r="569">
      <c r="C569" s="18"/>
    </row>
    <row r="570">
      <c r="C570" s="18"/>
    </row>
    <row r="571">
      <c r="C571" s="18"/>
    </row>
    <row r="572">
      <c r="C572" s="18"/>
    </row>
    <row r="573">
      <c r="C573" s="18"/>
    </row>
    <row r="574">
      <c r="C574" s="18"/>
    </row>
    <row r="575">
      <c r="C575" s="18"/>
    </row>
    <row r="576">
      <c r="C576" s="18"/>
    </row>
    <row r="577">
      <c r="C577" s="18"/>
    </row>
    <row r="578">
      <c r="C578" s="18"/>
    </row>
    <row r="579">
      <c r="C579" s="18"/>
    </row>
    <row r="580">
      <c r="C580" s="18"/>
    </row>
    <row r="581">
      <c r="C581" s="18"/>
    </row>
    <row r="582">
      <c r="C582" s="18"/>
    </row>
    <row r="583">
      <c r="C583" s="18"/>
    </row>
    <row r="584">
      <c r="C584" s="18"/>
    </row>
    <row r="585">
      <c r="C585" s="18"/>
    </row>
    <row r="586">
      <c r="C586" s="18"/>
    </row>
    <row r="587">
      <c r="C587" s="18"/>
    </row>
    <row r="588">
      <c r="C588" s="18"/>
    </row>
    <row r="589">
      <c r="C589" s="18"/>
    </row>
    <row r="590">
      <c r="C590" s="18"/>
    </row>
    <row r="591">
      <c r="C591" s="18"/>
    </row>
    <row r="592">
      <c r="C592" s="18"/>
    </row>
    <row r="593">
      <c r="C593" s="18"/>
    </row>
    <row r="594">
      <c r="C594" s="18"/>
    </row>
    <row r="595">
      <c r="C595" s="18"/>
    </row>
    <row r="596">
      <c r="C596" s="18"/>
    </row>
    <row r="597">
      <c r="C597" s="18"/>
    </row>
    <row r="598">
      <c r="C598" s="18"/>
    </row>
    <row r="599">
      <c r="C599" s="18"/>
    </row>
    <row r="600">
      <c r="C600" s="18"/>
    </row>
    <row r="601">
      <c r="C601" s="18"/>
    </row>
    <row r="602">
      <c r="C602" s="18"/>
    </row>
    <row r="603">
      <c r="C603" s="18"/>
    </row>
    <row r="604">
      <c r="C604" s="18"/>
    </row>
    <row r="605">
      <c r="C605" s="18"/>
    </row>
    <row r="606">
      <c r="C606" s="18"/>
    </row>
    <row r="607">
      <c r="C607" s="18"/>
    </row>
    <row r="608">
      <c r="C608" s="18"/>
    </row>
    <row r="609">
      <c r="C609" s="18"/>
    </row>
    <row r="610">
      <c r="C610" s="18"/>
    </row>
    <row r="611">
      <c r="C611" s="18"/>
    </row>
    <row r="612">
      <c r="C612" s="18"/>
    </row>
    <row r="613">
      <c r="C613" s="18"/>
    </row>
    <row r="614">
      <c r="C614" s="18"/>
    </row>
    <row r="615">
      <c r="C615" s="18"/>
    </row>
    <row r="616">
      <c r="C616" s="18"/>
    </row>
    <row r="617">
      <c r="C617" s="18"/>
    </row>
    <row r="618">
      <c r="C618" s="18"/>
    </row>
    <row r="619">
      <c r="C619" s="18"/>
    </row>
    <row r="620">
      <c r="C620" s="18"/>
    </row>
    <row r="621">
      <c r="C621" s="18"/>
    </row>
    <row r="622">
      <c r="C622" s="18"/>
    </row>
    <row r="623">
      <c r="C623" s="18"/>
    </row>
    <row r="624">
      <c r="C624" s="18"/>
    </row>
    <row r="625">
      <c r="C625" s="18"/>
    </row>
    <row r="626">
      <c r="C626" s="18"/>
    </row>
    <row r="627">
      <c r="C627" s="18"/>
    </row>
    <row r="628">
      <c r="C628" s="18"/>
    </row>
    <row r="629">
      <c r="C629" s="18"/>
    </row>
    <row r="630">
      <c r="C630" s="18"/>
    </row>
    <row r="631">
      <c r="C631" s="18"/>
    </row>
    <row r="632">
      <c r="C632" s="18"/>
    </row>
    <row r="633">
      <c r="C633" s="18"/>
    </row>
    <row r="634">
      <c r="C634" s="18"/>
    </row>
    <row r="635">
      <c r="C635" s="18"/>
    </row>
    <row r="636">
      <c r="C636" s="18"/>
    </row>
    <row r="637">
      <c r="C637" s="18"/>
    </row>
    <row r="638">
      <c r="C638" s="18"/>
    </row>
    <row r="639">
      <c r="C639" s="18"/>
    </row>
    <row r="640">
      <c r="C640" s="18"/>
    </row>
    <row r="641">
      <c r="C641" s="18"/>
    </row>
    <row r="642">
      <c r="C642" s="18"/>
    </row>
    <row r="643">
      <c r="C643" s="18"/>
    </row>
    <row r="644">
      <c r="C644" s="18"/>
    </row>
    <row r="645">
      <c r="C645" s="18"/>
    </row>
    <row r="646">
      <c r="C646" s="18"/>
    </row>
    <row r="647">
      <c r="C647" s="18"/>
    </row>
    <row r="648">
      <c r="C648" s="18"/>
    </row>
    <row r="649">
      <c r="C649" s="18"/>
    </row>
    <row r="650">
      <c r="C650" s="18"/>
    </row>
    <row r="651">
      <c r="C651" s="18"/>
    </row>
    <row r="652">
      <c r="C652" s="18"/>
    </row>
    <row r="653">
      <c r="C653" s="18"/>
    </row>
    <row r="654">
      <c r="C654" s="18"/>
    </row>
    <row r="655">
      <c r="C655" s="18"/>
    </row>
    <row r="656">
      <c r="C656" s="18"/>
    </row>
    <row r="657">
      <c r="C657" s="18"/>
    </row>
    <row r="658">
      <c r="C658" s="18"/>
    </row>
    <row r="659">
      <c r="C659" s="18"/>
    </row>
    <row r="660">
      <c r="C660" s="18"/>
    </row>
    <row r="661">
      <c r="C661" s="18"/>
    </row>
    <row r="662">
      <c r="C662" s="18"/>
    </row>
    <row r="663">
      <c r="C663" s="18"/>
    </row>
    <row r="664">
      <c r="C664" s="18"/>
    </row>
    <row r="665">
      <c r="C665" s="18"/>
    </row>
    <row r="666">
      <c r="C666" s="18"/>
    </row>
    <row r="667">
      <c r="C667" s="18"/>
    </row>
    <row r="668">
      <c r="C668" s="18"/>
    </row>
    <row r="669">
      <c r="C669" s="18"/>
    </row>
    <row r="670">
      <c r="C670" s="18"/>
    </row>
    <row r="671">
      <c r="C671" s="18"/>
    </row>
    <row r="672">
      <c r="C672" s="18"/>
    </row>
    <row r="673">
      <c r="C673" s="18"/>
    </row>
    <row r="674">
      <c r="C674" s="18"/>
    </row>
    <row r="675">
      <c r="C675" s="18"/>
    </row>
    <row r="676">
      <c r="C676" s="18"/>
    </row>
    <row r="677">
      <c r="C677" s="18"/>
    </row>
    <row r="678">
      <c r="C678" s="18"/>
    </row>
    <row r="679">
      <c r="C679" s="18"/>
    </row>
    <row r="680">
      <c r="C680" s="18"/>
    </row>
    <row r="681">
      <c r="C681" s="18"/>
    </row>
    <row r="682">
      <c r="C682" s="18"/>
    </row>
    <row r="683">
      <c r="C683" s="18"/>
    </row>
    <row r="684">
      <c r="C684" s="18"/>
    </row>
    <row r="685">
      <c r="C685" s="18"/>
    </row>
    <row r="686">
      <c r="C686" s="18"/>
    </row>
    <row r="687">
      <c r="C687" s="18"/>
    </row>
    <row r="688">
      <c r="C688" s="18"/>
    </row>
    <row r="689">
      <c r="C689" s="18"/>
    </row>
    <row r="690">
      <c r="C690" s="18"/>
    </row>
    <row r="691">
      <c r="C691" s="18"/>
    </row>
    <row r="692">
      <c r="C692" s="18"/>
    </row>
    <row r="693">
      <c r="C693" s="18"/>
    </row>
    <row r="694">
      <c r="C694" s="18"/>
    </row>
    <row r="695">
      <c r="C695" s="18"/>
    </row>
    <row r="696">
      <c r="C696" s="18"/>
    </row>
    <row r="697">
      <c r="C697" s="18"/>
    </row>
    <row r="698">
      <c r="C698" s="18"/>
    </row>
    <row r="699">
      <c r="C699" s="18"/>
    </row>
    <row r="700">
      <c r="C700" s="18"/>
    </row>
    <row r="701">
      <c r="C701" s="18"/>
    </row>
    <row r="702">
      <c r="C702" s="18"/>
    </row>
    <row r="703">
      <c r="C703" s="18"/>
    </row>
    <row r="704">
      <c r="C704" s="18"/>
    </row>
    <row r="705">
      <c r="C705" s="18"/>
    </row>
    <row r="706">
      <c r="C706" s="18"/>
    </row>
    <row r="707">
      <c r="C707" s="18"/>
    </row>
    <row r="708">
      <c r="C708" s="18"/>
    </row>
    <row r="709">
      <c r="C709" s="18"/>
    </row>
    <row r="710">
      <c r="C710" s="18"/>
    </row>
    <row r="711">
      <c r="C711" s="18"/>
    </row>
    <row r="712">
      <c r="C712" s="18"/>
    </row>
    <row r="713">
      <c r="C713" s="18"/>
    </row>
    <row r="714">
      <c r="C714" s="18"/>
    </row>
    <row r="715">
      <c r="C715" s="18"/>
    </row>
    <row r="716">
      <c r="C716" s="18"/>
    </row>
    <row r="717">
      <c r="C717" s="18"/>
    </row>
    <row r="718">
      <c r="C718" s="18"/>
    </row>
    <row r="719">
      <c r="C719" s="18"/>
    </row>
    <row r="720">
      <c r="C720" s="18"/>
    </row>
    <row r="721">
      <c r="C721" s="18"/>
    </row>
    <row r="722">
      <c r="C722" s="18"/>
    </row>
    <row r="723">
      <c r="C723" s="18"/>
    </row>
    <row r="724">
      <c r="C724" s="18"/>
    </row>
    <row r="725">
      <c r="C725" s="18"/>
    </row>
    <row r="726">
      <c r="C726" s="18"/>
    </row>
    <row r="727">
      <c r="C727" s="18"/>
    </row>
    <row r="728">
      <c r="C728" s="18"/>
    </row>
    <row r="729">
      <c r="C729" s="18"/>
    </row>
    <row r="730">
      <c r="C730" s="18"/>
    </row>
    <row r="731">
      <c r="C731" s="18"/>
    </row>
    <row r="732">
      <c r="C732" s="18"/>
    </row>
    <row r="733">
      <c r="C733" s="18"/>
    </row>
    <row r="734">
      <c r="C734" s="18"/>
    </row>
    <row r="735">
      <c r="C735" s="18"/>
    </row>
    <row r="736">
      <c r="C736" s="18"/>
    </row>
    <row r="737">
      <c r="C737" s="18"/>
    </row>
    <row r="738">
      <c r="C738" s="18"/>
    </row>
    <row r="739">
      <c r="C739" s="18"/>
    </row>
    <row r="740">
      <c r="C740" s="18"/>
    </row>
    <row r="741">
      <c r="C741" s="18"/>
    </row>
    <row r="742">
      <c r="C742" s="18"/>
    </row>
    <row r="743">
      <c r="C743" s="18"/>
    </row>
    <row r="744">
      <c r="C744" s="18"/>
    </row>
    <row r="745">
      <c r="C745" s="18"/>
    </row>
    <row r="746">
      <c r="C746" s="18"/>
    </row>
    <row r="747">
      <c r="C747" s="18"/>
    </row>
    <row r="748">
      <c r="C748" s="18"/>
    </row>
    <row r="749">
      <c r="C749" s="18"/>
    </row>
    <row r="750">
      <c r="C750" s="18"/>
    </row>
    <row r="751">
      <c r="C751" s="18"/>
    </row>
    <row r="752">
      <c r="C752" s="18"/>
    </row>
    <row r="753">
      <c r="C753" s="18"/>
    </row>
    <row r="754">
      <c r="C754" s="18"/>
    </row>
    <row r="755">
      <c r="C755" s="18"/>
    </row>
    <row r="756">
      <c r="C756" s="18"/>
    </row>
    <row r="757">
      <c r="C757" s="18"/>
    </row>
    <row r="758">
      <c r="C758" s="18"/>
    </row>
    <row r="759">
      <c r="C759" s="18"/>
    </row>
    <row r="760">
      <c r="C760" s="18"/>
    </row>
    <row r="761">
      <c r="C761" s="18"/>
    </row>
    <row r="762">
      <c r="C762" s="18"/>
    </row>
    <row r="763">
      <c r="C763" s="18"/>
    </row>
    <row r="764">
      <c r="C764" s="18"/>
    </row>
    <row r="765">
      <c r="C765" s="18"/>
    </row>
    <row r="766">
      <c r="C766" s="18"/>
    </row>
    <row r="767">
      <c r="C767" s="18"/>
    </row>
    <row r="768">
      <c r="C768" s="18"/>
    </row>
    <row r="769">
      <c r="C769" s="18"/>
    </row>
    <row r="770">
      <c r="C770" s="18"/>
    </row>
    <row r="771">
      <c r="C771" s="18"/>
    </row>
    <row r="772">
      <c r="C772" s="18"/>
    </row>
    <row r="773">
      <c r="C773" s="18"/>
    </row>
    <row r="774">
      <c r="C774" s="18"/>
    </row>
    <row r="775">
      <c r="C775" s="18"/>
    </row>
    <row r="776">
      <c r="C776" s="18"/>
    </row>
    <row r="777">
      <c r="C777" s="18"/>
    </row>
    <row r="778">
      <c r="C778" s="18"/>
    </row>
    <row r="779">
      <c r="C779" s="18"/>
    </row>
    <row r="780">
      <c r="C780" s="18"/>
    </row>
    <row r="781">
      <c r="C781" s="18"/>
    </row>
    <row r="782">
      <c r="C782" s="18"/>
    </row>
    <row r="783">
      <c r="C783" s="18"/>
    </row>
    <row r="784">
      <c r="C784" s="18"/>
    </row>
    <row r="785">
      <c r="C785" s="18"/>
    </row>
    <row r="786">
      <c r="C786" s="18"/>
    </row>
    <row r="787">
      <c r="C787" s="18"/>
    </row>
    <row r="788">
      <c r="C788" s="18"/>
    </row>
    <row r="789">
      <c r="C789" s="18"/>
    </row>
    <row r="790">
      <c r="C790" s="18"/>
    </row>
    <row r="791">
      <c r="C791" s="18"/>
    </row>
    <row r="792">
      <c r="C792" s="18"/>
    </row>
    <row r="793">
      <c r="C793" s="18"/>
    </row>
    <row r="794">
      <c r="C794" s="18"/>
    </row>
    <row r="795">
      <c r="C795" s="18"/>
    </row>
    <row r="796">
      <c r="C796" s="18"/>
    </row>
    <row r="797">
      <c r="C797" s="18"/>
    </row>
    <row r="798">
      <c r="C798" s="18"/>
    </row>
    <row r="799">
      <c r="C799" s="18"/>
    </row>
    <row r="800">
      <c r="C800" s="18"/>
    </row>
    <row r="801">
      <c r="C801" s="18"/>
    </row>
    <row r="802">
      <c r="C802" s="18"/>
    </row>
    <row r="803">
      <c r="C803" s="18"/>
    </row>
    <row r="804">
      <c r="C804" s="18"/>
    </row>
    <row r="805">
      <c r="C805" s="18"/>
    </row>
    <row r="806">
      <c r="C806" s="18"/>
    </row>
    <row r="807">
      <c r="C807" s="18"/>
    </row>
    <row r="808">
      <c r="C808" s="18"/>
    </row>
    <row r="809">
      <c r="C809" s="18"/>
    </row>
    <row r="810">
      <c r="C810" s="18"/>
    </row>
    <row r="811">
      <c r="C811" s="18"/>
    </row>
    <row r="812">
      <c r="C812" s="18"/>
    </row>
    <row r="813">
      <c r="C813" s="18"/>
    </row>
    <row r="814">
      <c r="C814" s="18"/>
    </row>
    <row r="815">
      <c r="C815" s="18"/>
    </row>
    <row r="816">
      <c r="C816" s="18"/>
    </row>
    <row r="817">
      <c r="C817" s="18"/>
    </row>
    <row r="818">
      <c r="C818" s="18"/>
    </row>
    <row r="819">
      <c r="C819" s="18"/>
    </row>
    <row r="820">
      <c r="C820" s="18"/>
    </row>
    <row r="821">
      <c r="C821" s="18"/>
    </row>
    <row r="822">
      <c r="C822" s="18"/>
    </row>
    <row r="823">
      <c r="C823" s="18"/>
    </row>
    <row r="824">
      <c r="C824" s="18"/>
    </row>
    <row r="825">
      <c r="C825" s="18"/>
    </row>
    <row r="826">
      <c r="C826" s="18"/>
    </row>
    <row r="827">
      <c r="C827" s="18"/>
    </row>
    <row r="828">
      <c r="C828" s="18"/>
    </row>
    <row r="829">
      <c r="C829" s="18"/>
    </row>
    <row r="830">
      <c r="C830" s="18"/>
    </row>
    <row r="831">
      <c r="C831" s="18"/>
    </row>
    <row r="832">
      <c r="C832" s="18"/>
    </row>
    <row r="833">
      <c r="C833" s="18"/>
    </row>
    <row r="834">
      <c r="C834" s="18"/>
    </row>
    <row r="835">
      <c r="C835" s="18"/>
    </row>
    <row r="836">
      <c r="C836" s="18"/>
    </row>
    <row r="837">
      <c r="C837" s="18"/>
    </row>
    <row r="838">
      <c r="C838" s="18"/>
    </row>
    <row r="839">
      <c r="C839" s="18"/>
    </row>
    <row r="840">
      <c r="C840" s="18"/>
    </row>
    <row r="841">
      <c r="C841" s="18"/>
    </row>
    <row r="842">
      <c r="C842" s="18"/>
    </row>
    <row r="843">
      <c r="C843" s="18"/>
    </row>
    <row r="844">
      <c r="C844" s="18"/>
    </row>
    <row r="845">
      <c r="C845" s="18"/>
    </row>
    <row r="846">
      <c r="C846" s="18"/>
    </row>
    <row r="847">
      <c r="C847" s="18"/>
    </row>
    <row r="848">
      <c r="C848" s="18"/>
    </row>
    <row r="849">
      <c r="C849" s="18"/>
    </row>
    <row r="850">
      <c r="C850" s="18"/>
    </row>
    <row r="851">
      <c r="C851" s="18"/>
    </row>
    <row r="852">
      <c r="C852" s="18"/>
    </row>
    <row r="853">
      <c r="C853" s="18"/>
    </row>
    <row r="854">
      <c r="C854" s="18"/>
    </row>
    <row r="855">
      <c r="C855" s="18"/>
    </row>
    <row r="856">
      <c r="C856" s="18"/>
    </row>
    <row r="857">
      <c r="C857" s="18"/>
    </row>
    <row r="858">
      <c r="C858" s="18"/>
    </row>
    <row r="859">
      <c r="C859" s="18"/>
    </row>
    <row r="860">
      <c r="C860" s="18"/>
    </row>
    <row r="861">
      <c r="C861" s="18"/>
    </row>
    <row r="862">
      <c r="C862" s="18"/>
    </row>
    <row r="863">
      <c r="C863" s="18"/>
    </row>
    <row r="864">
      <c r="C864" s="18"/>
    </row>
    <row r="865">
      <c r="C865" s="18"/>
    </row>
    <row r="866">
      <c r="C866" s="18"/>
    </row>
    <row r="867">
      <c r="C867" s="18"/>
    </row>
    <row r="868">
      <c r="C868" s="18"/>
    </row>
    <row r="869">
      <c r="C869" s="18"/>
    </row>
    <row r="870">
      <c r="C870" s="18"/>
    </row>
    <row r="871">
      <c r="C871" s="18"/>
    </row>
    <row r="872">
      <c r="C872" s="18"/>
    </row>
    <row r="873">
      <c r="C873" s="18"/>
    </row>
    <row r="874">
      <c r="C874" s="18"/>
    </row>
    <row r="875">
      <c r="C875" s="18"/>
    </row>
    <row r="876">
      <c r="C876" s="18"/>
    </row>
    <row r="877">
      <c r="C877" s="18"/>
    </row>
    <row r="878">
      <c r="C878" s="18"/>
    </row>
    <row r="879">
      <c r="C879" s="18"/>
    </row>
    <row r="880">
      <c r="C880" s="18"/>
    </row>
    <row r="881">
      <c r="C881" s="18"/>
    </row>
    <row r="882">
      <c r="C882" s="18"/>
    </row>
    <row r="883">
      <c r="C883" s="18"/>
    </row>
    <row r="884">
      <c r="C884" s="18"/>
    </row>
    <row r="885">
      <c r="C885" s="18"/>
    </row>
    <row r="886">
      <c r="C886" s="18"/>
    </row>
    <row r="887">
      <c r="C887" s="18"/>
    </row>
    <row r="888">
      <c r="C888" s="18"/>
    </row>
    <row r="889">
      <c r="C889" s="18"/>
    </row>
    <row r="890">
      <c r="C890" s="18"/>
    </row>
    <row r="891">
      <c r="C891" s="18"/>
    </row>
    <row r="892">
      <c r="C892" s="18"/>
    </row>
    <row r="893">
      <c r="C893" s="18"/>
    </row>
    <row r="894">
      <c r="C894" s="18"/>
    </row>
    <row r="895">
      <c r="C895" s="18"/>
    </row>
    <row r="896">
      <c r="C896" s="18"/>
    </row>
    <row r="897">
      <c r="C897" s="18"/>
    </row>
    <row r="898">
      <c r="C898" s="18"/>
    </row>
    <row r="899">
      <c r="C899" s="18"/>
    </row>
    <row r="900">
      <c r="C900" s="18"/>
    </row>
    <row r="901">
      <c r="C901" s="18"/>
    </row>
    <row r="902">
      <c r="C902" s="18"/>
    </row>
    <row r="903">
      <c r="C903" s="18"/>
    </row>
    <row r="904">
      <c r="C904" s="18"/>
    </row>
    <row r="905">
      <c r="C905" s="18"/>
    </row>
    <row r="906">
      <c r="C906" s="18"/>
    </row>
    <row r="907">
      <c r="C907" s="18"/>
    </row>
    <row r="908">
      <c r="C908" s="18"/>
    </row>
    <row r="909">
      <c r="C909" s="18"/>
    </row>
    <row r="910">
      <c r="C910" s="18"/>
    </row>
    <row r="911">
      <c r="C911" s="18"/>
    </row>
    <row r="912">
      <c r="C912" s="18"/>
    </row>
    <row r="913">
      <c r="C913" s="18"/>
    </row>
    <row r="914">
      <c r="C914" s="18"/>
    </row>
    <row r="915">
      <c r="C915" s="18"/>
    </row>
    <row r="916">
      <c r="C916" s="18"/>
    </row>
    <row r="917">
      <c r="C917" s="18"/>
    </row>
    <row r="918">
      <c r="C918" s="18"/>
    </row>
    <row r="919">
      <c r="C919" s="18"/>
    </row>
    <row r="920">
      <c r="C920" s="18"/>
    </row>
    <row r="921">
      <c r="C921" s="18"/>
    </row>
    <row r="922">
      <c r="C922" s="18"/>
    </row>
    <row r="923">
      <c r="C923" s="18"/>
    </row>
    <row r="924">
      <c r="C924" s="18"/>
    </row>
    <row r="925">
      <c r="C925" s="18"/>
    </row>
    <row r="926">
      <c r="C926" s="18"/>
    </row>
    <row r="927">
      <c r="C927" s="18"/>
    </row>
    <row r="928">
      <c r="C928" s="18"/>
    </row>
    <row r="929">
      <c r="C929" s="18"/>
    </row>
    <row r="930">
      <c r="C930" s="18"/>
    </row>
    <row r="931">
      <c r="C931" s="18"/>
    </row>
    <row r="932">
      <c r="C932" s="18"/>
    </row>
    <row r="933">
      <c r="C933" s="18"/>
    </row>
    <row r="934">
      <c r="C934" s="18"/>
    </row>
    <row r="935">
      <c r="C935" s="18"/>
    </row>
    <row r="936">
      <c r="C936" s="18"/>
    </row>
    <row r="937">
      <c r="C937" s="18"/>
    </row>
    <row r="938">
      <c r="C938" s="18"/>
    </row>
    <row r="939">
      <c r="C939" s="18"/>
    </row>
    <row r="940">
      <c r="C940" s="18"/>
    </row>
    <row r="941">
      <c r="C941" s="18"/>
    </row>
    <row r="942">
      <c r="C942" s="18"/>
    </row>
    <row r="943">
      <c r="C943" s="18"/>
    </row>
    <row r="944">
      <c r="C944" s="18"/>
    </row>
    <row r="945">
      <c r="C945" s="18"/>
    </row>
    <row r="946">
      <c r="C946" s="18"/>
    </row>
    <row r="947">
      <c r="C947" s="18"/>
    </row>
    <row r="948">
      <c r="C948" s="18"/>
    </row>
    <row r="949">
      <c r="C949" s="18"/>
    </row>
    <row r="950">
      <c r="C950" s="18"/>
    </row>
    <row r="951">
      <c r="C951" s="18"/>
    </row>
    <row r="952">
      <c r="C952" s="18"/>
    </row>
    <row r="953">
      <c r="C953" s="18"/>
    </row>
    <row r="954">
      <c r="C954" s="18"/>
    </row>
    <row r="955">
      <c r="C955" s="18"/>
    </row>
    <row r="956">
      <c r="C956" s="18"/>
    </row>
    <row r="957">
      <c r="C957" s="18"/>
    </row>
    <row r="958">
      <c r="C958" s="18"/>
    </row>
    <row r="959">
      <c r="C959" s="18"/>
    </row>
    <row r="960">
      <c r="C960" s="18"/>
    </row>
    <row r="961">
      <c r="C961" s="18"/>
    </row>
    <row r="962">
      <c r="C962" s="18"/>
    </row>
    <row r="963">
      <c r="C963" s="18"/>
    </row>
    <row r="964">
      <c r="C964" s="18"/>
    </row>
    <row r="965">
      <c r="C965" s="18"/>
    </row>
    <row r="966">
      <c r="C966" s="18"/>
    </row>
    <row r="967">
      <c r="C967" s="18"/>
    </row>
    <row r="968">
      <c r="C968" s="18"/>
    </row>
    <row r="969">
      <c r="C969" s="18"/>
    </row>
    <row r="970">
      <c r="C970" s="18"/>
    </row>
    <row r="971">
      <c r="C971" s="18"/>
    </row>
    <row r="972">
      <c r="C972" s="18"/>
    </row>
    <row r="973">
      <c r="C973" s="18"/>
    </row>
    <row r="974">
      <c r="C974" s="18"/>
    </row>
    <row r="975">
      <c r="C975" s="18"/>
    </row>
    <row r="976">
      <c r="C976" s="18"/>
    </row>
    <row r="977">
      <c r="C977" s="18"/>
    </row>
    <row r="978">
      <c r="C978" s="18"/>
    </row>
    <row r="979">
      <c r="C979" s="18"/>
    </row>
    <row r="980">
      <c r="C980" s="18"/>
    </row>
    <row r="981">
      <c r="C981" s="18"/>
    </row>
    <row r="982">
      <c r="C982" s="18"/>
    </row>
    <row r="983">
      <c r="C983" s="18"/>
    </row>
    <row r="984">
      <c r="C984" s="18"/>
    </row>
    <row r="985">
      <c r="C985" s="18"/>
    </row>
    <row r="986">
      <c r="C986" s="18"/>
    </row>
    <row r="987">
      <c r="C987" s="18"/>
    </row>
    <row r="988">
      <c r="C988" s="18"/>
    </row>
    <row r="989">
      <c r="C989" s="18"/>
    </row>
    <row r="990">
      <c r="C990" s="18"/>
    </row>
    <row r="991">
      <c r="C991" s="18"/>
    </row>
    <row r="992">
      <c r="C992" s="18"/>
    </row>
    <row r="993">
      <c r="C993" s="18"/>
    </row>
    <row r="994">
      <c r="C994" s="18"/>
    </row>
    <row r="995">
      <c r="C995" s="18"/>
    </row>
    <row r="996">
      <c r="C996" s="18"/>
    </row>
    <row r="997">
      <c r="C997" s="18"/>
    </row>
    <row r="998">
      <c r="C998" s="18"/>
    </row>
    <row r="999">
      <c r="C999" s="18"/>
    </row>
    <row r="1000">
      <c r="C1000" s="18"/>
    </row>
  </sheetData>
  <dataValidations>
    <dataValidation type="list" allowBlank="1" sqref="B2">
      <formula1>Lookups!$A$1:$A$6</formula1>
    </dataValidation>
  </dataValidations>
  <drawing r:id="rId1"/>
</worksheet>
</file>