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adrewanowski/Documents/UZH/Masterarbeit/Analysis/XRD:XRR/Superlattices/SCO:LCO/22164/"/>
    </mc:Choice>
  </mc:AlternateContent>
  <xr:revisionPtr revIDLastSave="0" documentId="13_ncr:1_{76D81622-F925-154F-A48B-915DC9180C39}" xr6:coauthVersionLast="47" xr6:coauthVersionMax="47" xr10:uidLastSave="{00000000-0000-0000-0000-000000000000}"/>
  <bookViews>
    <workbookView xWindow="-37580" yWindow="-12040" windowWidth="33080" windowHeight="20780" xr2:uid="{38F3E9A1-BF18-2346-85F1-363A2FC7BF6D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G46" i="1"/>
  <c r="E46" i="1"/>
  <c r="F46" i="1"/>
  <c r="M35" i="1"/>
  <c r="L35" i="1"/>
  <c r="K35" i="1"/>
  <c r="J35" i="1"/>
  <c r="M27" i="1"/>
  <c r="K41" i="1"/>
  <c r="J41" i="1"/>
  <c r="L27" i="1" s="1"/>
  <c r="K27" i="1"/>
  <c r="J27" i="1"/>
  <c r="C10" i="1"/>
  <c r="C20" i="1"/>
  <c r="C21" i="1" s="1"/>
  <c r="H19" i="1"/>
  <c r="H20" i="1" s="1"/>
  <c r="F41" i="1"/>
  <c r="E41" i="1"/>
  <c r="D41" i="1"/>
  <c r="G41" i="1" s="1"/>
  <c r="F42" i="1"/>
  <c r="E42" i="1"/>
  <c r="D42" i="1"/>
  <c r="G42" i="1" s="1"/>
  <c r="G27" i="1"/>
  <c r="H2" i="1" a="1"/>
  <c r="H2" i="1" s="1"/>
  <c r="G29" i="1"/>
  <c r="E36" i="1"/>
  <c r="G36" i="1" s="1"/>
  <c r="F36" i="1"/>
  <c r="E37" i="1"/>
  <c r="G37" i="1" s="1"/>
  <c r="F37" i="1"/>
  <c r="E38" i="1"/>
  <c r="F38" i="1"/>
  <c r="G38" i="1"/>
  <c r="F35" i="1"/>
  <c r="E35" i="1"/>
  <c r="G35" i="1" s="1"/>
  <c r="D36" i="1"/>
  <c r="D37" i="1"/>
  <c r="D38" i="1"/>
  <c r="D35" i="1"/>
  <c r="G28" i="1"/>
  <c r="G30" i="1"/>
  <c r="E28" i="1"/>
  <c r="E29" i="1"/>
  <c r="E30" i="1"/>
  <c r="E27" i="1"/>
  <c r="D28" i="1"/>
  <c r="F28" i="1" s="1"/>
  <c r="D29" i="1"/>
  <c r="F29" i="1" s="1"/>
  <c r="D30" i="1"/>
  <c r="F30" i="1" s="1"/>
  <c r="D27" i="1"/>
  <c r="C9" i="1"/>
  <c r="C3" i="1"/>
  <c r="J15" i="1"/>
  <c r="C16" i="1"/>
  <c r="C17" i="1"/>
  <c r="C18" i="1"/>
  <c r="C15" i="1"/>
  <c r="J16" i="1"/>
  <c r="J17" i="1"/>
  <c r="J18" i="1"/>
  <c r="C4" i="1"/>
  <c r="H17" i="1"/>
  <c r="H16" i="1"/>
  <c r="H15" i="1"/>
  <c r="H18" i="1"/>
  <c r="K21" i="1" l="1"/>
  <c r="H21" i="1"/>
  <c r="H22" i="1"/>
  <c r="C23" i="1"/>
  <c r="C22" i="1"/>
  <c r="F27" i="1"/>
  <c r="K22" i="1" l="1"/>
  <c r="K23" i="1"/>
  <c r="K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<sst xmlns="http://schemas.openxmlformats.org/spreadsheetml/2006/main" count="82" uniqueCount="37">
  <si>
    <t>Sample</t>
  </si>
  <si>
    <t>n</t>
  </si>
  <si>
    <t>2ϑ</t>
  </si>
  <si>
    <t>sinϑ</t>
  </si>
  <si>
    <t>repetitions</t>
  </si>
  <si>
    <t>𝞬 (x-rays) (Angstrom)</t>
  </si>
  <si>
    <t>001 Peak</t>
  </si>
  <si>
    <t>002 Peak</t>
  </si>
  <si>
    <t>thickness</t>
  </si>
  <si>
    <t>mean values</t>
  </si>
  <si>
    <t xml:space="preserve">slope </t>
  </si>
  <si>
    <t xml:space="preserve">ƛ </t>
  </si>
  <si>
    <t xml:space="preserve">uc </t>
  </si>
  <si>
    <t xml:space="preserve">c </t>
  </si>
  <si>
    <t>uc</t>
  </si>
  <si>
    <t xml:space="preserve"> </t>
  </si>
  <si>
    <t>err</t>
  </si>
  <si>
    <t>propagated</t>
  </si>
  <si>
    <t>theta oder 2theta?</t>
  </si>
  <si>
    <t>22164 (10,12)*5</t>
  </si>
  <si>
    <t>thickness uc</t>
  </si>
  <si>
    <t>∆_2𝛝</t>
  </si>
  <si>
    <t>2𝛝 (deg)</t>
  </si>
  <si>
    <t>𝛝</t>
  </si>
  <si>
    <t>∆_𝛝</t>
  </si>
  <si>
    <t>PEAK 001</t>
  </si>
  <si>
    <t>sin(𝛝) (rad)</t>
  </si>
  <si>
    <t>∆_sin𝛝</t>
  </si>
  <si>
    <t>slope</t>
  </si>
  <si>
    <t>PEAK 002</t>
  </si>
  <si>
    <t>(+/-)</t>
  </si>
  <si>
    <t>delta_slope</t>
  </si>
  <si>
    <t xml:space="preserve">∆ƛ </t>
  </si>
  <si>
    <t>∆uc</t>
  </si>
  <si>
    <t>c</t>
  </si>
  <si>
    <t>∆c</t>
  </si>
  <si>
    <t>Mean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</si>
</sst>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8B1E7"/>
        <bgColor indexed="64"/>
      </patternFill>
    </fill>
    <fill>
      <patternFill patternType="solid">
        <fgColor rgb="FFCD7D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2" fillId="0" borderId="0" xfId="0" applyFont="1"/>
    <xf numFmtId="0" fontId="4" fillId="0" borderId="0" xfId="0" applyFont="1"/>
    <xf numFmtId="164" fontId="0" fillId="0" borderId="0" xfId="0" applyNumberFormat="1"/>
    <xf numFmtId="0" fontId="0" fillId="9" borderId="0" xfId="0" applyFill="1"/>
    <xf numFmtId="0" fontId="4" fillId="9" borderId="0" xfId="0" applyFont="1" applyFill="1"/>
    <xf numFmtId="0" fontId="3" fillId="10" borderId="0" xfId="0" applyFont="1" applyFill="1"/>
    <xf numFmtId="0" fontId="2" fillId="10" borderId="0" xfId="0" applyFont="1" applyFill="1"/>
    <xf numFmtId="0" fontId="0" fillId="11" borderId="0" xfId="0" applyFill="1"/>
    <xf numFmtId="0" fontId="5" fillId="0" borderId="0" xfId="0" applyFont="1"/>
    <xf numFmtId="0" fontId="1" fillId="12" borderId="0" xfId="0" applyFont="1" applyFill="1"/>
    <xf numFmtId="0" fontId="0" fillId="1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002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Tabelle1!$G$35:$G$38</c:f>
                <c:numCache>
                  <c:formatCode>General</c:formatCode>
                  <c:ptCount val="4"/>
                  <c:pt idx="0">
                    <c:v>2.5900166188378261E-3</c:v>
                  </c:pt>
                  <c:pt idx="1">
                    <c:v>1.0602946212650303E-3</c:v>
                  </c:pt>
                  <c:pt idx="2">
                    <c:v>9.1866129184452183E-4</c:v>
                  </c:pt>
                  <c:pt idx="3">
                    <c:v>1.0536531475941904E-3</c:v>
                  </c:pt>
                </c:numCache>
              </c:numRef>
            </c:plus>
            <c:minus>
              <c:numRef>
                <c:f>Tabelle1!$G$35:$G$38</c:f>
                <c:numCache>
                  <c:formatCode>General</c:formatCode>
                  <c:ptCount val="4"/>
                  <c:pt idx="0">
                    <c:v>2.5900166188378261E-3</c:v>
                  </c:pt>
                  <c:pt idx="1">
                    <c:v>1.0602946212650303E-3</c:v>
                  </c:pt>
                  <c:pt idx="2">
                    <c:v>9.1866129184452183E-4</c:v>
                  </c:pt>
                  <c:pt idx="3">
                    <c:v>1.0536531475941904E-3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Tabelle1!$F$15:$F$18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Tabelle1!$H$15:$H$18</c:f>
              <c:numCache>
                <c:formatCode>General</c:formatCode>
                <c:ptCount val="4"/>
                <c:pt idx="0">
                  <c:v>0.37995265449948928</c:v>
                </c:pt>
                <c:pt idx="1">
                  <c:v>0.38720101325115214</c:v>
                </c:pt>
                <c:pt idx="2">
                  <c:v>0.39504611232937642</c:v>
                </c:pt>
                <c:pt idx="3">
                  <c:v>0.40067527552813914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9-E34E-A486-904600FF9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73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203197503"/>
        <c:axId val="220374223"/>
      </c:lineChart>
      <c:catAx>
        <c:axId val="20319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374223"/>
        <c:crosses val="autoZero"/>
        <c:auto val="1"/>
        <c:lblAlgn val="ctr"/>
        <c:lblOffset val="100"/>
        <c:noMultiLvlLbl val="0"/>
      </c:catAx>
      <c:valAx>
        <c:axId val="2203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19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001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Tabelle1!$G$27:$G$30</c:f>
                <c:numCache>
                  <c:formatCode>General</c:formatCode>
                  <c:ptCount val="4"/>
                  <c:pt idx="0">
                    <c:v>4.7639932095242818E-3</c:v>
                  </c:pt>
                  <c:pt idx="1">
                    <c:v>4.7582963821031542E-3</c:v>
                  </c:pt>
                  <c:pt idx="2">
                    <c:v>1.0287941541807879E-3</c:v>
                  </c:pt>
                  <c:pt idx="3">
                    <c:v>2.2010848843690349E-3</c:v>
                  </c:pt>
                </c:numCache>
              </c:numRef>
            </c:plus>
            <c:minus>
              <c:numRef>
                <c:f>Tabelle1!$G$27:$G$30</c:f>
                <c:numCache>
                  <c:formatCode>General</c:formatCode>
                  <c:ptCount val="4"/>
                  <c:pt idx="0">
                    <c:v>4.7639932095242818E-3</c:v>
                  </c:pt>
                  <c:pt idx="1">
                    <c:v>4.7582963821031542E-3</c:v>
                  </c:pt>
                  <c:pt idx="2">
                    <c:v>1.0287941541807879E-3</c:v>
                  </c:pt>
                  <c:pt idx="3">
                    <c:v>2.2010848843690349E-3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Tabelle1!$A$15:$A$18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Tabelle1!$C$15:$C$18</c:f>
              <c:numCache>
                <c:formatCode>General</c:formatCode>
                <c:ptCount val="4"/>
                <c:pt idx="0">
                  <c:v>0.18748932157713322</c:v>
                </c:pt>
                <c:pt idx="1">
                  <c:v>0.1935417625779855</c:v>
                </c:pt>
                <c:pt idx="2">
                  <c:v>0.1999605138423286</c:v>
                </c:pt>
                <c:pt idx="3">
                  <c:v>0.2073824316295213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8B-4B49-881E-7A52D0310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693743"/>
        <c:axId val="687669439"/>
      </c:scatterChart>
      <c:valAx>
        <c:axId val="68769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669439"/>
        <c:crosses val="autoZero"/>
        <c:crossBetween val="midCat"/>
      </c:valAx>
      <c:valAx>
        <c:axId val="68766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69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254000</xdr:colOff>
      <xdr:row>0</xdr:row>
      <xdr:rowOff>63500</xdr:rowOff>
    </xdr:from>
    <xdr:to>
      <xdr:col>23</xdr:col>
      <xdr:colOff>482600</xdr:colOff>
      <xdr:row>25</xdr:row>
      <xdr:rowOff>105127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BD8FFADC-65DC-33F4-E2B9-4BCB2785A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0" y="63500"/>
          <a:ext cx="7658100" cy="5121627"/>
        </a:xfrm>
        <a:prstGeom prst="rect">
          <a:avLst/>
        </a:prstGeom>
      </xdr:spPr>
    </xdr:pic>
    <xdr:clientData/>
  </xdr:twoCellAnchor>
  <xdr:twoCellAnchor>
    <xdr:from>
      <xdr:col>16</xdr:col>
      <xdr:colOff>368300</xdr:colOff>
      <xdr:row>27</xdr:row>
      <xdr:rowOff>190500</xdr:rowOff>
    </xdr:from>
    <xdr:to>
      <xdr:col>21</xdr:col>
      <xdr:colOff>812800</xdr:colOff>
      <xdr:row>41</xdr:row>
      <xdr:rowOff>88900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A0BD64A-D0EB-E662-ADE4-1D9973DE4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207502</xdr:colOff>
      <xdr:row>1</xdr:row>
      <xdr:rowOff>69023</xdr:rowOff>
    </xdr:from>
    <xdr:to>
      <xdr:col>31</xdr:col>
      <xdr:colOff>549163</xdr:colOff>
      <xdr:row>26</xdr:row>
      <xdr:rowOff>51878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44FF2B3-5FA5-1295-B164-8F9EF5FC4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68502" y="272223"/>
          <a:ext cx="7771161" cy="5062855"/>
        </a:xfrm>
        <a:prstGeom prst="rect">
          <a:avLst/>
        </a:prstGeom>
      </xdr:spPr>
    </xdr:pic>
    <xdr:clientData/>
  </xdr:twoCellAnchor>
  <xdr:twoCellAnchor>
    <xdr:from>
      <xdr:col>16</xdr:col>
      <xdr:colOff>387350</xdr:colOff>
      <xdr:row>42</xdr:row>
      <xdr:rowOff>38100</xdr:rowOff>
    </xdr:from>
    <xdr:to>
      <xdr:col>22</xdr:col>
      <xdr:colOff>6350</xdr:colOff>
      <xdr:row>55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69810BD-F433-22FF-A7E9-BDF3E4100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nabelladrewanowski/Documents/UZH/Masterarbeit/Analysis/XRD:XRR/Superlattices/SCO:LCO/22169/XRD_SL_analysis_2216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34">
          <cell r="K34">
            <v>119.12207118666196</v>
          </cell>
          <cell r="L34">
            <v>22.451882540931884</v>
          </cell>
          <cell r="M34">
            <v>30.476671325132511</v>
          </cell>
          <cell r="N34">
            <v>5.7469212205170681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A811-6E98-204A-8B69-49F1E7A0D4D1}">
  <dimension ref="A1:M46"/>
  <sheetViews>
    <sheetView tabSelected="1" topLeftCell="A10" zoomScaleNormal="50" workbookViewId="0">
      <selection activeCell="B46" sqref="B46:G46"/>
    </sheetView>
  </sheetViews>
  <sheetFormatPr baseColWidth="10" defaultRowHeight="16" x14ac:dyDescent="0.2"/>
  <sheetData>
    <row r="1" spans="1:11" x14ac:dyDescent="0.2">
      <c r="A1" t="s">
        <v>0</v>
      </c>
      <c r="B1" t="s">
        <v>19</v>
      </c>
    </row>
    <row r="2" spans="1:11" x14ac:dyDescent="0.2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5</v>
      </c>
      <c r="H2" cm="1">
        <f t="array" ref="H2:I6">LINEST(C3:C4,A3:A4,F7,1)</f>
        <v>0.19801054770021628</v>
      </c>
      <c r="I2">
        <v>0</v>
      </c>
    </row>
    <row r="3" spans="1:11" x14ac:dyDescent="0.2">
      <c r="A3">
        <v>1</v>
      </c>
      <c r="B3" s="11">
        <v>23.069299999999998</v>
      </c>
      <c r="C3">
        <f>SIN(B3/2*PI()/180)</f>
        <v>0.1999605138423286</v>
      </c>
      <c r="D3" s="12">
        <v>1E-3</v>
      </c>
      <c r="E3">
        <v>5</v>
      </c>
      <c r="F3">
        <v>1.5406</v>
      </c>
      <c r="H3">
        <v>9.7498307105615013E-4</v>
      </c>
      <c r="I3" t="e">
        <v>#N/A</v>
      </c>
    </row>
    <row r="4" spans="1:11" x14ac:dyDescent="0.2">
      <c r="A4">
        <v>2</v>
      </c>
      <c r="B4">
        <v>46.537700000000001</v>
      </c>
      <c r="C4">
        <f>SIN(B4*PI()/2/180)</f>
        <v>0.39504611232937642</v>
      </c>
      <c r="D4">
        <v>1E-3</v>
      </c>
      <c r="H4">
        <v>0.9999757558495378</v>
      </c>
      <c r="I4">
        <v>2.1801284237930596E-3</v>
      </c>
    </row>
    <row r="5" spans="1:11" x14ac:dyDescent="0.2">
      <c r="A5">
        <v>3</v>
      </c>
      <c r="H5">
        <v>41246.062938247785</v>
      </c>
      <c r="I5">
        <v>1</v>
      </c>
    </row>
    <row r="6" spans="1:11" x14ac:dyDescent="0.2">
      <c r="A6">
        <v>4</v>
      </c>
      <c r="H6">
        <v>0.19604088500269817</v>
      </c>
      <c r="I6">
        <v>4.7529599442304104E-6</v>
      </c>
    </row>
    <row r="7" spans="1:11" x14ac:dyDescent="0.2">
      <c r="A7">
        <v>5</v>
      </c>
    </row>
    <row r="8" spans="1:11" x14ac:dyDescent="0.2">
      <c r="D8" t="s">
        <v>30</v>
      </c>
      <c r="J8" t="s">
        <v>15</v>
      </c>
    </row>
    <row r="9" spans="1:11" x14ac:dyDescent="0.2">
      <c r="A9" s="2"/>
      <c r="B9" s="2" t="s">
        <v>10</v>
      </c>
      <c r="C9" s="2">
        <f>SLOPE(C3:C4,A3:A4)</f>
        <v>0.19508559848704782</v>
      </c>
      <c r="D9" s="10">
        <v>1.4142143727610701E-3</v>
      </c>
    </row>
    <row r="10" spans="1:11" x14ac:dyDescent="0.2">
      <c r="A10" s="4"/>
      <c r="B10" s="4" t="s">
        <v>13</v>
      </c>
      <c r="C10" s="4">
        <f>F$3/2/C$9</f>
        <v>3.948523140477445</v>
      </c>
    </row>
    <row r="13" spans="1:11" x14ac:dyDescent="0.2">
      <c r="A13" s="3" t="s">
        <v>6</v>
      </c>
      <c r="F13" s="3" t="s">
        <v>7</v>
      </c>
    </row>
    <row r="14" spans="1:11" x14ac:dyDescent="0.2">
      <c r="A14" s="1" t="s">
        <v>1</v>
      </c>
      <c r="B14" s="1" t="s">
        <v>2</v>
      </c>
      <c r="C14" s="1" t="s">
        <v>3</v>
      </c>
      <c r="D14" s="1" t="s">
        <v>16</v>
      </c>
      <c r="E14" s="1" t="s">
        <v>17</v>
      </c>
      <c r="F14" s="1" t="s">
        <v>1</v>
      </c>
      <c r="G14" s="1" t="s">
        <v>2</v>
      </c>
      <c r="H14" s="1" t="s">
        <v>3</v>
      </c>
      <c r="I14" s="1" t="s">
        <v>16</v>
      </c>
      <c r="J14" s="1" t="s">
        <v>17</v>
      </c>
    </row>
    <row r="15" spans="1:11" x14ac:dyDescent="0.2">
      <c r="A15">
        <v>1</v>
      </c>
      <c r="B15" s="11">
        <v>21.6126</v>
      </c>
      <c r="C15">
        <f>SIN(B15/2*PI()/180)</f>
        <v>0.18748932157713322</v>
      </c>
      <c r="D15" s="11">
        <v>9.7000000000000003E-3</v>
      </c>
      <c r="F15">
        <v>1</v>
      </c>
      <c r="G15" s="11">
        <v>44.661499999999997</v>
      </c>
      <c r="H15">
        <f>SIN(G15*PI()/2/180)</f>
        <v>0.37995265449948928</v>
      </c>
      <c r="I15" s="10">
        <v>5.5999999999999999E-3</v>
      </c>
      <c r="J15">
        <f>COS((G15+I15/2)*PI()/180)*I15/2</f>
        <v>1.9914653047163624E-3</v>
      </c>
      <c r="K15" t="s">
        <v>18</v>
      </c>
    </row>
    <row r="16" spans="1:11" x14ac:dyDescent="0.2">
      <c r="A16">
        <v>2</v>
      </c>
      <c r="B16" s="11">
        <v>22.319099999999999</v>
      </c>
      <c r="C16">
        <f>SIN(B16/2*PI()/180)</f>
        <v>0.1935417625779855</v>
      </c>
      <c r="D16" s="11">
        <v>9.7000000000000003E-3</v>
      </c>
      <c r="F16">
        <v>2</v>
      </c>
      <c r="G16" s="11">
        <v>45.560899999999997</v>
      </c>
      <c r="H16">
        <f>SIN(G16*PI()/2/180)</f>
        <v>0.38720101325115214</v>
      </c>
      <c r="I16" s="10">
        <v>2.3E-3</v>
      </c>
      <c r="J16">
        <f>COS((G16+I16/2)*PI()/180)*I16/2</f>
        <v>8.0515688269463962E-4</v>
      </c>
    </row>
    <row r="17" spans="1:13" x14ac:dyDescent="0.2">
      <c r="A17">
        <v>3</v>
      </c>
      <c r="B17" s="11">
        <v>23.069299999999998</v>
      </c>
      <c r="C17">
        <f>SIN(B17/2*PI()/180)</f>
        <v>0.1999605138423286</v>
      </c>
      <c r="D17" s="11">
        <v>2.0999999999999999E-3</v>
      </c>
      <c r="F17">
        <v>3</v>
      </c>
      <c r="G17" s="11">
        <v>46.537700000000001</v>
      </c>
      <c r="H17">
        <f>SIN(G17*PI()/2/180)</f>
        <v>0.39504611232937642</v>
      </c>
      <c r="I17" s="10">
        <v>2E-3</v>
      </c>
      <c r="J17">
        <f>COS((G17+I17/2)*PI()/180)*I17/2</f>
        <v>6.8786447008866314E-4</v>
      </c>
    </row>
    <row r="18" spans="1:13" x14ac:dyDescent="0.2">
      <c r="A18">
        <v>4</v>
      </c>
      <c r="B18" s="11">
        <v>23.937999999999999</v>
      </c>
      <c r="C18">
        <f>SIN(B18/2*PI()/180)</f>
        <v>0.2073824316295213</v>
      </c>
      <c r="D18" s="11">
        <v>4.4999999999999997E-3</v>
      </c>
      <c r="F18">
        <v>4</v>
      </c>
      <c r="G18" s="11">
        <v>47.2408</v>
      </c>
      <c r="H18">
        <f>SIN(G18*PI()/2/180)</f>
        <v>0.40067527552813914</v>
      </c>
      <c r="I18" s="10">
        <v>2.3E-3</v>
      </c>
      <c r="J18">
        <f>COS((G18+I18/2)*PI()/180)*I18/2</f>
        <v>7.8073949697680868E-4</v>
      </c>
    </row>
    <row r="19" spans="1:13" x14ac:dyDescent="0.2">
      <c r="A19">
        <v>5</v>
      </c>
      <c r="F19" s="2"/>
      <c r="G19" s="2" t="s">
        <v>10</v>
      </c>
      <c r="H19" s="2">
        <f>SLOPE(H15:H18,F15:F18)</f>
        <v>7.0012962164173855E-3</v>
      </c>
      <c r="I19" s="14">
        <v>3.2000000000000002E-3</v>
      </c>
    </row>
    <row r="20" spans="1:13" x14ac:dyDescent="0.2">
      <c r="A20" s="2"/>
      <c r="B20" s="2" t="s">
        <v>10</v>
      </c>
      <c r="C20" s="2">
        <f>SLOPE(C15:C18,A15:A18)</f>
        <v>6.6098081421507356E-3</v>
      </c>
      <c r="D20" s="13">
        <v>2.2000000000000001E-4</v>
      </c>
      <c r="F20" s="4"/>
      <c r="G20" s="4" t="s">
        <v>11</v>
      </c>
      <c r="H20" s="4">
        <f>F$3/2/H$19</f>
        <v>110.02248386430479</v>
      </c>
      <c r="J20" s="3" t="s">
        <v>9</v>
      </c>
    </row>
    <row r="21" spans="1:13" x14ac:dyDescent="0.2">
      <c r="A21" s="4"/>
      <c r="B21" s="4" t="s">
        <v>11</v>
      </c>
      <c r="C21" s="4">
        <f>F$3/2/C$20</f>
        <v>116.53893478205489</v>
      </c>
      <c r="F21" s="5"/>
      <c r="G21" s="5" t="s">
        <v>12</v>
      </c>
      <c r="H21" s="5">
        <f>H$20/C$10</f>
        <v>27.864211491236482</v>
      </c>
      <c r="J21" s="7" t="s">
        <v>11</v>
      </c>
      <c r="K21" s="8">
        <f>(H20+C21)/2</f>
        <v>113.28070932317985</v>
      </c>
    </row>
    <row r="22" spans="1:13" x14ac:dyDescent="0.2">
      <c r="A22" s="5"/>
      <c r="B22" s="5" t="s">
        <v>12</v>
      </c>
      <c r="C22" s="5">
        <f>C$21/C$10</f>
        <v>29.514562948202279</v>
      </c>
      <c r="F22" s="6"/>
      <c r="G22" s="6" t="s">
        <v>8</v>
      </c>
      <c r="H22" s="6">
        <f>H$20*E3</f>
        <v>550.11241932152393</v>
      </c>
      <c r="J22" s="7" t="s">
        <v>14</v>
      </c>
      <c r="K22" s="8">
        <f>(H21+C22)/2</f>
        <v>28.689387219719379</v>
      </c>
    </row>
    <row r="23" spans="1:13" x14ac:dyDescent="0.2">
      <c r="A23" s="6"/>
      <c r="B23" s="6" t="s">
        <v>8</v>
      </c>
      <c r="C23" s="6">
        <f>C$21*E$3</f>
        <v>582.69467391027445</v>
      </c>
      <c r="J23" s="7" t="s">
        <v>20</v>
      </c>
      <c r="K23" s="8">
        <f>(H22+C23)/2</f>
        <v>566.40354661589913</v>
      </c>
    </row>
    <row r="24" spans="1:13" x14ac:dyDescent="0.2">
      <c r="J24" s="7" t="s">
        <v>8</v>
      </c>
      <c r="K24" s="8">
        <f>K22*E3</f>
        <v>143.44693609859689</v>
      </c>
    </row>
    <row r="25" spans="1:13" x14ac:dyDescent="0.2">
      <c r="B25" t="s">
        <v>25</v>
      </c>
    </row>
    <row r="26" spans="1:13" x14ac:dyDescent="0.2">
      <c r="B26" s="9" t="s">
        <v>22</v>
      </c>
      <c r="C26" s="9" t="s">
        <v>21</v>
      </c>
      <c r="D26" t="s">
        <v>23</v>
      </c>
      <c r="E26" t="s">
        <v>24</v>
      </c>
      <c r="F26" t="s">
        <v>26</v>
      </c>
      <c r="G26" t="s">
        <v>27</v>
      </c>
      <c r="H26" s="15" t="s">
        <v>28</v>
      </c>
      <c r="I26" s="15" t="s">
        <v>31</v>
      </c>
      <c r="J26" s="4" t="s">
        <v>11</v>
      </c>
      <c r="K26" s="4" t="s">
        <v>32</v>
      </c>
      <c r="L26" s="5" t="s">
        <v>12</v>
      </c>
      <c r="M26" s="2" t="s">
        <v>33</v>
      </c>
    </row>
    <row r="27" spans="1:13" x14ac:dyDescent="0.2">
      <c r="A27">
        <v>1</v>
      </c>
      <c r="B27" s="10">
        <v>21.6126</v>
      </c>
      <c r="C27" s="10">
        <v>9.7000000000000003E-3</v>
      </c>
      <c r="D27">
        <f>B27/2</f>
        <v>10.8063</v>
      </c>
      <c r="E27">
        <f>C27/2</f>
        <v>4.8500000000000001E-3</v>
      </c>
      <c r="F27">
        <f>SIN(D27*PI()/180)</f>
        <v>0.18748932157713322</v>
      </c>
      <c r="G27" s="12">
        <f>COS(D27*PI()/180)*E27</f>
        <v>4.7639932095242818E-3</v>
      </c>
      <c r="H27" s="16">
        <v>6.8659143788523096E-3</v>
      </c>
      <c r="I27" s="16">
        <v>1.5122152398834301E-3</v>
      </c>
      <c r="J27" s="17">
        <f>F$3/2/H27</f>
        <v>112.19190300021795</v>
      </c>
      <c r="K27" s="17">
        <f>F$3*I27/2/H27^2</f>
        <v>24.71022738515606</v>
      </c>
      <c r="L27" s="17">
        <f>J27/J$41</f>
        <v>28.413637169855015</v>
      </c>
      <c r="M27" s="17">
        <f>SQRT(1/J$41^2*K27^2+J27^2/J$41^4*K$41^2)</f>
        <v>6.2614824317526985</v>
      </c>
    </row>
    <row r="28" spans="1:13" x14ac:dyDescent="0.2">
      <c r="A28">
        <v>2</v>
      </c>
      <c r="B28" s="10">
        <v>22.319099999999999</v>
      </c>
      <c r="C28" s="10">
        <v>9.7000000000000003E-3</v>
      </c>
      <c r="D28">
        <f t="shared" ref="D28:D30" si="0">B28/2</f>
        <v>11.159549999999999</v>
      </c>
      <c r="E28">
        <f t="shared" ref="E28:E30" si="1">C28/2</f>
        <v>4.8500000000000001E-3</v>
      </c>
      <c r="F28">
        <f t="shared" ref="F28:F30" si="2">SIN(D28*PI()/180)</f>
        <v>0.1935417625779855</v>
      </c>
      <c r="G28" s="12">
        <f t="shared" ref="G28:G30" si="3">COS(D28*PI()/180)*E28</f>
        <v>4.7582963821031542E-3</v>
      </c>
    </row>
    <row r="29" spans="1:13" x14ac:dyDescent="0.2">
      <c r="A29">
        <v>3</v>
      </c>
      <c r="B29" s="10">
        <v>23.069299999999998</v>
      </c>
      <c r="C29" s="10">
        <v>2.0999999999999999E-3</v>
      </c>
      <c r="D29">
        <f t="shared" si="0"/>
        <v>11.534649999999999</v>
      </c>
      <c r="E29">
        <f t="shared" si="1"/>
        <v>1.0499999999999999E-3</v>
      </c>
      <c r="F29">
        <f t="shared" si="2"/>
        <v>0.1999605138423286</v>
      </c>
      <c r="G29" s="12">
        <f t="shared" si="3"/>
        <v>1.0287941541807879E-3</v>
      </c>
    </row>
    <row r="30" spans="1:13" x14ac:dyDescent="0.2">
      <c r="A30">
        <v>4</v>
      </c>
      <c r="B30" s="10">
        <v>23.937999999999999</v>
      </c>
      <c r="C30" s="10">
        <v>4.4999999999999997E-3</v>
      </c>
      <c r="D30">
        <f t="shared" si="0"/>
        <v>11.968999999999999</v>
      </c>
      <c r="E30">
        <f t="shared" si="1"/>
        <v>2.2499999999999998E-3</v>
      </c>
      <c r="F30">
        <f t="shared" si="2"/>
        <v>0.2073824316295213</v>
      </c>
      <c r="G30" s="12">
        <f t="shared" si="3"/>
        <v>2.2010848843690349E-3</v>
      </c>
    </row>
    <row r="33" spans="1:13" x14ac:dyDescent="0.2">
      <c r="B33" t="s">
        <v>29</v>
      </c>
    </row>
    <row r="34" spans="1:13" x14ac:dyDescent="0.2">
      <c r="A34" t="s">
        <v>1</v>
      </c>
      <c r="B34" s="9" t="s">
        <v>22</v>
      </c>
      <c r="C34" s="9" t="s">
        <v>21</v>
      </c>
      <c r="D34" t="s">
        <v>23</v>
      </c>
      <c r="E34" t="s">
        <v>24</v>
      </c>
      <c r="F34" t="s">
        <v>26</v>
      </c>
      <c r="G34" t="s">
        <v>27</v>
      </c>
      <c r="H34" s="15" t="s">
        <v>28</v>
      </c>
      <c r="I34" s="15" t="s">
        <v>31</v>
      </c>
      <c r="J34" s="4" t="s">
        <v>11</v>
      </c>
      <c r="K34" s="4" t="s">
        <v>32</v>
      </c>
      <c r="L34" s="5" t="s">
        <v>12</v>
      </c>
      <c r="M34" s="2" t="s">
        <v>33</v>
      </c>
    </row>
    <row r="35" spans="1:13" x14ac:dyDescent="0.2">
      <c r="A35">
        <v>1</v>
      </c>
      <c r="B35" s="10">
        <v>44.661499999999997</v>
      </c>
      <c r="C35" s="10">
        <v>5.5999999999999999E-3</v>
      </c>
      <c r="D35">
        <f>B35/2</f>
        <v>22.330749999999998</v>
      </c>
      <c r="E35">
        <f>C35/2</f>
        <v>2.8E-3</v>
      </c>
      <c r="F35">
        <f>SIN(D35*PI()/180)</f>
        <v>0.37995265449948928</v>
      </c>
      <c r="G35" s="12">
        <f>COS(D35*PI()/180)*E35</f>
        <v>2.5900166188378261E-3</v>
      </c>
      <c r="H35" s="16">
        <v>6.8148302766291398E-3</v>
      </c>
      <c r="I35" s="16">
        <v>6.4168886030400703E-4</v>
      </c>
      <c r="J35" s="17">
        <f>F$3/2/H35</f>
        <v>113.03289571886712</v>
      </c>
      <c r="K35" s="17">
        <f>F$3*I35/2/H35^2</f>
        <v>10.643251128269982</v>
      </c>
      <c r="L35" s="17">
        <f>J35/J$41</f>
        <v>28.626626354735329</v>
      </c>
      <c r="M35" s="17">
        <f>SQRT(1/J$41^2*K35^2+J35^2/J$41^4*K$41^2)</f>
        <v>2.7034782268284503</v>
      </c>
    </row>
    <row r="36" spans="1:13" x14ac:dyDescent="0.2">
      <c r="A36">
        <v>2</v>
      </c>
      <c r="B36" s="10">
        <v>45.560899999999997</v>
      </c>
      <c r="C36" s="10">
        <v>2.3E-3</v>
      </c>
      <c r="D36">
        <f t="shared" ref="D36:D38" si="4">B36/2</f>
        <v>22.780449999999998</v>
      </c>
      <c r="E36">
        <f t="shared" ref="E36:E38" si="5">C36/2</f>
        <v>1.15E-3</v>
      </c>
      <c r="F36">
        <f t="shared" ref="F36:F38" si="6">SIN(D36*PI()/180)</f>
        <v>0.38720101325115214</v>
      </c>
      <c r="G36" s="12">
        <f t="shared" ref="G36:G38" si="7">COS(D36*PI()/180)*E36</f>
        <v>1.0602946212650303E-3</v>
      </c>
    </row>
    <row r="37" spans="1:13" x14ac:dyDescent="0.2">
      <c r="A37">
        <v>3</v>
      </c>
      <c r="B37" s="10">
        <v>46.537700000000001</v>
      </c>
      <c r="C37" s="10">
        <v>2E-3</v>
      </c>
      <c r="D37">
        <f t="shared" si="4"/>
        <v>23.26885</v>
      </c>
      <c r="E37">
        <f t="shared" si="5"/>
        <v>1E-3</v>
      </c>
      <c r="F37">
        <f t="shared" si="6"/>
        <v>0.39504611232937642</v>
      </c>
      <c r="G37" s="12">
        <f t="shared" si="7"/>
        <v>9.1866129184452183E-4</v>
      </c>
    </row>
    <row r="38" spans="1:13" x14ac:dyDescent="0.2">
      <c r="A38">
        <v>4</v>
      </c>
      <c r="B38" s="10">
        <v>47.2408</v>
      </c>
      <c r="C38" s="10">
        <v>2.3E-3</v>
      </c>
      <c r="D38">
        <f t="shared" si="4"/>
        <v>23.6204</v>
      </c>
      <c r="E38">
        <f t="shared" si="5"/>
        <v>1.15E-3</v>
      </c>
      <c r="F38">
        <f t="shared" si="6"/>
        <v>0.40067527552813914</v>
      </c>
      <c r="G38" s="12">
        <f t="shared" si="7"/>
        <v>1.0536531475941904E-3</v>
      </c>
    </row>
    <row r="40" spans="1:13" x14ac:dyDescent="0.2">
      <c r="A40" t="s">
        <v>1</v>
      </c>
      <c r="B40" s="9" t="s">
        <v>22</v>
      </c>
      <c r="C40" s="9" t="s">
        <v>21</v>
      </c>
      <c r="D40" t="s">
        <v>23</v>
      </c>
      <c r="E40" t="s">
        <v>24</v>
      </c>
      <c r="F40" t="s">
        <v>26</v>
      </c>
      <c r="G40" t="s">
        <v>27</v>
      </c>
      <c r="H40" s="15" t="s">
        <v>28</v>
      </c>
      <c r="I40" s="15" t="s">
        <v>31</v>
      </c>
      <c r="J40" s="4" t="s">
        <v>34</v>
      </c>
      <c r="K40" s="4" t="s">
        <v>35</v>
      </c>
    </row>
    <row r="41" spans="1:13" x14ac:dyDescent="0.2">
      <c r="A41">
        <v>1</v>
      </c>
      <c r="B41" s="10">
        <v>23.069299999999998</v>
      </c>
      <c r="C41" s="10">
        <v>2.0999999999999999E-3</v>
      </c>
      <c r="D41">
        <f t="shared" ref="D41" si="8">B41/2</f>
        <v>11.534649999999999</v>
      </c>
      <c r="E41">
        <f t="shared" ref="E41" si="9">C41/2</f>
        <v>1.0499999999999999E-3</v>
      </c>
      <c r="F41">
        <f t="shared" ref="F41" si="10">SIN(D41*PI()/180)</f>
        <v>0.1999605138423286</v>
      </c>
      <c r="G41" s="12">
        <f t="shared" ref="G41" si="11">COS(D41*PI()/180)*E41</f>
        <v>1.0287941541807879E-3</v>
      </c>
      <c r="H41" s="16">
        <v>0.1950856</v>
      </c>
      <c r="I41" s="16">
        <v>1.4142143727610701E-3</v>
      </c>
      <c r="J41">
        <f>F3/2/H41</f>
        <v>3.9485231098553659</v>
      </c>
      <c r="K41">
        <f>F3/2/H41^2*I41</f>
        <v>2.8623630514690458E-2</v>
      </c>
    </row>
    <row r="42" spans="1:13" x14ac:dyDescent="0.2">
      <c r="A42">
        <v>2</v>
      </c>
      <c r="B42" s="10">
        <v>46.537700000000001</v>
      </c>
      <c r="C42" s="10">
        <v>2E-3</v>
      </c>
      <c r="D42">
        <f t="shared" ref="D42" si="12">B42/2</f>
        <v>23.26885</v>
      </c>
      <c r="E42">
        <f t="shared" ref="E42" si="13">C42/2</f>
        <v>1E-3</v>
      </c>
      <c r="F42">
        <f t="shared" ref="F42" si="14">SIN(D42*PI()/180)</f>
        <v>0.39504611232937642</v>
      </c>
      <c r="G42" s="12">
        <f t="shared" ref="G42" si="15">COS(D42*PI()/180)*E42</f>
        <v>9.1866129184452183E-4</v>
      </c>
    </row>
    <row r="44" spans="1:13" ht="21" x14ac:dyDescent="0.25">
      <c r="A44" s="18" t="s">
        <v>36</v>
      </c>
    </row>
    <row r="45" spans="1:13" x14ac:dyDescent="0.2">
      <c r="B45" s="19" t="s">
        <v>34</v>
      </c>
      <c r="C45" s="20" t="s">
        <v>35</v>
      </c>
      <c r="D45" s="20" t="s">
        <v>11</v>
      </c>
      <c r="E45" s="20" t="s">
        <v>32</v>
      </c>
      <c r="F45" s="20" t="s">
        <v>12</v>
      </c>
      <c r="G45" s="20" t="s">
        <v>33</v>
      </c>
    </row>
    <row r="46" spans="1:13" x14ac:dyDescent="0.2">
      <c r="A46">
        <v>22164</v>
      </c>
      <c r="B46">
        <v>3.9485231098553659</v>
      </c>
      <c r="C46">
        <v>2.8623630514690458E-2</v>
      </c>
      <c r="D46">
        <f>AVERAGE(J27,J35)</f>
        <v>112.61239935954254</v>
      </c>
      <c r="E46">
        <f>0.5*SQRT(K35^2+K27^2)</f>
        <v>13.452454534447762</v>
      </c>
      <c r="F46">
        <f>AVERAGE(L35,L27)</f>
        <v>28.520131762295172</v>
      </c>
      <c r="G46">
        <f>0.5*SQRT(M35^2+M27^2)</f>
        <v>3.4100937218089471</v>
      </c>
    </row>
  </sheetData>
  <sortState xmlns:xlrd2="http://schemas.microsoft.com/office/spreadsheetml/2017/richdata2" ref="F15:F18">
    <sortCondition ref="F15:F18"/>
  </sortState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Annabella Drewanowski</dc:creator>
  <cp:lastModifiedBy>Annabella Drewanowski</cp:lastModifiedBy>
  <dcterms:created xsi:type="dcterms:W3CDTF">2022-06-29T10:49:30Z</dcterms:created>
  <dcterms:modified xsi:type="dcterms:W3CDTF">2023-01-16T15:15:08Z</dcterms:modified>
</cp:coreProperties>
</file>