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22169/"/>
    </mc:Choice>
  </mc:AlternateContent>
  <xr:revisionPtr revIDLastSave="0" documentId="13_ncr:1_{2C04C092-5F7C-3B4C-BBB9-A056D7C83DD1}" xr6:coauthVersionLast="47" xr6:coauthVersionMax="47" xr10:uidLastSave="{00000000-0000-0000-0000-000000000000}"/>
  <bookViews>
    <workbookView xWindow="1040" yWindow="460" windowWidth="25600" windowHeight="15540" xr2:uid="{38F3E9A1-BF18-2346-85F1-363A2FC7BF6D}"/>
  </bookViews>
  <sheets>
    <sheet name="Tabelle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M40" i="1"/>
  <c r="L40" i="1"/>
  <c r="K40" i="1"/>
  <c r="AC59" i="1"/>
  <c r="AB59" i="1"/>
  <c r="AA59" i="1"/>
  <c r="Z59" i="1"/>
  <c r="V61" i="1"/>
  <c r="U61" i="1"/>
  <c r="T61" i="1"/>
  <c r="W61" i="1" s="1"/>
  <c r="V60" i="1"/>
  <c r="U60" i="1"/>
  <c r="T60" i="1"/>
  <c r="V59" i="1"/>
  <c r="U59" i="1"/>
  <c r="T59" i="1"/>
  <c r="W59" i="1" s="1"/>
  <c r="G21" i="1"/>
  <c r="C20" i="1"/>
  <c r="L50" i="1"/>
  <c r="W60" i="1" l="1"/>
  <c r="M34" i="1" l="1"/>
  <c r="K34" i="1"/>
  <c r="N34" i="1"/>
  <c r="L34" i="1"/>
  <c r="K50" i="1"/>
  <c r="G51" i="1"/>
  <c r="F51" i="1"/>
  <c r="E51" i="1"/>
  <c r="G50" i="1"/>
  <c r="F50" i="1"/>
  <c r="E50" i="1"/>
  <c r="E41" i="1"/>
  <c r="F41" i="1"/>
  <c r="G41" i="1"/>
  <c r="E42" i="1"/>
  <c r="H42" i="1" s="1"/>
  <c r="F42" i="1"/>
  <c r="G42" i="1"/>
  <c r="E43" i="1"/>
  <c r="F43" i="1"/>
  <c r="G43" i="1"/>
  <c r="E44" i="1"/>
  <c r="F44" i="1"/>
  <c r="G44" i="1"/>
  <c r="E45" i="1"/>
  <c r="F45" i="1"/>
  <c r="G45" i="1"/>
  <c r="G40" i="1"/>
  <c r="F40" i="1"/>
  <c r="E40" i="1"/>
  <c r="H40" i="1" s="1"/>
  <c r="E35" i="1"/>
  <c r="F35" i="1"/>
  <c r="H35" i="1" s="1"/>
  <c r="G35" i="1"/>
  <c r="E36" i="1"/>
  <c r="F36" i="1"/>
  <c r="H36" i="1" s="1"/>
  <c r="G36" i="1"/>
  <c r="E37" i="1"/>
  <c r="F37" i="1"/>
  <c r="H37" i="1" s="1"/>
  <c r="G37" i="1"/>
  <c r="F34" i="1"/>
  <c r="E34" i="1"/>
  <c r="H34" i="1" s="1"/>
  <c r="G20" i="1"/>
  <c r="C15" i="1"/>
  <c r="G34" i="1"/>
  <c r="G16" i="1"/>
  <c r="G17" i="1"/>
  <c r="G18" i="1"/>
  <c r="G19" i="1"/>
  <c r="G15" i="1"/>
  <c r="C17" i="1"/>
  <c r="C18" i="1"/>
  <c r="C16" i="1"/>
  <c r="N40" i="1" l="1"/>
  <c r="G55" i="1" s="1"/>
  <c r="D55" i="1"/>
  <c r="H44" i="1"/>
  <c r="H51" i="1"/>
  <c r="H45" i="1"/>
  <c r="H41" i="1"/>
  <c r="H43" i="1"/>
  <c r="H50" i="1"/>
  <c r="G22" i="1"/>
  <c r="K28" i="1"/>
  <c r="K29" i="1" s="1"/>
  <c r="C21" i="1"/>
  <c r="C23" i="1" l="1"/>
  <c r="C22" i="1"/>
  <c r="G29" i="1"/>
  <c r="E29" i="1"/>
  <c r="H29" i="1" s="1"/>
  <c r="C29" i="1"/>
  <c r="F29" i="1"/>
  <c r="C4" i="1" l="1"/>
  <c r="C3" i="1"/>
  <c r="C9" i="1" s="1"/>
  <c r="C10" i="1" s="1"/>
  <c r="G23" i="1" l="1"/>
  <c r="J22" i="1" s="1"/>
  <c r="J24" i="1" l="1"/>
  <c r="E28" i="1"/>
  <c r="H28" i="1" s="1"/>
  <c r="G24" i="1"/>
  <c r="J23" i="1" s="1"/>
  <c r="J21" i="1"/>
  <c r="C28" i="1" l="1"/>
  <c r="F28" i="1"/>
  <c r="G28" i="1"/>
  <c r="C27" i="1" l="1"/>
  <c r="F27" i="1"/>
  <c r="J27" i="1"/>
  <c r="I27" i="1" l="1"/>
  <c r="E27" i="1"/>
  <c r="H27" i="1" s="1"/>
  <c r="G27" i="1" l="1"/>
</calcChain>
</file>

<file path=xl/sharedStrings.xml><?xml version="1.0" encoding="utf-8"?>
<sst xmlns="http://schemas.openxmlformats.org/spreadsheetml/2006/main" count="104" uniqueCount="45">
  <si>
    <t>Sample</t>
  </si>
  <si>
    <t>n</t>
  </si>
  <si>
    <t>2ϑ</t>
  </si>
  <si>
    <t>sinϑ</t>
  </si>
  <si>
    <t>repetitions</t>
  </si>
  <si>
    <t>𝞬 (x-rays) (Angstrom)</t>
  </si>
  <si>
    <t>001 Peak</t>
  </si>
  <si>
    <t>002 Peak</t>
  </si>
  <si>
    <t>thickness</t>
  </si>
  <si>
    <t>mean values</t>
  </si>
  <si>
    <t xml:space="preserve">slope </t>
  </si>
  <si>
    <t xml:space="preserve">ƛ </t>
  </si>
  <si>
    <t xml:space="preserve">uc </t>
  </si>
  <si>
    <t xml:space="preserve">c </t>
  </si>
  <si>
    <t>uc</t>
  </si>
  <si>
    <t>ƛ (mean)</t>
  </si>
  <si>
    <t>time</t>
  </si>
  <si>
    <t># uc</t>
  </si>
  <si>
    <t>thickness (uc)</t>
  </si>
  <si>
    <t>expected c</t>
  </si>
  <si>
    <t>average c</t>
  </si>
  <si>
    <t>(10,8)*6</t>
  </si>
  <si>
    <t>thickness (A)</t>
  </si>
  <si>
    <t>(19,8)*4</t>
  </si>
  <si>
    <t xml:space="preserve">SCO #uc </t>
  </si>
  <si>
    <t xml:space="preserve">LCO #uc </t>
  </si>
  <si>
    <t>(12,8)*5</t>
  </si>
  <si>
    <t>2𝛝 (deg)</t>
  </si>
  <si>
    <t>∆_2𝛝</t>
  </si>
  <si>
    <t>𝛝 (deg)</t>
  </si>
  <si>
    <t>∆_𝛝</t>
  </si>
  <si>
    <t>sin(𝛝) (rad)</t>
  </si>
  <si>
    <t>∆_sin𝛝</t>
  </si>
  <si>
    <t>PEAK 001</t>
  </si>
  <si>
    <t>PEAK 002</t>
  </si>
  <si>
    <t>slope</t>
  </si>
  <si>
    <t>delta_slope</t>
  </si>
  <si>
    <t>Slopes with error bars</t>
  </si>
  <si>
    <t xml:space="preserve">∆ƛ </t>
  </si>
  <si>
    <t>∆uc</t>
  </si>
  <si>
    <t>c</t>
  </si>
  <si>
    <t>∆c</t>
  </si>
  <si>
    <t>Mean values</t>
  </si>
  <si>
    <t>peak positions 2theta (deg)</t>
  </si>
  <si>
    <t> 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</si>
</sst>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Helvetica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B1E7"/>
        <bgColor indexed="64"/>
      </patternFill>
    </fill>
    <fill>
      <patternFill patternType="solid">
        <fgColor rgb="FFCD7D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2" fillId="0" borderId="0" xfId="0" applyFont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11" borderId="0" xfId="0" applyFont="1" applyFill="1"/>
    <xf numFmtId="0" fontId="2" fillId="11" borderId="0" xfId="0" applyFont="1" applyFill="1"/>
    <xf numFmtId="0" fontId="7" fillId="0" borderId="0" xfId="0" applyFont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002</a:t>
            </a:r>
          </a:p>
        </c:rich>
      </c:tx>
      <c:layout>
        <c:manualLayout>
          <c:xMode val="edge"/>
          <c:yMode val="edge"/>
          <c:x val="0.3815415573053368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Tabelle1!$G$40:$G$44</c:f>
              <c:numCache>
                <c:formatCode>General</c:formatCode>
                <c:ptCount val="5"/>
                <c:pt idx="0">
                  <c:v>0.37099427715279154</c:v>
                </c:pt>
                <c:pt idx="1">
                  <c:v>0.37910249158553228</c:v>
                </c:pt>
                <c:pt idx="2">
                  <c:v>0.38401493773431478</c:v>
                </c:pt>
                <c:pt idx="3">
                  <c:v>0.38918022142837044</c:v>
                </c:pt>
                <c:pt idx="4">
                  <c:v>0.39546535149015372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064E-A11E-80FBF8C5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93152"/>
        <c:axId val="1365865648"/>
      </c:scatterChart>
      <c:valAx>
        <c:axId val="1375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865648"/>
        <c:crosses val="autoZero"/>
        <c:crossBetween val="midCat"/>
      </c:valAx>
      <c:valAx>
        <c:axId val="13658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5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Tabelle1!$H$34:$H$37</c:f>
                <c:numCache>
                  <c:formatCode>General</c:formatCode>
                  <c:ptCount val="4"/>
                  <c:pt idx="0">
                    <c:v>6.9412593029525172E-3</c:v>
                  </c:pt>
                  <c:pt idx="1">
                    <c:v>2.9472666804387913E-3</c:v>
                  </c:pt>
                  <c:pt idx="2">
                    <c:v>2.2082024582449592E-3</c:v>
                  </c:pt>
                  <c:pt idx="3">
                    <c:v>9.8012342404681292E-4</c:v>
                  </c:pt>
                </c:numCache>
              </c:numRef>
            </c:plus>
            <c:minus>
              <c:numRef>
                <c:f>Tabelle1!$H$34:$H$37</c:f>
                <c:numCache>
                  <c:formatCode>General</c:formatCode>
                  <c:ptCount val="4"/>
                  <c:pt idx="0">
                    <c:v>6.9412593029525172E-3</c:v>
                  </c:pt>
                  <c:pt idx="1">
                    <c:v>2.9472666804387913E-3</c:v>
                  </c:pt>
                  <c:pt idx="2">
                    <c:v>2.2082024582449592E-3</c:v>
                  </c:pt>
                  <c:pt idx="3">
                    <c:v>9.8012342404681292E-4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Tabelle1!$B$34:$B$37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Tabelle1!$G$34:$G$37</c:f>
              <c:numCache>
                <c:formatCode>General</c:formatCode>
                <c:ptCount val="4"/>
                <c:pt idx="0">
                  <c:v>0.1749586190154433</c:v>
                </c:pt>
                <c:pt idx="1">
                  <c:v>0.18667235538215948</c:v>
                </c:pt>
                <c:pt idx="2">
                  <c:v>0.19185483370245351</c:v>
                </c:pt>
                <c:pt idx="3">
                  <c:v>0.19838869331378636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E-2549-8231-01AA6092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56415"/>
        <c:axId val="637342207"/>
      </c:scatterChart>
      <c:valAx>
        <c:axId val="6367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342207"/>
        <c:crosses val="autoZero"/>
        <c:crossBetween val="midCat"/>
      </c:valAx>
      <c:valAx>
        <c:axId val="6373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75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Tabelle1!$Q$59:$Q$63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Tabelle1!$V$59:$V$63</c:f>
              <c:numCache>
                <c:formatCode>General</c:formatCode>
                <c:ptCount val="5"/>
                <c:pt idx="0">
                  <c:v>0.18665006488085814</c:v>
                </c:pt>
                <c:pt idx="1">
                  <c:v>0.19146427576750227</c:v>
                </c:pt>
                <c:pt idx="2">
                  <c:v>0.19831171398826997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5-1543-99EE-C8AAD3D0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27791"/>
        <c:axId val="807083071"/>
      </c:scatterChart>
      <c:valAx>
        <c:axId val="7717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083071"/>
        <c:crosses val="autoZero"/>
        <c:crossBetween val="midCat"/>
      </c:valAx>
      <c:valAx>
        <c:axId val="8070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72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800100</xdr:colOff>
      <xdr:row>7</xdr:row>
      <xdr:rowOff>66675</xdr:rowOff>
    </xdr:from>
    <xdr:to>
      <xdr:col>33</xdr:col>
      <xdr:colOff>317500</xdr:colOff>
      <xdr:row>37</xdr:row>
      <xdr:rowOff>124217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528E330-ACD9-5A64-84E5-0D3E8A0D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8700" y="1489075"/>
          <a:ext cx="7899400" cy="6221095"/>
        </a:xfrm>
        <a:prstGeom prst="rect">
          <a:avLst/>
        </a:prstGeom>
      </xdr:spPr>
    </xdr:pic>
    <xdr:clientData/>
  </xdr:twoCellAnchor>
  <xdr:twoCellAnchor>
    <xdr:from>
      <xdr:col>24</xdr:col>
      <xdr:colOff>543242</xdr:colOff>
      <xdr:row>40</xdr:row>
      <xdr:rowOff>183499</xdr:rowOff>
    </xdr:from>
    <xdr:to>
      <xdr:col>30</xdr:col>
      <xdr:colOff>129058</xdr:colOff>
      <xdr:row>54</xdr:row>
      <xdr:rowOff>160922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29D07B7-9CD5-592B-8B7F-A0409E99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193292</xdr:colOff>
      <xdr:row>35</xdr:row>
      <xdr:rowOff>160868</xdr:rowOff>
    </xdr:from>
    <xdr:to>
      <xdr:col>21</xdr:col>
      <xdr:colOff>616625</xdr:colOff>
      <xdr:row>49</xdr:row>
      <xdr:rowOff>126822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2844718-5F71-765E-85F4-F5C17190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57727</xdr:colOff>
      <xdr:row>3</xdr:row>
      <xdr:rowOff>57727</xdr:rowOff>
    </xdr:from>
    <xdr:to>
      <xdr:col>23</xdr:col>
      <xdr:colOff>426604</xdr:colOff>
      <xdr:row>33</xdr:row>
      <xdr:rowOff>156556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C5CFE33-92C4-D57E-F588-E87306218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74318" y="663863"/>
          <a:ext cx="7772400" cy="6217920"/>
        </a:xfrm>
        <a:prstGeom prst="rect">
          <a:avLst/>
        </a:prstGeom>
      </xdr:spPr>
    </xdr:pic>
    <xdr:clientData/>
  </xdr:twoCellAnchor>
  <xdr:twoCellAnchor>
    <xdr:from>
      <xdr:col>16</xdr:col>
      <xdr:colOff>210704</xdr:colOff>
      <xdr:row>64</xdr:row>
      <xdr:rowOff>150957</xdr:rowOff>
    </xdr:from>
    <xdr:to>
      <xdr:col>21</xdr:col>
      <xdr:colOff>669636</xdr:colOff>
      <xdr:row>78</xdr:row>
      <xdr:rowOff>65521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B1376B4-4157-FE75-FBE6-B8DE346A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belladrewanowski/Documents/UZH/Masterarbeit/Analysis/XRD:XRR/Superlattices/SCO:LCO/22167/XRD_SL_analysis_2216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belladrewanowski/Documents/UZH/Masterarbeit/Analysis/XRD:XRR/Superlattices/SCO:LCO/growth_rate_SL_SL(CO)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belladrewanowski/Documents/UZH/Masterarbeit/Analysis/XRD:XRR/Superlattices/SCO:LCO/22170/XRD_SL_analysis_221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C10">
            <v>3.9190013865023037</v>
          </cell>
        </row>
        <row r="21">
          <cell r="K21">
            <v>91.748215845440797</v>
          </cell>
        </row>
        <row r="22">
          <cell r="K22">
            <v>23.411121047682453</v>
          </cell>
        </row>
        <row r="23">
          <cell r="K23">
            <v>550.48929507264484</v>
          </cell>
        </row>
        <row r="24">
          <cell r="K24">
            <v>140.46672628609471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I5">
            <v>9.5609756097560972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1">
          <cell r="J21">
            <v>137.92691390451625</v>
          </cell>
        </row>
        <row r="22">
          <cell r="J22">
            <v>34.994412597913026</v>
          </cell>
        </row>
        <row r="23">
          <cell r="J23">
            <v>551.70765561806502</v>
          </cell>
        </row>
        <row r="24">
          <cell r="J24">
            <v>139.97765039165211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A811-6E98-204A-8B69-49F1E7A0D4D1}">
  <dimension ref="A1:AC61"/>
  <sheetViews>
    <sheetView tabSelected="1" topLeftCell="A28" zoomScale="87" zoomScaleNormal="100" workbookViewId="0">
      <selection activeCell="B55" sqref="B55:G55"/>
    </sheetView>
  </sheetViews>
  <sheetFormatPr baseColWidth="10" defaultRowHeight="16" x14ac:dyDescent="0.2"/>
  <sheetData>
    <row r="1" spans="1:7" x14ac:dyDescent="0.2">
      <c r="A1" t="s">
        <v>0</v>
      </c>
      <c r="D1" t="s">
        <v>26</v>
      </c>
    </row>
    <row r="2" spans="1:7" x14ac:dyDescent="0.2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</row>
    <row r="3" spans="1:7" x14ac:dyDescent="0.2">
      <c r="A3">
        <v>1</v>
      </c>
      <c r="B3" s="9">
        <v>22.8855</v>
      </c>
      <c r="C3">
        <f>SIN(B3/2*PI()/180)</f>
        <v>0.19838869331378636</v>
      </c>
      <c r="E3">
        <v>5</v>
      </c>
      <c r="F3">
        <v>1.5406</v>
      </c>
    </row>
    <row r="4" spans="1:7" x14ac:dyDescent="0.2">
      <c r="A4">
        <v>2</v>
      </c>
      <c r="B4" s="9">
        <v>46.59</v>
      </c>
      <c r="C4">
        <f>SIN(B4/2*PI()/180)</f>
        <v>0.39546535149015372</v>
      </c>
    </row>
    <row r="5" spans="1:7" x14ac:dyDescent="0.2">
      <c r="A5">
        <v>3</v>
      </c>
    </row>
    <row r="6" spans="1:7" x14ac:dyDescent="0.2">
      <c r="A6">
        <v>4</v>
      </c>
    </row>
    <row r="7" spans="1:7" x14ac:dyDescent="0.2">
      <c r="A7">
        <v>5</v>
      </c>
    </row>
    <row r="9" spans="1:7" x14ac:dyDescent="0.2">
      <c r="A9" s="2"/>
      <c r="B9" s="2" t="s">
        <v>10</v>
      </c>
      <c r="C9" s="2">
        <f>SLOPE(C3:C4,A3:A4)</f>
        <v>0.19707665817636735</v>
      </c>
    </row>
    <row r="10" spans="1:7" x14ac:dyDescent="0.2">
      <c r="A10" s="4"/>
      <c r="B10" s="4" t="s">
        <v>13</v>
      </c>
      <c r="C10" s="4">
        <f>F3/2/C9</f>
        <v>3.9086313271592266</v>
      </c>
    </row>
    <row r="13" spans="1:7" x14ac:dyDescent="0.2">
      <c r="A13" s="3" t="s">
        <v>6</v>
      </c>
      <c r="E13" s="3" t="s">
        <v>7</v>
      </c>
    </row>
    <row r="14" spans="1:7" x14ac:dyDescent="0.2">
      <c r="A14" s="1" t="s">
        <v>1</v>
      </c>
      <c r="B14" s="1" t="s">
        <v>2</v>
      </c>
      <c r="C14" s="1" t="s">
        <v>3</v>
      </c>
      <c r="E14" s="1" t="s">
        <v>1</v>
      </c>
      <c r="F14" s="1" t="s">
        <v>2</v>
      </c>
      <c r="G14" s="1" t="s">
        <v>3</v>
      </c>
    </row>
    <row r="15" spans="1:7" x14ac:dyDescent="0.2">
      <c r="A15">
        <v>1</v>
      </c>
      <c r="B15" s="9">
        <v>20.1525</v>
      </c>
      <c r="C15">
        <f>SIN(B15/2*PI()/180)</f>
        <v>0.1749586190154433</v>
      </c>
      <c r="E15">
        <v>1</v>
      </c>
      <c r="F15" s="9">
        <v>43.553899999999999</v>
      </c>
      <c r="G15">
        <f t="shared" ref="G15:G20" si="0">SIN(F15/2*PI()/180)</f>
        <v>0.37099427715279154</v>
      </c>
    </row>
    <row r="16" spans="1:7" x14ac:dyDescent="0.2">
      <c r="A16">
        <v>2</v>
      </c>
      <c r="B16" s="9">
        <v>21.517299999999999</v>
      </c>
      <c r="C16" s="10">
        <f>SIN(B16/2*PI()/180)</f>
        <v>0.18667235538215948</v>
      </c>
      <c r="E16">
        <v>2</v>
      </c>
      <c r="F16" s="9">
        <v>44.556199999999997</v>
      </c>
      <c r="G16">
        <f t="shared" si="0"/>
        <v>0.37910249158553228</v>
      </c>
    </row>
    <row r="17" spans="1:11" x14ac:dyDescent="0.2">
      <c r="A17">
        <v>3</v>
      </c>
      <c r="B17" s="9">
        <v>22.0703</v>
      </c>
      <c r="C17" s="10">
        <f>SIN(B17/2*PI()/180)</f>
        <v>0.19141117124936952</v>
      </c>
      <c r="E17">
        <v>3</v>
      </c>
      <c r="F17" s="9">
        <v>45.165199999999999</v>
      </c>
      <c r="G17">
        <f t="shared" si="0"/>
        <v>0.38401493773431478</v>
      </c>
    </row>
    <row r="18" spans="1:11" x14ac:dyDescent="0.2">
      <c r="A18">
        <v>4</v>
      </c>
      <c r="B18" s="9">
        <v>22.8855</v>
      </c>
      <c r="C18" s="10">
        <f>SIN(B18/2*PI()/180)</f>
        <v>0.19838869331378636</v>
      </c>
      <c r="E18">
        <v>4</v>
      </c>
      <c r="F18" s="9">
        <v>45.807000000000002</v>
      </c>
      <c r="G18">
        <f t="shared" si="0"/>
        <v>0.38918022142837044</v>
      </c>
    </row>
    <row r="19" spans="1:11" x14ac:dyDescent="0.2">
      <c r="A19">
        <v>5</v>
      </c>
      <c r="E19">
        <v>5</v>
      </c>
      <c r="F19" s="9">
        <v>46.59</v>
      </c>
      <c r="G19">
        <f t="shared" si="0"/>
        <v>0.39546535149015372</v>
      </c>
    </row>
    <row r="20" spans="1:11" x14ac:dyDescent="0.2">
      <c r="A20" s="2"/>
      <c r="B20" s="2" t="s">
        <v>10</v>
      </c>
      <c r="C20" s="2">
        <f>SLOPE(C15:C18,A15:A18)</f>
        <v>7.5029038762239233E-3</v>
      </c>
      <c r="E20">
        <v>6</v>
      </c>
      <c r="F20" s="9">
        <v>48.638300000000001</v>
      </c>
      <c r="G20">
        <f t="shared" si="0"/>
        <v>0.41181895443431321</v>
      </c>
      <c r="I20" s="3" t="s">
        <v>9</v>
      </c>
    </row>
    <row r="21" spans="1:11" x14ac:dyDescent="0.2">
      <c r="A21" s="4"/>
      <c r="B21" s="4" t="s">
        <v>11</v>
      </c>
      <c r="C21" s="4">
        <f>F3/2/C20</f>
        <v>102.66691573125659</v>
      </c>
      <c r="E21" s="2"/>
      <c r="F21" s="2" t="s">
        <v>10</v>
      </c>
      <c r="G21" s="2">
        <f>SLOPE(G15:G20,E15:E20)</f>
        <v>7.3822071375865238E-3</v>
      </c>
      <c r="I21" s="7" t="s">
        <v>11</v>
      </c>
      <c r="J21" s="8">
        <f>(G22+C21)/2</f>
        <v>103.50620143970222</v>
      </c>
    </row>
    <row r="22" spans="1:11" x14ac:dyDescent="0.2">
      <c r="A22" s="5"/>
      <c r="B22" s="5" t="s">
        <v>12</v>
      </c>
      <c r="C22" s="5">
        <f>C21/C10</f>
        <v>26.266717717241033</v>
      </c>
      <c r="E22" s="4"/>
      <c r="F22" s="4" t="s">
        <v>11</v>
      </c>
      <c r="G22" s="4">
        <f>F3/2/G21</f>
        <v>104.34548714814785</v>
      </c>
      <c r="I22" s="7" t="s">
        <v>14</v>
      </c>
      <c r="J22" s="8">
        <f>(G23+C22)/2</f>
        <v>26.481443957245773</v>
      </c>
    </row>
    <row r="23" spans="1:11" x14ac:dyDescent="0.2">
      <c r="A23" s="6"/>
      <c r="B23" s="6" t="s">
        <v>8</v>
      </c>
      <c r="C23" s="6">
        <f>E3*C21</f>
        <v>513.33457865628293</v>
      </c>
      <c r="E23" s="5"/>
      <c r="F23" s="5" t="s">
        <v>12</v>
      </c>
      <c r="G23" s="5">
        <f>G22/C10</f>
        <v>26.69617019725051</v>
      </c>
      <c r="I23" s="7" t="s">
        <v>22</v>
      </c>
      <c r="J23" s="8">
        <f>(G24+C23)/2</f>
        <v>517.53100719851113</v>
      </c>
    </row>
    <row r="24" spans="1:11" x14ac:dyDescent="0.2">
      <c r="E24" s="6"/>
      <c r="F24" s="6" t="s">
        <v>8</v>
      </c>
      <c r="G24" s="6">
        <f>G22*E3</f>
        <v>521.72743574073922</v>
      </c>
      <c r="I24" s="7" t="s">
        <v>18</v>
      </c>
      <c r="J24" s="8">
        <f>J22*6</f>
        <v>158.88866374347464</v>
      </c>
    </row>
    <row r="26" spans="1:11" x14ac:dyDescent="0.2">
      <c r="C26" s="4" t="s">
        <v>15</v>
      </c>
      <c r="D26" s="4" t="s">
        <v>16</v>
      </c>
      <c r="E26" s="4" t="s">
        <v>17</v>
      </c>
      <c r="F26" s="4" t="s">
        <v>8</v>
      </c>
      <c r="G26" s="4" t="s">
        <v>18</v>
      </c>
      <c r="H26" s="4" t="s">
        <v>25</v>
      </c>
      <c r="I26" s="4" t="s">
        <v>19</v>
      </c>
      <c r="J26" s="4" t="s">
        <v>20</v>
      </c>
      <c r="K26" s="4" t="s">
        <v>24</v>
      </c>
    </row>
    <row r="27" spans="1:11" x14ac:dyDescent="0.2">
      <c r="A27" t="s">
        <v>21</v>
      </c>
      <c r="B27" s="11">
        <v>22167</v>
      </c>
      <c r="C27" s="1">
        <f>[1]Tabelle1!$K$21</f>
        <v>91.748215845440797</v>
      </c>
      <c r="D27" s="1">
        <v>100</v>
      </c>
      <c r="E27" s="1">
        <f>[1]Tabelle1!$K$22</f>
        <v>23.411121047682453</v>
      </c>
      <c r="F27" s="1">
        <f>[1]Tabelle1!$K$23</f>
        <v>550.48929507264484</v>
      </c>
      <c r="G27" s="1">
        <f>[1]Tabelle1!$K$24</f>
        <v>140.46672628609471</v>
      </c>
      <c r="H27" s="1">
        <f>E27-K27</f>
        <v>13.851121047682453</v>
      </c>
      <c r="I27" s="1">
        <f>[2]Tabelle1!$I$5</f>
        <v>9.5609756097560972</v>
      </c>
      <c r="J27" s="1">
        <f>[1]Tabelle1!$C$10</f>
        <v>3.9190013865023037</v>
      </c>
      <c r="K27" s="1">
        <v>9.56</v>
      </c>
    </row>
    <row r="28" spans="1:11" x14ac:dyDescent="0.2">
      <c r="A28" t="s">
        <v>26</v>
      </c>
      <c r="B28" s="11">
        <v>22169</v>
      </c>
      <c r="C28" s="12">
        <f>J21</f>
        <v>103.50620143970222</v>
      </c>
      <c r="D28" s="12">
        <v>120</v>
      </c>
      <c r="E28" s="12">
        <f>J22</f>
        <v>26.481443957245773</v>
      </c>
      <c r="F28" s="12">
        <f>J23</f>
        <v>517.53100719851113</v>
      </c>
      <c r="G28" s="12">
        <f>J24</f>
        <v>158.88866374347464</v>
      </c>
      <c r="H28" s="12">
        <f>E28-K28</f>
        <v>16.921443957245771</v>
      </c>
      <c r="I28" s="12"/>
      <c r="J28" s="12"/>
      <c r="K28" s="12">
        <f>K27</f>
        <v>9.56</v>
      </c>
    </row>
    <row r="29" spans="1:11" x14ac:dyDescent="0.2">
      <c r="A29" t="s">
        <v>23</v>
      </c>
      <c r="B29" s="11">
        <v>22170</v>
      </c>
      <c r="C29" s="1">
        <f>[3]Tabelle1!$J$21</f>
        <v>137.92691390451625</v>
      </c>
      <c r="D29" s="1">
        <v>190</v>
      </c>
      <c r="E29" s="1">
        <f>[3]Tabelle1!$J$22</f>
        <v>34.994412597913026</v>
      </c>
      <c r="F29" s="1">
        <f>[3]Tabelle1!$J$23</f>
        <v>551.70765561806502</v>
      </c>
      <c r="G29" s="1">
        <f>[3]Tabelle1!$J$24</f>
        <v>139.97765039165211</v>
      </c>
      <c r="H29" s="12">
        <f>E29-K29</f>
        <v>25.434412597913024</v>
      </c>
      <c r="I29" s="1"/>
      <c r="J29" s="1"/>
      <c r="K29" s="1">
        <f>K28</f>
        <v>9.56</v>
      </c>
    </row>
    <row r="31" spans="1:11" ht="21" x14ac:dyDescent="0.25">
      <c r="A31" s="18" t="s">
        <v>37</v>
      </c>
    </row>
    <row r="32" spans="1:11" x14ac:dyDescent="0.2">
      <c r="B32" t="s">
        <v>33</v>
      </c>
    </row>
    <row r="33" spans="2:26" x14ac:dyDescent="0.2">
      <c r="B33" t="s">
        <v>1</v>
      </c>
      <c r="C33" s="13" t="s">
        <v>27</v>
      </c>
      <c r="D33" s="13" t="s">
        <v>28</v>
      </c>
      <c r="E33" t="s">
        <v>29</v>
      </c>
      <c r="F33" t="s">
        <v>30</v>
      </c>
      <c r="G33" t="s">
        <v>31</v>
      </c>
      <c r="H33" t="s">
        <v>32</v>
      </c>
      <c r="I33" s="16" t="s">
        <v>35</v>
      </c>
      <c r="J33" s="16" t="s">
        <v>36</v>
      </c>
      <c r="K33" s="4" t="s">
        <v>11</v>
      </c>
      <c r="L33" s="4" t="s">
        <v>38</v>
      </c>
      <c r="M33" s="5" t="s">
        <v>12</v>
      </c>
      <c r="N33" s="2" t="s">
        <v>39</v>
      </c>
    </row>
    <row r="34" spans="2:26" x14ac:dyDescent="0.2">
      <c r="B34">
        <v>1</v>
      </c>
      <c r="C34" s="9">
        <v>20.1525</v>
      </c>
      <c r="D34" s="10">
        <v>1.41E-2</v>
      </c>
      <c r="E34">
        <f>C34/2</f>
        <v>10.07625</v>
      </c>
      <c r="F34">
        <f>D34/2</f>
        <v>7.0499999999999998E-3</v>
      </c>
      <c r="G34" s="9">
        <f>SIN(C34/2*PI()/180)</f>
        <v>0.1749586190154433</v>
      </c>
      <c r="H34">
        <f>COS(E34*PI()/180)*F34</f>
        <v>6.9412593029525172E-3</v>
      </c>
      <c r="I34" s="17">
        <v>6.46647587912533E-3</v>
      </c>
      <c r="J34" s="17">
        <v>1.21878805032184E-3</v>
      </c>
      <c r="K34" s="19">
        <f>F$3/2/I34</f>
        <v>119.12207118666196</v>
      </c>
      <c r="L34" s="19">
        <f>F$3*J34/2/I34^2</f>
        <v>22.451882540931884</v>
      </c>
      <c r="M34" s="19">
        <f>K34/K$50</f>
        <v>30.476671325132511</v>
      </c>
      <c r="N34" s="19">
        <f>SQRT(1/K$50^2*L34^2+K34^2/K$50^4*L50^2)</f>
        <v>5.7469212205170681</v>
      </c>
    </row>
    <row r="35" spans="2:26" x14ac:dyDescent="0.2">
      <c r="B35">
        <v>2</v>
      </c>
      <c r="C35" s="9">
        <v>21.517299999999999</v>
      </c>
      <c r="D35" s="10">
        <v>6.0000000000000001E-3</v>
      </c>
      <c r="E35">
        <f t="shared" ref="E35:E37" si="1">C35/2</f>
        <v>10.758649999999999</v>
      </c>
      <c r="F35">
        <f t="shared" ref="F35:F37" si="2">D35/2</f>
        <v>3.0000000000000001E-3</v>
      </c>
      <c r="G35" s="9">
        <f t="shared" ref="G35:G37" si="3">SIN(C35/2*PI()/180)</f>
        <v>0.18667235538215948</v>
      </c>
      <c r="H35">
        <f t="shared" ref="H35:H37" si="4">COS(E35*PI()/180)*F35</f>
        <v>2.9472666804387913E-3</v>
      </c>
    </row>
    <row r="36" spans="2:26" x14ac:dyDescent="0.2">
      <c r="B36">
        <v>3</v>
      </c>
      <c r="C36" s="9">
        <v>22.1221</v>
      </c>
      <c r="D36" s="10">
        <v>4.4999999999999997E-3</v>
      </c>
      <c r="E36">
        <f t="shared" si="1"/>
        <v>11.06105</v>
      </c>
      <c r="F36">
        <f t="shared" si="2"/>
        <v>2.2499999999999998E-3</v>
      </c>
      <c r="G36" s="9">
        <f t="shared" si="3"/>
        <v>0.19185483370245351</v>
      </c>
      <c r="H36">
        <f t="shared" si="4"/>
        <v>2.2082024582449592E-3</v>
      </c>
    </row>
    <row r="37" spans="2:26" x14ac:dyDescent="0.2">
      <c r="B37">
        <v>4</v>
      </c>
      <c r="C37" s="9">
        <v>22.8855</v>
      </c>
      <c r="D37" s="10">
        <v>2E-3</v>
      </c>
      <c r="E37">
        <f t="shared" si="1"/>
        <v>11.44275</v>
      </c>
      <c r="F37">
        <f t="shared" si="2"/>
        <v>1E-3</v>
      </c>
      <c r="G37" s="9">
        <f t="shared" si="3"/>
        <v>0.19838869331378636</v>
      </c>
      <c r="H37">
        <f t="shared" si="4"/>
        <v>9.8012342404681292E-4</v>
      </c>
    </row>
    <row r="38" spans="2:26" x14ac:dyDescent="0.2">
      <c r="Z38" t="s">
        <v>34</v>
      </c>
    </row>
    <row r="39" spans="2:26" x14ac:dyDescent="0.2">
      <c r="B39" s="14" t="s">
        <v>1</v>
      </c>
      <c r="C39" s="15" t="s">
        <v>27</v>
      </c>
      <c r="D39" s="15" t="s">
        <v>28</v>
      </c>
      <c r="E39" s="14" t="s">
        <v>29</v>
      </c>
      <c r="F39" s="14" t="s">
        <v>30</v>
      </c>
      <c r="G39" s="14" t="s">
        <v>31</v>
      </c>
      <c r="H39" s="14" t="s">
        <v>32</v>
      </c>
      <c r="I39" s="17" t="s">
        <v>35</v>
      </c>
      <c r="J39" s="17" t="s">
        <v>36</v>
      </c>
      <c r="K39" s="4" t="s">
        <v>11</v>
      </c>
      <c r="L39" s="4" t="s">
        <v>38</v>
      </c>
      <c r="M39" s="5" t="s">
        <v>12</v>
      </c>
      <c r="N39" s="2" t="s">
        <v>39</v>
      </c>
    </row>
    <row r="40" spans="2:26" x14ac:dyDescent="0.2">
      <c r="B40">
        <v>1</v>
      </c>
      <c r="C40" s="9">
        <v>43.553899999999999</v>
      </c>
      <c r="D40" s="10">
        <v>2.0299999999999999E-2</v>
      </c>
      <c r="E40">
        <f>C40/2</f>
        <v>21.776949999999999</v>
      </c>
      <c r="F40">
        <f>D40/2</f>
        <v>1.0149999999999999E-2</v>
      </c>
      <c r="G40" s="9">
        <f>SIN(C40/2*PI()/180)</f>
        <v>0.37099427715279154</v>
      </c>
      <c r="H40">
        <f>COS(E40*PI()/180)*F40</f>
        <v>9.4256467971163445E-3</v>
      </c>
      <c r="I40" s="17">
        <v>5.8856386592869101E-3</v>
      </c>
      <c r="J40" s="17">
        <v>5.4420037393381002E-4</v>
      </c>
      <c r="K40" s="19">
        <f>F$3/2/I40</f>
        <v>130.87789526197784</v>
      </c>
      <c r="L40" s="19">
        <f>F$3*J40/2/I40^2</f>
        <v>12.101286481264836</v>
      </c>
      <c r="M40" s="19">
        <f>K40/K$50</f>
        <v>33.484328788862022</v>
      </c>
      <c r="N40" s="19">
        <f>SQRT(1/K$50^2*L40^2+K40^2/K$50^4*L56^2)</f>
        <v>3.0960419595363189</v>
      </c>
    </row>
    <row r="41" spans="2:26" x14ac:dyDescent="0.2">
      <c r="B41">
        <v>2</v>
      </c>
      <c r="C41" s="9">
        <v>44.556199999999997</v>
      </c>
      <c r="D41" s="10">
        <v>4.9799999999999997E-2</v>
      </c>
      <c r="E41">
        <f t="shared" ref="E41:E45" si="5">C41/2</f>
        <v>22.278099999999998</v>
      </c>
      <c r="F41">
        <f t="shared" ref="F41:F45" si="6">D41/2</f>
        <v>2.4899999999999999E-2</v>
      </c>
      <c r="G41" s="9">
        <f t="shared" ref="G41:G45" si="7">SIN(C41/2*PI()/180)</f>
        <v>0.37910249158553228</v>
      </c>
      <c r="H41">
        <f t="shared" ref="H41:H45" si="8">COS(E41*PI()/180)*F41</f>
        <v>2.3041331761742122E-2</v>
      </c>
      <c r="I41" s="10">
        <v>5.8578153832556396E-3</v>
      </c>
      <c r="J41" s="10">
        <v>5.4542293194486497E-4</v>
      </c>
    </row>
    <row r="42" spans="2:26" x14ac:dyDescent="0.2">
      <c r="B42">
        <v>3</v>
      </c>
      <c r="C42" s="9">
        <v>45.165199999999999</v>
      </c>
      <c r="D42" s="10">
        <v>2.2000000000000001E-3</v>
      </c>
      <c r="E42">
        <f t="shared" si="5"/>
        <v>22.582599999999999</v>
      </c>
      <c r="F42">
        <f t="shared" si="6"/>
        <v>1.1000000000000001E-3</v>
      </c>
      <c r="G42" s="9">
        <f t="shared" si="7"/>
        <v>0.38401493773431478</v>
      </c>
      <c r="H42">
        <f t="shared" si="8"/>
        <v>1.0156595681586728E-3</v>
      </c>
    </row>
    <row r="43" spans="2:26" x14ac:dyDescent="0.2">
      <c r="B43">
        <v>4</v>
      </c>
      <c r="C43" s="9">
        <v>45.807000000000002</v>
      </c>
      <c r="D43" s="10">
        <v>1.4E-3</v>
      </c>
      <c r="E43">
        <f t="shared" si="5"/>
        <v>22.903500000000001</v>
      </c>
      <c r="F43">
        <f t="shared" si="6"/>
        <v>6.9999999999999999E-4</v>
      </c>
      <c r="G43" s="9">
        <f t="shared" si="7"/>
        <v>0.38918022142837044</v>
      </c>
      <c r="H43">
        <f t="shared" si="8"/>
        <v>6.4481314353228918E-4</v>
      </c>
      <c r="R43" s="9"/>
      <c r="S43" s="10"/>
    </row>
    <row r="44" spans="2:26" x14ac:dyDescent="0.2">
      <c r="B44">
        <v>5</v>
      </c>
      <c r="C44" s="9">
        <v>46.59</v>
      </c>
      <c r="D44" s="10">
        <v>1.2999999999999999E-3</v>
      </c>
      <c r="E44">
        <f t="shared" si="5"/>
        <v>23.295000000000002</v>
      </c>
      <c r="F44">
        <f t="shared" si="6"/>
        <v>6.4999999999999997E-4</v>
      </c>
      <c r="G44" s="9">
        <f t="shared" si="7"/>
        <v>0.39546535149015372</v>
      </c>
      <c r="H44">
        <f t="shared" si="8"/>
        <v>5.97012582206732E-4</v>
      </c>
    </row>
    <row r="45" spans="2:26" x14ac:dyDescent="0.2">
      <c r="B45">
        <v>6</v>
      </c>
      <c r="C45" s="9">
        <v>48.638300000000001</v>
      </c>
      <c r="D45" s="10">
        <v>3.0499999999999999E-2</v>
      </c>
      <c r="E45">
        <f t="shared" si="5"/>
        <v>24.31915</v>
      </c>
      <c r="F45">
        <f t="shared" si="6"/>
        <v>1.525E-2</v>
      </c>
      <c r="G45" s="9">
        <f t="shared" si="7"/>
        <v>0.41181895443431321</v>
      </c>
      <c r="H45">
        <f t="shared" si="8"/>
        <v>1.3896801697171344E-2</v>
      </c>
    </row>
    <row r="49" spans="1:29" x14ac:dyDescent="0.2">
      <c r="B49" t="s">
        <v>1</v>
      </c>
      <c r="C49" s="13" t="s">
        <v>27</v>
      </c>
      <c r="D49" s="13" t="s">
        <v>28</v>
      </c>
      <c r="E49" t="s">
        <v>29</v>
      </c>
      <c r="F49" t="s">
        <v>30</v>
      </c>
      <c r="G49" t="s">
        <v>31</v>
      </c>
      <c r="H49" t="s">
        <v>32</v>
      </c>
      <c r="I49" s="16" t="s">
        <v>35</v>
      </c>
      <c r="J49" s="16" t="s">
        <v>36</v>
      </c>
      <c r="K49" s="4" t="s">
        <v>40</v>
      </c>
      <c r="L49" s="4" t="s">
        <v>41</v>
      </c>
    </row>
    <row r="50" spans="1:29" x14ac:dyDescent="0.2">
      <c r="B50">
        <v>1</v>
      </c>
      <c r="C50" s="9">
        <v>22.8855</v>
      </c>
      <c r="D50" s="10">
        <v>2E-3</v>
      </c>
      <c r="E50">
        <f t="shared" ref="E50" si="9">C50/2</f>
        <v>11.44275</v>
      </c>
      <c r="F50">
        <f t="shared" ref="F50" si="10">D50/2</f>
        <v>1E-3</v>
      </c>
      <c r="G50" s="9">
        <f t="shared" ref="G50" si="11">SIN(C50/2*PI()/180)</f>
        <v>0.19838869331378636</v>
      </c>
      <c r="H50">
        <f t="shared" ref="H50" si="12">COS(E50*PI()/180)*F50</f>
        <v>9.8012342404681292E-4</v>
      </c>
      <c r="I50" s="17">
        <v>0.19707665999999999</v>
      </c>
      <c r="J50" s="17">
        <v>1.14763348954704E-3</v>
      </c>
      <c r="K50" s="19">
        <f>F3/2/I50</f>
        <v>3.9086312909910288</v>
      </c>
      <c r="L50" s="19">
        <f>F3/2/I50^2*J50</f>
        <v>2.2761072609170391E-2</v>
      </c>
    </row>
    <row r="51" spans="1:29" x14ac:dyDescent="0.2">
      <c r="B51" s="9">
        <v>2</v>
      </c>
      <c r="C51" s="9">
        <v>46.59</v>
      </c>
      <c r="D51" s="10">
        <v>1.2999999999999999E-3</v>
      </c>
      <c r="E51">
        <f t="shared" ref="E51" si="13">C51/2</f>
        <v>23.295000000000002</v>
      </c>
      <c r="F51">
        <f t="shared" ref="F51" si="14">D51/2</f>
        <v>6.4999999999999997E-4</v>
      </c>
      <c r="G51" s="9">
        <f t="shared" ref="G51" si="15">SIN(C51/2*PI()/180)</f>
        <v>0.39546535149015372</v>
      </c>
      <c r="H51">
        <f t="shared" ref="H51" si="16">COS(E51*PI()/180)*F51</f>
        <v>5.97012582206732E-4</v>
      </c>
    </row>
    <row r="52" spans="1:29" x14ac:dyDescent="0.2">
      <c r="S52" s="9" t="s">
        <v>43</v>
      </c>
      <c r="T52" s="9" t="s">
        <v>44</v>
      </c>
    </row>
    <row r="53" spans="1:29" ht="21" x14ac:dyDescent="0.25">
      <c r="A53" s="18" t="s">
        <v>42</v>
      </c>
      <c r="S53" s="9">
        <v>20.137799999999999</v>
      </c>
      <c r="T53" s="10">
        <v>1.6E-2</v>
      </c>
    </row>
    <row r="54" spans="1:29" x14ac:dyDescent="0.2">
      <c r="B54" s="20" t="s">
        <v>40</v>
      </c>
      <c r="C54" s="21" t="s">
        <v>41</v>
      </c>
      <c r="D54" s="21" t="s">
        <v>11</v>
      </c>
      <c r="E54" s="21" t="s">
        <v>38</v>
      </c>
      <c r="F54" s="21" t="s">
        <v>12</v>
      </c>
      <c r="G54" s="21" t="s">
        <v>39</v>
      </c>
      <c r="S54" s="9">
        <v>21.514700000000001</v>
      </c>
      <c r="T54" s="10">
        <v>7.4000000000000003E-3</v>
      </c>
    </row>
    <row r="55" spans="1:29" x14ac:dyDescent="0.2">
      <c r="A55">
        <v>22169</v>
      </c>
      <c r="B55" s="22">
        <v>3.9086312909910288</v>
      </c>
      <c r="C55" s="22">
        <v>2.2761072609170391E-2</v>
      </c>
      <c r="D55" s="22">
        <f>AVERAGE(K34,K40)</f>
        <v>124.99998322431989</v>
      </c>
      <c r="E55" s="22">
        <f>0.5*SQRT(L40^2+L34^2)</f>
        <v>12.752726807760027</v>
      </c>
      <c r="F55" s="22">
        <f>AVERAGE(M34,M40)</f>
        <v>31.980500056997265</v>
      </c>
      <c r="G55" s="22">
        <f>0.5*SQRT(N34^2+N40^2)</f>
        <v>3.2639155676134943</v>
      </c>
      <c r="S55" s="9">
        <v>22.076499999999999</v>
      </c>
      <c r="T55" s="10">
        <v>1.6999999999999999E-3</v>
      </c>
    </row>
    <row r="56" spans="1:29" x14ac:dyDescent="0.2">
      <c r="S56" s="9">
        <v>22.8765</v>
      </c>
      <c r="T56" s="10">
        <v>1.5E-3</v>
      </c>
    </row>
    <row r="57" spans="1:29" x14ac:dyDescent="0.2">
      <c r="B57">
        <v>3.9086312909910288</v>
      </c>
      <c r="C57">
        <v>2.2761072609170391E-2</v>
      </c>
      <c r="D57">
        <v>124.99998322431989</v>
      </c>
      <c r="E57">
        <v>12.752726807760027</v>
      </c>
      <c r="F57">
        <v>31.980500056997265</v>
      </c>
      <c r="G57">
        <v>3.2639155676134943</v>
      </c>
    </row>
    <row r="58" spans="1:29" x14ac:dyDescent="0.2">
      <c r="Q58" t="s">
        <v>1</v>
      </c>
      <c r="R58" s="13" t="s">
        <v>27</v>
      </c>
      <c r="S58" s="13" t="s">
        <v>28</v>
      </c>
      <c r="T58" t="s">
        <v>29</v>
      </c>
      <c r="U58" t="s">
        <v>30</v>
      </c>
      <c r="V58" t="s">
        <v>31</v>
      </c>
      <c r="W58" t="s">
        <v>32</v>
      </c>
      <c r="X58" s="16" t="s">
        <v>35</v>
      </c>
      <c r="Y58" s="16" t="s">
        <v>36</v>
      </c>
      <c r="Z58" s="4" t="s">
        <v>11</v>
      </c>
      <c r="AA58" s="4" t="s">
        <v>38</v>
      </c>
      <c r="AB58" s="5" t="s">
        <v>12</v>
      </c>
      <c r="AC58" s="2" t="s">
        <v>39</v>
      </c>
    </row>
    <row r="59" spans="1:29" x14ac:dyDescent="0.2">
      <c r="Q59">
        <v>1</v>
      </c>
      <c r="R59" s="9">
        <v>21.514700000000001</v>
      </c>
      <c r="S59" s="10">
        <v>6.0000000000000001E-3</v>
      </c>
      <c r="T59">
        <f t="shared" ref="T59:T61" si="17">R59/2</f>
        <v>10.757350000000001</v>
      </c>
      <c r="U59">
        <f t="shared" ref="U59:U61" si="18">S59/2</f>
        <v>3.0000000000000001E-3</v>
      </c>
      <c r="V59" s="9">
        <f t="shared" ref="V59:V61" si="19">SIN(R59/2*PI()/180)</f>
        <v>0.18665006488085814</v>
      </c>
      <c r="W59">
        <f t="shared" ref="W59:W61" si="20">COS(T59*PI()/180)*U59</f>
        <v>2.9472793860643312E-3</v>
      </c>
      <c r="X59" s="10">
        <v>6.1002177839335802E-3</v>
      </c>
      <c r="Y59" s="10">
        <v>1.37839202179936E-3</v>
      </c>
      <c r="Z59" s="19">
        <f>F$3/2/X59</f>
        <v>126.27418024792065</v>
      </c>
      <c r="AA59" s="19">
        <f>F$3*Y59/2/X59^2</f>
        <v>28.532640764302798</v>
      </c>
      <c r="AB59" s="19">
        <f>Z59/K$50</f>
        <v>32.306495764634782</v>
      </c>
      <c r="AC59" s="19">
        <f>SQRT(1/K$50^2*AA59^2+Z59^2/K$50^4*L50^2)</f>
        <v>7.3023297342316829</v>
      </c>
    </row>
    <row r="60" spans="1:29" x14ac:dyDescent="0.2">
      <c r="Q60">
        <v>2</v>
      </c>
      <c r="R60" s="9">
        <v>22.076499999999999</v>
      </c>
      <c r="S60" s="10">
        <v>4.4999999999999997E-3</v>
      </c>
      <c r="T60">
        <f t="shared" si="17"/>
        <v>11.03825</v>
      </c>
      <c r="U60">
        <f t="shared" si="18"/>
        <v>2.2499999999999998E-3</v>
      </c>
      <c r="V60" s="9">
        <f t="shared" si="19"/>
        <v>0.19146427576750227</v>
      </c>
      <c r="W60">
        <f t="shared" si="20"/>
        <v>2.2083740613782306E-3</v>
      </c>
    </row>
    <row r="61" spans="1:29" x14ac:dyDescent="0.2">
      <c r="Q61">
        <v>3</v>
      </c>
      <c r="R61" s="9">
        <v>22.8765</v>
      </c>
      <c r="S61" s="10">
        <v>2E-3</v>
      </c>
      <c r="T61">
        <f t="shared" si="17"/>
        <v>11.43825</v>
      </c>
      <c r="U61">
        <f t="shared" si="18"/>
        <v>1E-3</v>
      </c>
      <c r="V61" s="9">
        <f t="shared" si="19"/>
        <v>0.19831171398826997</v>
      </c>
      <c r="W61">
        <f t="shared" si="20"/>
        <v>9.8013900243538662E-4</v>
      </c>
    </row>
  </sheetData>
  <sortState xmlns:xlrd2="http://schemas.microsoft.com/office/spreadsheetml/2017/richdata2" ref="B15:B18">
    <sortCondition ref="B15:B18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2022-06-29T10:49:30Z</dcterms:created>
  <dcterms:modified xsi:type="dcterms:W3CDTF">2023-01-16T21:04:00Z</dcterms:modified>
</cp:coreProperties>
</file>