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ladrewanowski/Documents/UZH/Masterarbeit/Analysis/XRD:XRR/Superlattices/SCO:LCO/"/>
    </mc:Choice>
  </mc:AlternateContent>
  <xr:revisionPtr revIDLastSave="0" documentId="13_ncr:1_{FF5678ED-B216-A14A-BF34-BAC6C08168BB}" xr6:coauthVersionLast="47" xr6:coauthVersionMax="47" xr10:uidLastSave="{00000000-0000-0000-0000-000000000000}"/>
  <bookViews>
    <workbookView xWindow="780" yWindow="460" windowWidth="25600" windowHeight="15540" xr2:uid="{25DBB1CA-D15D-8940-9D05-275045E581AF}"/>
  </bookViews>
  <sheets>
    <sheet name="Tabelle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I34" i="1"/>
  <c r="I33" i="1"/>
  <c r="T6" i="1" l="1"/>
  <c r="T7" i="1"/>
  <c r="S6" i="1"/>
  <c r="S7" i="1"/>
  <c r="D8" i="1"/>
  <c r="G5" i="1"/>
  <c r="I30" i="1" l="1"/>
  <c r="I29" i="1"/>
  <c r="E13" i="1"/>
  <c r="C13" i="1"/>
  <c r="F20" i="1" s="1"/>
  <c r="C12" i="1"/>
  <c r="F18" i="1" s="1"/>
  <c r="E12" i="1"/>
  <c r="G13" i="1" l="1"/>
  <c r="F13" i="1"/>
  <c r="G11" i="1"/>
  <c r="F11" i="1"/>
  <c r="E11" i="1"/>
  <c r="C11" i="1"/>
  <c r="K16" i="1"/>
  <c r="K17" i="1"/>
  <c r="K18" i="1"/>
  <c r="K19" i="1"/>
  <c r="K20" i="1"/>
  <c r="G17" i="1"/>
  <c r="G18" i="1"/>
  <c r="G19" i="1"/>
  <c r="G20" i="1"/>
  <c r="G16" i="1"/>
  <c r="J19" i="1"/>
  <c r="J17" i="1"/>
  <c r="J16" i="1"/>
  <c r="L7" i="1"/>
  <c r="G7" i="1"/>
  <c r="F7" i="1"/>
  <c r="E7" i="1"/>
  <c r="D7" i="1"/>
  <c r="C7" i="1"/>
  <c r="F17" i="1" s="1"/>
  <c r="L6" i="1"/>
  <c r="D6" i="1"/>
  <c r="C6" i="1"/>
  <c r="F16" i="1" s="1"/>
  <c r="D5" i="1"/>
  <c r="D12" i="1" l="1"/>
  <c r="S5" i="1"/>
  <c r="T5" i="1" s="1"/>
  <c r="D13" i="1"/>
  <c r="D11" i="1"/>
  <c r="F6" i="1"/>
  <c r="G6" i="1"/>
  <c r="I6" i="1"/>
  <c r="I5" i="1"/>
  <c r="J12" i="1" s="1"/>
  <c r="I7" i="1"/>
  <c r="J7" i="1" s="1"/>
  <c r="K7" i="1" s="1"/>
  <c r="J11" i="1" l="1"/>
  <c r="I11" i="1"/>
  <c r="K11" i="1" s="1"/>
  <c r="T11" i="1"/>
  <c r="H11" i="1"/>
  <c r="I13" i="1"/>
  <c r="K13" i="1" s="1"/>
  <c r="T13" i="1"/>
  <c r="H13" i="1"/>
  <c r="T12" i="1"/>
  <c r="I12" i="1"/>
  <c r="K12" i="1" s="1"/>
  <c r="H12" i="1"/>
  <c r="E6" i="1"/>
  <c r="J6" i="1" s="1"/>
  <c r="K6" i="1" s="1"/>
  <c r="J13" i="1"/>
  <c r="C5" i="1" l="1"/>
  <c r="F19" i="1" s="1"/>
  <c r="F5" i="1"/>
  <c r="L5" i="1"/>
  <c r="E5" i="1" l="1"/>
  <c r="J5" i="1" l="1"/>
  <c r="K5" i="1" s="1"/>
  <c r="G12" i="1" l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tc={3BDA2127-EBE8-1048-B446-ADB0951F65B9}</author>
  </authors>
  <commentList>
    <comment ref="A8" authorId="0" shapeId="0" xr:uid="{3BDA2127-EBE8-1048-B446-ADB0951F65B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This row is not within the same measurement set… this is to check growth calibration
</t>
      </text>
    </comment>
  </commentList>
</comments>
</file>

<file path=xl/sharedStrings.xml><?xml version="1.0" encoding="utf-8"?>
<sst xmlns="http://schemas.openxmlformats.org/spreadsheetml/2006/main" count="81" uniqueCount="49">
  <si>
    <t>Growth rates</t>
  </si>
  <si>
    <t>SCO growth rate</t>
  </si>
  <si>
    <t>ƛ (mean)</t>
  </si>
  <si>
    <t>time</t>
  </si>
  <si>
    <t># uc</t>
  </si>
  <si>
    <t>thickness</t>
  </si>
  <si>
    <t>thickness (uc)</t>
  </si>
  <si>
    <t>expected c</t>
  </si>
  <si>
    <t>average c</t>
  </si>
  <si>
    <t>10,8</t>
  </si>
  <si>
    <t>10,12</t>
  </si>
  <si>
    <t>10,17</t>
  </si>
  <si>
    <t>LCO</t>
  </si>
  <si>
    <t>SCO</t>
  </si>
  <si>
    <t>repetitions</t>
  </si>
  <si>
    <t>LCO growth rate</t>
  </si>
  <si>
    <t>ƛ measured (uc)</t>
  </si>
  <si>
    <t>ƛ expected (uc)</t>
  </si>
  <si>
    <t>c-axis expected</t>
  </si>
  <si>
    <t>thickness expected (uc)</t>
  </si>
  <si>
    <t>LCO (uc)</t>
  </si>
  <si>
    <t>time (s)</t>
  </si>
  <si>
    <t>12,8</t>
  </si>
  <si>
    <t>19,8</t>
  </si>
  <si>
    <t>LCO (uc) (SCO growth rate)</t>
  </si>
  <si>
    <t>LCO (uc) (LCO growth rate)</t>
  </si>
  <si>
    <t>(sec/A)</t>
  </si>
  <si>
    <t>growth rate</t>
  </si>
  <si>
    <t>(sec/uc)</t>
  </si>
  <si>
    <t>LCO (A) (LCO growth rate)</t>
  </si>
  <si>
    <t>SCO (uc) (SCO growth rate)</t>
  </si>
  <si>
    <t>SCO (A) (SCO growth rate)</t>
  </si>
  <si>
    <t>SCO (uc)</t>
  </si>
  <si>
    <t>aimed</t>
  </si>
  <si>
    <t>sputtering time for 10 uc</t>
  </si>
  <si>
    <t xml:space="preserve">ƛ </t>
  </si>
  <si>
    <t xml:space="preserve">∆ƛ </t>
  </si>
  <si>
    <t xml:space="preserve">uc </t>
  </si>
  <si>
    <t>∆uc</t>
  </si>
  <si>
    <t>SLOPE ERROR CALC</t>
  </si>
  <si>
    <t>c</t>
  </si>
  <si>
    <t>∆c</t>
  </si>
  <si>
    <t>with ERROR CALC</t>
  </si>
  <si>
    <t>10,10</t>
  </si>
  <si>
    <t>using error calc</t>
  </si>
  <si>
    <t>calc uc (SCO)</t>
  </si>
  <si>
    <t>calc uc (LCO)</t>
  </si>
  <si>
    <t>sputtering time for 18 uc</t>
  </si>
  <si>
    <t>sputtering time for5uc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</si>
</sst>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7D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4" borderId="0" xfId="0" applyFill="1"/>
    <xf numFmtId="2" fontId="0" fillId="0" borderId="0" xfId="0" applyNumberFormat="1"/>
    <xf numFmtId="2" fontId="0" fillId="3" borderId="0" xfId="0" applyNumberFormat="1" applyFill="1"/>
    <xf numFmtId="2" fontId="0" fillId="5" borderId="0" xfId="0" applyNumberFormat="1" applyFill="1"/>
    <xf numFmtId="2" fontId="0" fillId="2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D7D7A"/>
      <color rgb="FF8A93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16</xdr:row>
      <xdr:rowOff>38100</xdr:rowOff>
    </xdr:from>
    <xdr:to>
      <xdr:col>20</xdr:col>
      <xdr:colOff>150050</xdr:colOff>
      <xdr:row>35</xdr:row>
      <xdr:rowOff>177800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F5D903DC-2D1D-B70D-E6D2-C15746D7C93A}"/>
            </a:ext>
          </a:extLst>
        </xdr:cNvPr>
        <xdr:cNvGrpSpPr/>
      </xdr:nvGrpSpPr>
      <xdr:grpSpPr>
        <a:xfrm>
          <a:off x="15887700" y="3390900"/>
          <a:ext cx="5877750" cy="4000500"/>
          <a:chOff x="8915400" y="2616200"/>
          <a:chExt cx="5776150" cy="4000500"/>
        </a:xfrm>
      </xdr:grpSpPr>
      <xdr:pic>
        <xdr:nvPicPr>
          <xdr:cNvPr id="2" name="Grafik 1">
            <a:extLst>
              <a:ext uri="{FF2B5EF4-FFF2-40B4-BE49-F238E27FC236}">
                <a16:creationId xmlns:a16="http://schemas.microsoft.com/office/drawing/2014/main" id="{4EA0DE78-64D9-B243-161E-4784FA6CB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915400" y="2616200"/>
            <a:ext cx="5776150" cy="4000500"/>
          </a:xfrm>
          <a:prstGeom prst="rect">
            <a:avLst/>
          </a:prstGeom>
        </xdr:spPr>
      </xdr:pic>
      <xdr:sp macro="" textlink="">
        <xdr:nvSpPr>
          <xdr:cNvPr id="5" name="Textfeld 4">
            <a:extLst>
              <a:ext uri="{FF2B5EF4-FFF2-40B4-BE49-F238E27FC236}">
                <a16:creationId xmlns:a16="http://schemas.microsoft.com/office/drawing/2014/main" id="{BBB0D3F7-2253-5304-8C6D-D0A312306E5D}"/>
              </a:ext>
            </a:extLst>
          </xdr:cNvPr>
          <xdr:cNvSpPr txBox="1"/>
        </xdr:nvSpPr>
        <xdr:spPr>
          <a:xfrm>
            <a:off x="9906000" y="3403600"/>
            <a:ext cx="1117600" cy="330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LCO growth</a:t>
            </a:r>
            <a:r>
              <a:rPr lang="de-DE" sz="1100" baseline="0"/>
              <a:t> rate</a:t>
            </a:r>
            <a:endParaRPr lang="de-DE" sz="1100"/>
          </a:p>
        </xdr:txBody>
      </xdr:sp>
    </xdr:grpSp>
    <xdr:clientData/>
  </xdr:twoCellAnchor>
  <xdr:twoCellAnchor>
    <xdr:from>
      <xdr:col>20</xdr:col>
      <xdr:colOff>266700</xdr:colOff>
      <xdr:row>16</xdr:row>
      <xdr:rowOff>152400</xdr:rowOff>
    </xdr:from>
    <xdr:to>
      <xdr:col>27</xdr:col>
      <xdr:colOff>254000</xdr:colOff>
      <xdr:row>38</xdr:row>
      <xdr:rowOff>175168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E2E018C7-452F-B3A8-E876-F06A3437DB5C}"/>
            </a:ext>
          </a:extLst>
        </xdr:cNvPr>
        <xdr:cNvGrpSpPr/>
      </xdr:nvGrpSpPr>
      <xdr:grpSpPr>
        <a:xfrm>
          <a:off x="21882100" y="3505200"/>
          <a:ext cx="5765800" cy="4493168"/>
          <a:chOff x="9067800" y="7454900"/>
          <a:chExt cx="5765800" cy="4493168"/>
        </a:xfrm>
      </xdr:grpSpPr>
      <xdr:pic>
        <xdr:nvPicPr>
          <xdr:cNvPr id="4" name="Grafik 3">
            <a:extLst>
              <a:ext uri="{FF2B5EF4-FFF2-40B4-BE49-F238E27FC236}">
                <a16:creationId xmlns:a16="http://schemas.microsoft.com/office/drawing/2014/main" id="{B2AC1FB5-1C0E-AB47-B935-7586533A54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067800" y="7454900"/>
            <a:ext cx="5765800" cy="4493168"/>
          </a:xfrm>
          <a:prstGeom prst="rect">
            <a:avLst/>
          </a:prstGeom>
        </xdr:spPr>
      </xdr:pic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1C3AC183-5A4B-A573-A5B0-DD869D2DFE07}"/>
              </a:ext>
            </a:extLst>
          </xdr:cNvPr>
          <xdr:cNvSpPr txBox="1"/>
        </xdr:nvSpPr>
        <xdr:spPr>
          <a:xfrm>
            <a:off x="10248900" y="8255000"/>
            <a:ext cx="11228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/>
              <a:t>LCO growth</a:t>
            </a:r>
            <a:r>
              <a:rPr lang="de-DE" sz="1100" baseline="0"/>
              <a:t> rate</a:t>
            </a:r>
            <a:endParaRPr lang="de-DE" sz="1100"/>
          </a:p>
        </xdr:txBody>
      </xdr:sp>
    </xdr:grpSp>
    <xdr:clientData/>
  </xdr:twoCellAnchor>
  <xdr:twoCellAnchor>
    <xdr:from>
      <xdr:col>18</xdr:col>
      <xdr:colOff>838200</xdr:colOff>
      <xdr:row>39</xdr:row>
      <xdr:rowOff>12700</xdr:rowOff>
    </xdr:from>
    <xdr:to>
      <xdr:col>26</xdr:col>
      <xdr:colOff>323850</xdr:colOff>
      <xdr:row>63</xdr:row>
      <xdr:rowOff>7620</xdr:rowOff>
    </xdr:to>
    <xdr:grpSp>
      <xdr:nvGrpSpPr>
        <xdr:cNvPr id="11" name="Gruppieren 10">
          <a:extLst>
            <a:ext uri="{FF2B5EF4-FFF2-40B4-BE49-F238E27FC236}">
              <a16:creationId xmlns:a16="http://schemas.microsoft.com/office/drawing/2014/main" id="{EC046A1C-615F-92FD-37DC-8C003ABCA069}"/>
            </a:ext>
          </a:extLst>
        </xdr:cNvPr>
        <xdr:cNvGrpSpPr/>
      </xdr:nvGrpSpPr>
      <xdr:grpSpPr>
        <a:xfrm>
          <a:off x="20701000" y="8039100"/>
          <a:ext cx="6191250" cy="4871720"/>
          <a:chOff x="13093700" y="7480300"/>
          <a:chExt cx="6089650" cy="4871720"/>
        </a:xfrm>
      </xdr:grpSpPr>
      <xdr:pic>
        <xdr:nvPicPr>
          <xdr:cNvPr id="9" name="Grafik 8">
            <a:extLst>
              <a:ext uri="{FF2B5EF4-FFF2-40B4-BE49-F238E27FC236}">
                <a16:creationId xmlns:a16="http://schemas.microsoft.com/office/drawing/2014/main" id="{0EA9F911-6ACC-FBAB-A3CD-8F96C08DC7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093700" y="7480300"/>
            <a:ext cx="6089650" cy="4871720"/>
          </a:xfrm>
          <a:prstGeom prst="rect">
            <a:avLst/>
          </a:prstGeom>
        </xdr:spPr>
      </xdr:pic>
      <xdr:sp macro="" textlink="">
        <xdr:nvSpPr>
          <xdr:cNvPr id="10" name="Textfeld 9">
            <a:extLst>
              <a:ext uri="{FF2B5EF4-FFF2-40B4-BE49-F238E27FC236}">
                <a16:creationId xmlns:a16="http://schemas.microsoft.com/office/drawing/2014/main" id="{54E1594D-05B1-37B7-66B4-A2A5FE28FAF4}"/>
              </a:ext>
            </a:extLst>
          </xdr:cNvPr>
          <xdr:cNvSpPr txBox="1"/>
        </xdr:nvSpPr>
        <xdr:spPr>
          <a:xfrm>
            <a:off x="14224000" y="8356600"/>
            <a:ext cx="11283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DE" sz="1100"/>
              <a:t>SCO</a:t>
            </a:r>
            <a:r>
              <a:rPr lang="de-DE" sz="1100" baseline="0"/>
              <a:t> growth rate</a:t>
            </a:r>
            <a:endParaRPr lang="de-DE" sz="1100"/>
          </a:p>
        </xdr:txBody>
      </xdr:sp>
    </xdr:grpSp>
    <xdr:clientData/>
  </xdr:twoCellAnchor>
  <xdr:twoCellAnchor>
    <xdr:from>
      <xdr:col>28</xdr:col>
      <xdr:colOff>304800</xdr:colOff>
      <xdr:row>20</xdr:row>
      <xdr:rowOff>127000</xdr:rowOff>
    </xdr:from>
    <xdr:to>
      <xdr:col>29</xdr:col>
      <xdr:colOff>602108</xdr:colOff>
      <xdr:row>21</xdr:row>
      <xdr:rowOff>188360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36A4747-2F2C-604F-877F-FB82D0639BCF}"/>
            </a:ext>
          </a:extLst>
        </xdr:cNvPr>
        <xdr:cNvSpPr txBox="1"/>
      </xdr:nvSpPr>
      <xdr:spPr>
        <a:xfrm>
          <a:off x="28524200" y="4292600"/>
          <a:ext cx="11228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/>
            <a:t>LCO growth</a:t>
          </a:r>
          <a:r>
            <a:rPr lang="de-DE" sz="1100" baseline="0"/>
            <a:t> rate</a:t>
          </a:r>
          <a:endParaRPr lang="de-DE" sz="1100"/>
        </a:p>
      </xdr:txBody>
    </xdr:sp>
    <xdr:clientData/>
  </xdr:twoCellAnchor>
  <xdr:twoCellAnchor editAs="oneCell">
    <xdr:from>
      <xdr:col>27</xdr:col>
      <xdr:colOff>215900</xdr:colOff>
      <xdr:row>39</xdr:row>
      <xdr:rowOff>152400</xdr:rowOff>
    </xdr:from>
    <xdr:to>
      <xdr:col>34</xdr:col>
      <xdr:colOff>558800</xdr:colOff>
      <xdr:row>63</xdr:row>
      <xdr:rowOff>172720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5855E12A-D5F1-B011-EC2C-1CE336C04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09800" y="8178800"/>
          <a:ext cx="6121400" cy="48971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167/XRD_SL_analysis_2216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2164/XRD_SL_analysis_221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2165/XRD_SL_analysis_2216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belladrewanowski/Library/Containers/com.microsoft.Excel/Data/Library/Application%20Support/Microsoft/XRD_SL_analysis_22169%20(version%201)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2169/XRD_SL_analysis_2216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belladrewanowski/Library/Containers/com.microsoft.Excel/Data/Library/Application%20Support/Microsoft/XRD_SL_analysis_22170%20(version%201)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2170/XRD_SL_analysis_221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0">
          <cell r="C10">
            <v>3.9190013865023037</v>
          </cell>
        </row>
        <row r="21">
          <cell r="K21">
            <v>91.748215845440797</v>
          </cell>
        </row>
        <row r="22">
          <cell r="K22">
            <v>23.411121047682453</v>
          </cell>
        </row>
        <row r="23">
          <cell r="K23">
            <v>550.48929507264484</v>
          </cell>
        </row>
        <row r="24">
          <cell r="K24">
            <v>140.46672628609471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E3">
            <v>5</v>
          </cell>
        </row>
        <row r="10">
          <cell r="C10">
            <v>3.948523140477445</v>
          </cell>
        </row>
        <row r="21">
          <cell r="K21">
            <v>113.28070932317985</v>
          </cell>
        </row>
        <row r="22">
          <cell r="K22">
            <v>28.689387219719379</v>
          </cell>
        </row>
        <row r="23">
          <cell r="K23">
            <v>566.40354661589913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0">
          <cell r="C10">
            <v>3.9219577142935154</v>
          </cell>
        </row>
        <row r="23">
          <cell r="J23">
            <v>135.12347132439686</v>
          </cell>
        </row>
        <row r="24">
          <cell r="J24">
            <v>34.453066852796859</v>
          </cell>
        </row>
        <row r="25">
          <cell r="J25">
            <v>540.49388529758744</v>
          </cell>
        </row>
        <row r="26">
          <cell r="J26">
            <v>137.81226741118743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1">
          <cell r="J21">
            <v>103.50620143970222</v>
          </cell>
        </row>
        <row r="22">
          <cell r="J22">
            <v>26.481443957245773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3">
          <cell r="J23">
            <v>517.53100719851113</v>
          </cell>
        </row>
        <row r="24">
          <cell r="J24">
            <v>158.88866374347464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1">
          <cell r="J21">
            <v>137.92691390451625</v>
          </cell>
        </row>
        <row r="22">
          <cell r="J22">
            <v>34.994412597913026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1">
          <cell r="J21">
            <v>137.92691390451625</v>
          </cell>
        </row>
        <row r="24">
          <cell r="G24">
            <v>469.22315647535197</v>
          </cell>
        </row>
        <row r="25">
          <cell r="G25">
            <v>119.04992487224723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nabella Drewanowski" id="{A302CCB2-B8C0-EB42-A3E0-B3F26788FAF5}" userId="S::annabella.drewanowski@uzh.ch::8502c539-a067-44c9-8755-b84847fa5961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3-01-16T20:33:07.83" personId="{A302CCB2-B8C0-EB42-A3E0-B3F26788FAF5}" id="{3BDA2127-EBE8-1048-B446-ADB0951F65B9}">
    <text xml:space="preserve">This row is not within the same measurement set… this is to check growth calibration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FC4A-8462-3C4E-93D5-09F8420472F0}">
  <dimension ref="A1:AC34"/>
  <sheetViews>
    <sheetView tabSelected="1" topLeftCell="A3" zoomScaleNormal="61" workbookViewId="0">
      <selection activeCell="J38" sqref="J38"/>
    </sheetView>
  </sheetViews>
  <sheetFormatPr baseColWidth="10" defaultRowHeight="16" x14ac:dyDescent="0.2"/>
  <cols>
    <col min="3" max="5" width="10.83203125" style="3"/>
    <col min="6" max="6" width="15.83203125" style="3" customWidth="1"/>
    <col min="7" max="7" width="14.83203125" style="3" customWidth="1"/>
    <col min="8" max="8" width="23.6640625" style="3" customWidth="1"/>
    <col min="9" max="9" width="24" style="3" customWidth="1"/>
    <col min="10" max="10" width="26" style="3" bestFit="1" customWidth="1"/>
    <col min="11" max="11" width="20.5" style="3" customWidth="1"/>
    <col min="12" max="12" width="16.6640625" style="3" customWidth="1"/>
    <col min="13" max="13" width="10.83203125" style="3"/>
    <col min="19" max="19" width="12.1640625" customWidth="1"/>
  </cols>
  <sheetData>
    <row r="1" spans="1:29" x14ac:dyDescent="0.2">
      <c r="A1" t="s">
        <v>0</v>
      </c>
    </row>
    <row r="3" spans="1:29" x14ac:dyDescent="0.2">
      <c r="A3" s="1" t="s">
        <v>1</v>
      </c>
      <c r="M3" s="3" t="s">
        <v>39</v>
      </c>
    </row>
    <row r="4" spans="1:29" x14ac:dyDescent="0.2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31</v>
      </c>
      <c r="I4" s="4" t="s">
        <v>30</v>
      </c>
      <c r="J4" s="4" t="s">
        <v>20</v>
      </c>
      <c r="K4" s="4" t="s">
        <v>7</v>
      </c>
      <c r="L4" s="4" t="s">
        <v>8</v>
      </c>
      <c r="M4" s="10" t="s">
        <v>40</v>
      </c>
      <c r="N4" s="9" t="s">
        <v>41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45</v>
      </c>
      <c r="T4" s="9" t="s">
        <v>46</v>
      </c>
    </row>
    <row r="5" spans="1:29" x14ac:dyDescent="0.2">
      <c r="A5" t="s">
        <v>9</v>
      </c>
      <c r="B5" s="2">
        <v>22167</v>
      </c>
      <c r="C5" s="5">
        <f>[1]Tabelle1!K21</f>
        <v>91.748215845440797</v>
      </c>
      <c r="D5" s="5">
        <f>392</f>
        <v>392</v>
      </c>
      <c r="E5" s="5">
        <f>[1]Tabelle1!K22</f>
        <v>23.411121047682453</v>
      </c>
      <c r="F5" s="5">
        <f>[1]Tabelle1!K23</f>
        <v>550.48929507264484</v>
      </c>
      <c r="G5" s="5">
        <f>[1]Tabelle1!K24</f>
        <v>140.46672628609471</v>
      </c>
      <c r="H5" s="5"/>
      <c r="I5" s="5">
        <f>D5/C$29</f>
        <v>9.5609756097560972</v>
      </c>
      <c r="J5" s="5">
        <f>E5-I5</f>
        <v>13.850145437926356</v>
      </c>
      <c r="K5" s="5">
        <f>((E5-J5)*Tabelle1!C$25+(J5*Tabelle1!C$26))/E5</f>
        <v>3.8849234069112333</v>
      </c>
      <c r="L5" s="5">
        <f>[1]Tabelle1!C10</f>
        <v>3.9190013865023037</v>
      </c>
      <c r="M5">
        <v>3.9190014691549449</v>
      </c>
      <c r="N5">
        <v>3.0218084252557481E-2</v>
      </c>
      <c r="O5">
        <v>90.295098066386174</v>
      </c>
      <c r="P5">
        <v>6.6434751325929131</v>
      </c>
      <c r="Q5">
        <v>23.040332793204215</v>
      </c>
      <c r="R5">
        <v>1.6975537421411631</v>
      </c>
      <c r="S5">
        <f>D5/D$29</f>
        <v>10.594594594594595</v>
      </c>
      <c r="T5">
        <f>Q5-S5</f>
        <v>12.44573819860962</v>
      </c>
    </row>
    <row r="6" spans="1:29" x14ac:dyDescent="0.2">
      <c r="A6" t="s">
        <v>10</v>
      </c>
      <c r="B6" s="2">
        <v>22164</v>
      </c>
      <c r="C6" s="5">
        <f>[2]Tabelle1!$K$21</f>
        <v>113.28070932317985</v>
      </c>
      <c r="D6" s="5">
        <f>588</f>
        <v>588</v>
      </c>
      <c r="E6" s="5">
        <f>[2]Tabelle1!$K$22</f>
        <v>28.689387219719379</v>
      </c>
      <c r="F6" s="5">
        <f>[2]Tabelle1!$K$23</f>
        <v>566.40354661589913</v>
      </c>
      <c r="G6" s="5">
        <f>[2]Tabelle1!$K$22*[2]Tabelle1!$E$3</f>
        <v>143.44693609859689</v>
      </c>
      <c r="H6" s="5"/>
      <c r="I6" s="5">
        <f>D6/C$29</f>
        <v>14.341463414634147</v>
      </c>
      <c r="J6" s="5">
        <f>E6-I6</f>
        <v>14.347923805085232</v>
      </c>
      <c r="K6" s="5">
        <f>((E6-J6)*Tabelle1!C$25+(J6*Tabelle1!C$26))/E6</f>
        <v>3.8949876148809981</v>
      </c>
      <c r="L6" s="5">
        <f>[2]Tabelle1!$C$10</f>
        <v>3.948523140477445</v>
      </c>
      <c r="M6" s="3">
        <v>3.9485231098553659</v>
      </c>
      <c r="N6">
        <v>2.8623630514690458E-2</v>
      </c>
      <c r="O6">
        <v>112.61239935954254</v>
      </c>
      <c r="P6">
        <v>13.452454534447762</v>
      </c>
      <c r="Q6">
        <v>28.520131762295172</v>
      </c>
      <c r="R6">
        <v>3.4100937218089471</v>
      </c>
      <c r="S6">
        <f t="shared" ref="S6:S7" si="0">D6/D$29</f>
        <v>15.891891891891891</v>
      </c>
      <c r="T6">
        <f t="shared" ref="T6:T7" si="1">Q6-S6</f>
        <v>12.628239870403281</v>
      </c>
    </row>
    <row r="7" spans="1:29" x14ac:dyDescent="0.2">
      <c r="A7" t="s">
        <v>11</v>
      </c>
      <c r="B7" s="2">
        <v>22165</v>
      </c>
      <c r="C7" s="5">
        <f>[3]Tabelle1!$J$23</f>
        <v>135.12347132439686</v>
      </c>
      <c r="D7" s="5">
        <f>833</f>
        <v>833</v>
      </c>
      <c r="E7" s="5">
        <f>[3]Tabelle1!$J$24</f>
        <v>34.453066852796859</v>
      </c>
      <c r="F7" s="5">
        <f>[3]Tabelle1!$J$25</f>
        <v>540.49388529758744</v>
      </c>
      <c r="G7" s="5">
        <f>[3]Tabelle1!$J$26</f>
        <v>137.81226741118743</v>
      </c>
      <c r="H7" s="5"/>
      <c r="I7" s="5">
        <f>D7/C$29</f>
        <v>20.317073170731707</v>
      </c>
      <c r="J7" s="5">
        <f>E7-I7</f>
        <v>14.135993682065152</v>
      </c>
      <c r="K7" s="5">
        <f>((E7-J7)*Tabelle1!C$25+(J7*Tabelle1!C$26))/E7</f>
        <v>3.9048673181499098</v>
      </c>
      <c r="L7" s="5">
        <f>[3]Tabelle1!$C$10</f>
        <v>3.9219577142935154</v>
      </c>
      <c r="M7">
        <v>3.9219100511482643</v>
      </c>
      <c r="N7">
        <v>2.0757767536513483E-2</v>
      </c>
      <c r="O7">
        <v>137.54125168932964</v>
      </c>
      <c r="P7">
        <v>9.6047208393119945</v>
      </c>
      <c r="Q7">
        <v>35.069965882838147</v>
      </c>
      <c r="R7">
        <v>2.4525411823429621</v>
      </c>
      <c r="S7">
        <f t="shared" si="0"/>
        <v>22.513513513513512</v>
      </c>
      <c r="T7">
        <f t="shared" si="1"/>
        <v>12.556452369324635</v>
      </c>
    </row>
    <row r="8" spans="1:29" x14ac:dyDescent="0.2">
      <c r="A8" t="s">
        <v>43</v>
      </c>
      <c r="B8" s="2">
        <v>23002</v>
      </c>
      <c r="D8" s="5">
        <f>410</f>
        <v>410</v>
      </c>
      <c r="M8" s="3">
        <v>3.9243830534104815</v>
      </c>
      <c r="N8">
        <v>1.7419890827126375E-2</v>
      </c>
      <c r="O8">
        <v>78.715616733277514</v>
      </c>
      <c r="P8">
        <v>18.798159989590808</v>
      </c>
      <c r="Q8">
        <v>20.058087006789457</v>
      </c>
      <c r="R8">
        <v>4.7905067679706042</v>
      </c>
    </row>
    <row r="9" spans="1:29" x14ac:dyDescent="0.2">
      <c r="N9" s="3" t="s">
        <v>39</v>
      </c>
    </row>
    <row r="10" spans="1:29" x14ac:dyDescent="0.2">
      <c r="A10" s="1" t="s">
        <v>15</v>
      </c>
      <c r="C10" s="4" t="s">
        <v>2</v>
      </c>
      <c r="D10" s="4" t="s">
        <v>21</v>
      </c>
      <c r="E10" s="4" t="s">
        <v>4</v>
      </c>
      <c r="F10" s="4" t="s">
        <v>5</v>
      </c>
      <c r="G10" s="4" t="s">
        <v>6</v>
      </c>
      <c r="H10" s="4" t="s">
        <v>29</v>
      </c>
      <c r="I10" s="4" t="s">
        <v>25</v>
      </c>
      <c r="J10" s="4" t="s">
        <v>24</v>
      </c>
      <c r="K10" s="4" t="s">
        <v>32</v>
      </c>
      <c r="L10" s="4" t="s">
        <v>7</v>
      </c>
      <c r="M10" s="4" t="s">
        <v>8</v>
      </c>
      <c r="N10" s="10" t="s">
        <v>40</v>
      </c>
      <c r="O10" s="9" t="s">
        <v>41</v>
      </c>
      <c r="P10" s="9" t="s">
        <v>35</v>
      </c>
      <c r="Q10" s="9" t="s">
        <v>36</v>
      </c>
      <c r="R10" s="9" t="s">
        <v>37</v>
      </c>
      <c r="S10" s="9" t="s">
        <v>38</v>
      </c>
      <c r="T10" s="9" t="s">
        <v>46</v>
      </c>
      <c r="U10" s="9" t="s">
        <v>45</v>
      </c>
    </row>
    <row r="11" spans="1:29" x14ac:dyDescent="0.2">
      <c r="A11" t="s">
        <v>9</v>
      </c>
      <c r="B11" s="2">
        <v>22167</v>
      </c>
      <c r="C11" s="6">
        <f>[1]Tabelle1!$K$21</f>
        <v>91.748215845440797</v>
      </c>
      <c r="D11" s="6">
        <f>100+D5</f>
        <v>492</v>
      </c>
      <c r="E11" s="6">
        <f>[1]Tabelle1!$K$22</f>
        <v>23.411121047682453</v>
      </c>
      <c r="F11" s="6">
        <f>[1]Tabelle1!$K$23</f>
        <v>550.48929507264484</v>
      </c>
      <c r="G11" s="6">
        <f>[1]Tabelle1!$K$24</f>
        <v>140.46672628609471</v>
      </c>
      <c r="H11" s="6">
        <f>D11/B$30</f>
        <v>246</v>
      </c>
      <c r="I11" s="6">
        <f>(D11-D$5)/C$30</f>
        <v>12.5</v>
      </c>
      <c r="J11" s="6">
        <f>E11-I$5</f>
        <v>13.850145437926356</v>
      </c>
      <c r="K11" s="6">
        <f>E11-I11</f>
        <v>10.911121047682453</v>
      </c>
      <c r="L11" s="6"/>
      <c r="M11" s="6"/>
      <c r="N11">
        <v>3.9190014691549449</v>
      </c>
      <c r="O11">
        <v>3.0218084252557481E-2</v>
      </c>
      <c r="P11">
        <v>90.295098066386174</v>
      </c>
      <c r="Q11">
        <v>6.6434751325929131</v>
      </c>
      <c r="R11">
        <v>23.040332793204215</v>
      </c>
      <c r="S11">
        <v>1.6975537421411631</v>
      </c>
      <c r="T11" s="3">
        <f>(D11-D$5)/D$30</f>
        <v>22.727272727272727</v>
      </c>
    </row>
    <row r="12" spans="1:29" x14ac:dyDescent="0.2">
      <c r="A12" t="s">
        <v>22</v>
      </c>
      <c r="B12" s="2">
        <v>22169</v>
      </c>
      <c r="C12" s="6">
        <f>[4]Tabelle1!$J$21</f>
        <v>103.50620143970222</v>
      </c>
      <c r="D12" s="6">
        <f>120+D5</f>
        <v>512</v>
      </c>
      <c r="E12" s="6">
        <f>[4]Tabelle1!$J$22</f>
        <v>26.481443957245773</v>
      </c>
      <c r="F12" s="6">
        <f>[5]Tabelle1!$J$23</f>
        <v>517.53100719851113</v>
      </c>
      <c r="G12" s="6">
        <f>[5]Tabelle1!$J$24</f>
        <v>158.88866374347464</v>
      </c>
      <c r="H12" s="6">
        <f>D12/B$30</f>
        <v>256</v>
      </c>
      <c r="I12" s="6">
        <f t="shared" ref="I12:I13" si="2">(D12-D$5)/C$30</f>
        <v>15</v>
      </c>
      <c r="J12" s="6">
        <f>E12-I$5</f>
        <v>16.920468347489674</v>
      </c>
      <c r="K12" s="6">
        <f t="shared" ref="K12:K13" si="3">E12-I12</f>
        <v>11.481443957245773</v>
      </c>
      <c r="L12" s="6"/>
      <c r="M12" s="6"/>
      <c r="N12">
        <v>3.9086312909910288</v>
      </c>
      <c r="O12">
        <v>2.2761072609170391E-2</v>
      </c>
      <c r="P12">
        <v>124.99998322431989</v>
      </c>
      <c r="Q12">
        <v>12.752726807760027</v>
      </c>
      <c r="R12">
        <v>31.980500056997265</v>
      </c>
      <c r="S12">
        <v>3.2639155676134943</v>
      </c>
      <c r="T12" s="3">
        <f t="shared" ref="T12:T13" si="4">(D12-D$5)/D$30</f>
        <v>27.27272727272727</v>
      </c>
    </row>
    <row r="13" spans="1:29" x14ac:dyDescent="0.2">
      <c r="A13" t="s">
        <v>23</v>
      </c>
      <c r="B13" s="2">
        <v>22170</v>
      </c>
      <c r="C13" s="6">
        <f>[6]Tabelle1!$J$21</f>
        <v>137.92691390451625</v>
      </c>
      <c r="D13" s="6">
        <f>190+D5</f>
        <v>582</v>
      </c>
      <c r="E13" s="6">
        <f>[6]Tabelle1!$J$22</f>
        <v>34.994412597913026</v>
      </c>
      <c r="F13" s="6">
        <f>[7]Tabelle1!$G$24</f>
        <v>469.22315647535197</v>
      </c>
      <c r="G13" s="6">
        <f>[7]Tabelle1!$G$25</f>
        <v>119.04992487224723</v>
      </c>
      <c r="H13" s="6">
        <f>D13/B$30</f>
        <v>291</v>
      </c>
      <c r="I13" s="6">
        <f t="shared" si="2"/>
        <v>23.75</v>
      </c>
      <c r="J13" s="6">
        <f t="shared" ref="J12:J13" si="5">E13-I$5</f>
        <v>25.433436988156927</v>
      </c>
      <c r="K13" s="6">
        <f t="shared" si="3"/>
        <v>11.244412597913026</v>
      </c>
      <c r="L13" s="6"/>
      <c r="M13" s="6"/>
      <c r="N13">
        <v>3.9754526251250879</v>
      </c>
      <c r="O13">
        <v>1.500266500921868E-2</v>
      </c>
      <c r="P13">
        <v>155.24146804854769</v>
      </c>
      <c r="Q13">
        <v>131.15663428742519</v>
      </c>
      <c r="R13">
        <v>39.050010825789428</v>
      </c>
      <c r="S13">
        <v>8.2994888997604122</v>
      </c>
      <c r="T13" s="3">
        <f t="shared" si="4"/>
        <v>43.18181818181818</v>
      </c>
    </row>
    <row r="15" spans="1:29" x14ac:dyDescent="0.2">
      <c r="C15" s="4" t="s">
        <v>12</v>
      </c>
      <c r="D15" s="4" t="s">
        <v>13</v>
      </c>
      <c r="E15" s="4" t="s">
        <v>14</v>
      </c>
      <c r="F15" s="4" t="s">
        <v>16</v>
      </c>
      <c r="G15" s="4" t="s">
        <v>17</v>
      </c>
      <c r="H15" s="4" t="s">
        <v>20</v>
      </c>
      <c r="I15" s="4" t="s">
        <v>32</v>
      </c>
      <c r="J15" s="4" t="s">
        <v>6</v>
      </c>
      <c r="K15" s="4" t="s">
        <v>19</v>
      </c>
      <c r="L15" s="4"/>
    </row>
    <row r="16" spans="1:29" ht="24" x14ac:dyDescent="0.3">
      <c r="B16" s="2">
        <v>22164</v>
      </c>
      <c r="C16" s="3">
        <v>10</v>
      </c>
      <c r="D16" s="3">
        <v>12</v>
      </c>
      <c r="E16" s="3">
        <v>5</v>
      </c>
      <c r="F16" s="3">
        <f>C6</f>
        <v>113.28070932317985</v>
      </c>
      <c r="G16" s="3">
        <f>C16+D16</f>
        <v>22</v>
      </c>
      <c r="J16" s="3">
        <f>(C16+D16)*E16</f>
        <v>110</v>
      </c>
      <c r="K16" s="3">
        <f>(C16*C$25+D16*C$26)*E16</f>
        <v>427.9</v>
      </c>
      <c r="AC16" s="11" t="s">
        <v>42</v>
      </c>
    </row>
    <row r="17" spans="1:11" x14ac:dyDescent="0.2">
      <c r="B17" s="2">
        <v>22165</v>
      </c>
      <c r="C17" s="3">
        <v>10</v>
      </c>
      <c r="D17" s="3">
        <v>17</v>
      </c>
      <c r="E17" s="3">
        <v>5</v>
      </c>
      <c r="F17" s="3">
        <f>C7</f>
        <v>135.12347132439686</v>
      </c>
      <c r="G17" s="3">
        <f>C17+D17</f>
        <v>27</v>
      </c>
      <c r="J17" s="3">
        <f>(C17+D17)*E17</f>
        <v>135</v>
      </c>
      <c r="K17" s="3">
        <f>(C17*C$25+D17*C$26)*E17</f>
        <v>523.9</v>
      </c>
    </row>
    <row r="18" spans="1:11" x14ac:dyDescent="0.2">
      <c r="B18" s="2">
        <v>22169</v>
      </c>
      <c r="C18" s="3">
        <v>12</v>
      </c>
      <c r="D18" s="3">
        <v>8</v>
      </c>
      <c r="E18" s="3">
        <v>5</v>
      </c>
      <c r="F18" s="3">
        <f>C12</f>
        <v>103.50620143970222</v>
      </c>
      <c r="G18" s="3">
        <f>C18+D18</f>
        <v>20</v>
      </c>
      <c r="K18" s="3">
        <f>(C18*C$25+D18*C$26)*E18</f>
        <v>390.6</v>
      </c>
    </row>
    <row r="19" spans="1:11" x14ac:dyDescent="0.2">
      <c r="B19" s="2">
        <v>22167</v>
      </c>
      <c r="C19" s="3">
        <v>10</v>
      </c>
      <c r="D19" s="3">
        <v>8</v>
      </c>
      <c r="E19" s="3">
        <v>6</v>
      </c>
      <c r="F19" s="3">
        <f>C5</f>
        <v>91.748215845440797</v>
      </c>
      <c r="G19" s="3">
        <f>C19+D19</f>
        <v>18</v>
      </c>
      <c r="J19" s="3">
        <f>(C19+D19)*E19</f>
        <v>108</v>
      </c>
      <c r="K19" s="3">
        <f>(C19*C$25+D19*C$26)*E19</f>
        <v>421.32</v>
      </c>
    </row>
    <row r="20" spans="1:11" x14ac:dyDescent="0.2">
      <c r="B20" s="2">
        <v>22170</v>
      </c>
      <c r="C20" s="3">
        <v>19</v>
      </c>
      <c r="D20" s="3">
        <v>8</v>
      </c>
      <c r="E20" s="3">
        <v>4</v>
      </c>
      <c r="F20" s="3">
        <f>C13</f>
        <v>137.92691390451625</v>
      </c>
      <c r="G20" s="3">
        <f>C20+D20</f>
        <v>27</v>
      </c>
      <c r="K20" s="3">
        <f>(C20*C$25+D20*C$26)*E20</f>
        <v>423.08</v>
      </c>
    </row>
    <row r="24" spans="1:11" x14ac:dyDescent="0.2">
      <c r="C24" t="s">
        <v>18</v>
      </c>
      <c r="D24"/>
      <c r="E24"/>
      <c r="F24"/>
      <c r="G24"/>
    </row>
    <row r="25" spans="1:11" x14ac:dyDescent="0.2">
      <c r="B25" t="s">
        <v>12</v>
      </c>
      <c r="C25">
        <v>3.95</v>
      </c>
      <c r="D25"/>
      <c r="E25"/>
      <c r="F25"/>
      <c r="G25"/>
    </row>
    <row r="26" spans="1:11" x14ac:dyDescent="0.2">
      <c r="B26" t="s">
        <v>13</v>
      </c>
      <c r="C26">
        <v>3.84</v>
      </c>
      <c r="D26"/>
      <c r="E26"/>
      <c r="F26"/>
      <c r="G26"/>
    </row>
    <row r="27" spans="1:11" x14ac:dyDescent="0.2">
      <c r="C27"/>
      <c r="D27" t="s">
        <v>44</v>
      </c>
      <c r="E27"/>
      <c r="F27"/>
      <c r="G27"/>
    </row>
    <row r="28" spans="1:11" x14ac:dyDescent="0.2">
      <c r="A28" s="7" t="s">
        <v>27</v>
      </c>
      <c r="B28" s="7" t="s">
        <v>26</v>
      </c>
      <c r="C28" s="7" t="s">
        <v>28</v>
      </c>
      <c r="D28" s="7" t="s">
        <v>28</v>
      </c>
      <c r="H28" s="8" t="s">
        <v>33</v>
      </c>
      <c r="I28" s="7" t="s">
        <v>34</v>
      </c>
      <c r="J28" s="8" t="s">
        <v>33</v>
      </c>
      <c r="K28" s="7" t="s">
        <v>48</v>
      </c>
    </row>
    <row r="29" spans="1:11" x14ac:dyDescent="0.2">
      <c r="A29" s="1" t="s">
        <v>13</v>
      </c>
      <c r="B29" s="2"/>
      <c r="C29" s="2">
        <v>41</v>
      </c>
      <c r="D29">
        <v>37</v>
      </c>
      <c r="H29" t="s">
        <v>13</v>
      </c>
      <c r="I29">
        <f>10*C29</f>
        <v>410</v>
      </c>
      <c r="J29" t="s">
        <v>13</v>
      </c>
      <c r="K29">
        <f>C29*5</f>
        <v>205</v>
      </c>
    </row>
    <row r="30" spans="1:11" x14ac:dyDescent="0.2">
      <c r="A30" s="1" t="s">
        <v>12</v>
      </c>
      <c r="B30" s="2">
        <v>2</v>
      </c>
      <c r="C30" s="2">
        <v>8</v>
      </c>
      <c r="D30">
        <v>4.4000000000000004</v>
      </c>
      <c r="H30" t="s">
        <v>12</v>
      </c>
      <c r="I30">
        <f>10*C30</f>
        <v>80</v>
      </c>
      <c r="J30" t="s">
        <v>12</v>
      </c>
      <c r="K30">
        <f>C30*5</f>
        <v>40</v>
      </c>
    </row>
    <row r="31" spans="1:11" x14ac:dyDescent="0.2">
      <c r="C31"/>
      <c r="D31"/>
      <c r="E31"/>
      <c r="F31"/>
      <c r="G31"/>
    </row>
    <row r="32" spans="1:11" x14ac:dyDescent="0.2">
      <c r="C32"/>
      <c r="D32"/>
      <c r="E32"/>
      <c r="F32"/>
      <c r="G32"/>
      <c r="H32" s="8" t="s">
        <v>33</v>
      </c>
      <c r="I32" s="7" t="s">
        <v>47</v>
      </c>
    </row>
    <row r="33" spans="8:9" x14ac:dyDescent="0.2">
      <c r="H33" t="s">
        <v>13</v>
      </c>
      <c r="I33">
        <f>C29*18</f>
        <v>738</v>
      </c>
    </row>
    <row r="34" spans="8:9" x14ac:dyDescent="0.2">
      <c r="H34" t="s">
        <v>12</v>
      </c>
      <c r="I34">
        <f>C30*18</f>
        <v>144</v>
      </c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Annabella Drewanowski</dc:creator>
  <cp:lastModifiedBy>Annabella Drewanowski</cp:lastModifiedBy>
  <dcterms:created xsi:type="dcterms:W3CDTF">2023-01-07T12:41:53Z</dcterms:created>
  <dcterms:modified xsi:type="dcterms:W3CDTF">2023-01-18T18:01:29Z</dcterms:modified>
</cp:coreProperties>
</file>