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annalisaori/Desktop/"/>
    </mc:Choice>
  </mc:AlternateContent>
  <xr:revisionPtr revIDLastSave="0" documentId="8_{CA850D7C-9439-FB44-91A2-7EBF14FCCBD9}" xr6:coauthVersionLast="47" xr6:coauthVersionMax="47" xr10:uidLastSave="{00000000-0000-0000-0000-000000000000}"/>
  <bookViews>
    <workbookView xWindow="0" yWindow="500" windowWidth="28800" windowHeight="16420" activeTab="1" xr2:uid="{00000000-000D-0000-FFFF-FFFF00000000}"/>
  </bookViews>
  <sheets>
    <sheet name="simboli" sheetId="3" r:id="rId1"/>
    <sheet name="tabelle" sheetId="2" r:id="rId2"/>
  </sheets>
  <externalReferences>
    <externalReference r:id="rId3"/>
  </externalReferences>
  <definedNames>
    <definedName name="età_F">'[1]sviluppo IPS55 in t'!$H$7:$N$119</definedName>
    <definedName name="età_M">'[1]sviluppo IPS55 in t'!$A$7:$G$119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oZ2ELyFeW8YorY4dNo8urutYSaFUZ6aEPYeIFkZOON4="/>
    </ext>
  </extLst>
</workbook>
</file>

<file path=xl/calcChain.xml><?xml version="1.0" encoding="utf-8"?>
<calcChain xmlns="http://schemas.openxmlformats.org/spreadsheetml/2006/main">
  <c r="T130" i="2" l="1"/>
  <c r="S130" i="2"/>
  <c r="R130" i="2"/>
  <c r="Q130" i="2"/>
  <c r="P130" i="2"/>
  <c r="B104" i="2"/>
  <c r="L29" i="2"/>
  <c r="S113" i="2"/>
  <c r="R113" i="2"/>
  <c r="Q113" i="2"/>
  <c r="P113" i="2"/>
  <c r="O113" i="2"/>
  <c r="N113" i="2"/>
  <c r="M113" i="2"/>
  <c r="L113" i="2"/>
  <c r="N89" i="2"/>
  <c r="N88" i="2"/>
  <c r="O99" i="2" s="1"/>
  <c r="N87" i="2"/>
  <c r="O98" i="2" s="1"/>
  <c r="N86" i="2"/>
  <c r="O97" i="2" s="1"/>
  <c r="N85" i="2"/>
  <c r="O96" i="2" s="1"/>
  <c r="N84" i="2"/>
  <c r="O95" i="2" s="1"/>
  <c r="N83" i="2"/>
  <c r="O94" i="2" s="1"/>
  <c r="N82" i="2"/>
  <c r="O93" i="2" s="1"/>
  <c r="N81" i="2"/>
  <c r="O92" i="2" s="1"/>
  <c r="N99" i="2"/>
  <c r="N98" i="2"/>
  <c r="N97" i="2"/>
  <c r="N96" i="2"/>
  <c r="E82" i="2" l="1"/>
  <c r="E87" i="2"/>
  <c r="G91" i="2" s="1"/>
  <c r="E86" i="2"/>
  <c r="F117" i="3"/>
  <c r="G114" i="3" s="1"/>
  <c r="E117" i="3"/>
  <c r="C117" i="3"/>
  <c r="I117" i="3" s="1"/>
  <c r="J117" i="3" s="1"/>
  <c r="K117" i="3" s="1"/>
  <c r="F116" i="3"/>
  <c r="E116" i="3"/>
  <c r="C116" i="3"/>
  <c r="D116" i="3" s="1"/>
  <c r="F115" i="3"/>
  <c r="E115" i="3"/>
  <c r="C115" i="3"/>
  <c r="D115" i="3" s="1"/>
  <c r="F114" i="3"/>
  <c r="E114" i="3"/>
  <c r="C114" i="3"/>
  <c r="I114" i="3" s="1"/>
  <c r="F113" i="3"/>
  <c r="E113" i="3"/>
  <c r="C113" i="3"/>
  <c r="F112" i="3"/>
  <c r="E112" i="3"/>
  <c r="C112" i="3"/>
  <c r="D112" i="3" s="1"/>
  <c r="F111" i="3"/>
  <c r="E111" i="3"/>
  <c r="C111" i="3"/>
  <c r="I111" i="3" s="1"/>
  <c r="F110" i="3"/>
  <c r="E110" i="3"/>
  <c r="C110" i="3"/>
  <c r="F109" i="3"/>
  <c r="E109" i="3"/>
  <c r="C109" i="3"/>
  <c r="D109" i="3" s="1"/>
  <c r="F108" i="3"/>
  <c r="E108" i="3"/>
  <c r="C108" i="3"/>
  <c r="D108" i="3" s="1"/>
  <c r="F107" i="3"/>
  <c r="E107" i="3"/>
  <c r="C107" i="3"/>
  <c r="D107" i="3" s="1"/>
  <c r="F106" i="3"/>
  <c r="E106" i="3"/>
  <c r="C106" i="3"/>
  <c r="F105" i="3"/>
  <c r="E105" i="3"/>
  <c r="C105" i="3"/>
  <c r="F104" i="3"/>
  <c r="E104" i="3"/>
  <c r="D104" i="3"/>
  <c r="C104" i="3"/>
  <c r="F103" i="3"/>
  <c r="E103" i="3"/>
  <c r="C103" i="3"/>
  <c r="F102" i="3"/>
  <c r="E102" i="3"/>
  <c r="D102" i="3"/>
  <c r="C102" i="3"/>
  <c r="F101" i="3"/>
  <c r="E101" i="3"/>
  <c r="D101" i="3"/>
  <c r="C101" i="3"/>
  <c r="F100" i="3"/>
  <c r="E100" i="3"/>
  <c r="C100" i="3"/>
  <c r="D100" i="3" s="1"/>
  <c r="F99" i="3"/>
  <c r="E99" i="3"/>
  <c r="C99" i="3"/>
  <c r="D99" i="3" s="1"/>
  <c r="F98" i="3"/>
  <c r="E98" i="3"/>
  <c r="D98" i="3"/>
  <c r="C98" i="3"/>
  <c r="F97" i="3"/>
  <c r="E97" i="3"/>
  <c r="C97" i="3"/>
  <c r="F96" i="3"/>
  <c r="E96" i="3"/>
  <c r="C96" i="3"/>
  <c r="D96" i="3" s="1"/>
  <c r="F95" i="3"/>
  <c r="E95" i="3"/>
  <c r="C95" i="3"/>
  <c r="F94" i="3"/>
  <c r="E94" i="3"/>
  <c r="D94" i="3"/>
  <c r="C94" i="3"/>
  <c r="F93" i="3"/>
  <c r="E93" i="3"/>
  <c r="D93" i="3"/>
  <c r="C93" i="3"/>
  <c r="F92" i="3"/>
  <c r="E92" i="3"/>
  <c r="C92" i="3"/>
  <c r="D92" i="3" s="1"/>
  <c r="F91" i="3"/>
  <c r="G85" i="3" s="1"/>
  <c r="E91" i="3"/>
  <c r="C91" i="3"/>
  <c r="D91" i="3" s="1"/>
  <c r="F90" i="3"/>
  <c r="E90" i="3"/>
  <c r="D90" i="3"/>
  <c r="C90" i="3"/>
  <c r="F89" i="3"/>
  <c r="E89" i="3"/>
  <c r="C89" i="3"/>
  <c r="F88" i="3"/>
  <c r="E88" i="3"/>
  <c r="C88" i="3"/>
  <c r="D88" i="3" s="1"/>
  <c r="F87" i="3"/>
  <c r="E87" i="3"/>
  <c r="C87" i="3"/>
  <c r="I87" i="3" s="1"/>
  <c r="F86" i="3"/>
  <c r="E86" i="3"/>
  <c r="C86" i="3"/>
  <c r="F85" i="3"/>
  <c r="E85" i="3"/>
  <c r="D85" i="3"/>
  <c r="C85" i="3"/>
  <c r="F84" i="3"/>
  <c r="E84" i="3"/>
  <c r="C84" i="3"/>
  <c r="D84" i="3" s="1"/>
  <c r="F83" i="3"/>
  <c r="E83" i="3"/>
  <c r="C83" i="3"/>
  <c r="D83" i="3" s="1"/>
  <c r="F82" i="3"/>
  <c r="E82" i="3"/>
  <c r="C82" i="3"/>
  <c r="F81" i="3"/>
  <c r="E81" i="3"/>
  <c r="C81" i="3"/>
  <c r="F80" i="3"/>
  <c r="E80" i="3"/>
  <c r="D80" i="3"/>
  <c r="C80" i="3"/>
  <c r="F79" i="3"/>
  <c r="E79" i="3"/>
  <c r="C79" i="3"/>
  <c r="F78" i="3"/>
  <c r="E78" i="3"/>
  <c r="D78" i="3"/>
  <c r="C78" i="3"/>
  <c r="F77" i="3"/>
  <c r="G77" i="3" s="1"/>
  <c r="E77" i="3"/>
  <c r="D77" i="3"/>
  <c r="C77" i="3"/>
  <c r="F76" i="3"/>
  <c r="E76" i="3"/>
  <c r="C76" i="3"/>
  <c r="D76" i="3" s="1"/>
  <c r="F75" i="3"/>
  <c r="E75" i="3"/>
  <c r="C75" i="3"/>
  <c r="D75" i="3" s="1"/>
  <c r="F74" i="3"/>
  <c r="E74" i="3"/>
  <c r="D74" i="3"/>
  <c r="C74" i="3"/>
  <c r="F73" i="3"/>
  <c r="E73" i="3"/>
  <c r="C73" i="3"/>
  <c r="F72" i="3"/>
  <c r="E72" i="3"/>
  <c r="D72" i="3"/>
  <c r="C72" i="3"/>
  <c r="F71" i="3"/>
  <c r="E71" i="3"/>
  <c r="C71" i="3"/>
  <c r="F70" i="3"/>
  <c r="E70" i="3"/>
  <c r="C70" i="3"/>
  <c r="I70" i="3" s="1"/>
  <c r="F69" i="3"/>
  <c r="E69" i="3"/>
  <c r="C69" i="3"/>
  <c r="D69" i="3" s="1"/>
  <c r="F68" i="3"/>
  <c r="E68" i="3"/>
  <c r="C68" i="3"/>
  <c r="D68" i="3" s="1"/>
  <c r="I67" i="3"/>
  <c r="F67" i="3"/>
  <c r="E67" i="3"/>
  <c r="C67" i="3"/>
  <c r="D67" i="3" s="1"/>
  <c r="F66" i="3"/>
  <c r="E66" i="3"/>
  <c r="D66" i="3"/>
  <c r="C66" i="3"/>
  <c r="F65" i="3"/>
  <c r="E65" i="3"/>
  <c r="C65" i="3"/>
  <c r="F64" i="3"/>
  <c r="E64" i="3"/>
  <c r="D64" i="3"/>
  <c r="C64" i="3"/>
  <c r="F63" i="3"/>
  <c r="E63" i="3"/>
  <c r="C63" i="3"/>
  <c r="F62" i="3"/>
  <c r="E62" i="3"/>
  <c r="C62" i="3"/>
  <c r="I62" i="3" s="1"/>
  <c r="F61" i="3"/>
  <c r="E61" i="3"/>
  <c r="D61" i="3"/>
  <c r="C61" i="3"/>
  <c r="F60" i="3"/>
  <c r="E60" i="3"/>
  <c r="C60" i="3"/>
  <c r="D60" i="3" s="1"/>
  <c r="F59" i="3"/>
  <c r="E59" i="3"/>
  <c r="C59" i="3"/>
  <c r="D59" i="3" s="1"/>
  <c r="F58" i="3"/>
  <c r="E58" i="3"/>
  <c r="D58" i="3"/>
  <c r="C58" i="3"/>
  <c r="F57" i="3"/>
  <c r="E57" i="3"/>
  <c r="C57" i="3"/>
  <c r="F56" i="3"/>
  <c r="E56" i="3"/>
  <c r="C56" i="3"/>
  <c r="D56" i="3" s="1"/>
  <c r="F55" i="3"/>
  <c r="N75" i="2" s="1"/>
  <c r="E55" i="3"/>
  <c r="C55" i="3"/>
  <c r="F54" i="3"/>
  <c r="N74" i="2" s="1"/>
  <c r="E54" i="3"/>
  <c r="C54" i="3"/>
  <c r="F53" i="3"/>
  <c r="N73" i="2" s="1"/>
  <c r="M97" i="2" s="1"/>
  <c r="E53" i="3"/>
  <c r="D53" i="3"/>
  <c r="C53" i="3"/>
  <c r="F52" i="3"/>
  <c r="N72" i="2" s="1"/>
  <c r="E52" i="3"/>
  <c r="C52" i="3"/>
  <c r="D52" i="3" s="1"/>
  <c r="F51" i="3"/>
  <c r="N71" i="2" s="1"/>
  <c r="E51" i="3"/>
  <c r="C51" i="3"/>
  <c r="D51" i="3" s="1"/>
  <c r="F50" i="3"/>
  <c r="N70" i="2" s="1"/>
  <c r="E50" i="3"/>
  <c r="D50" i="3"/>
  <c r="C50" i="3"/>
  <c r="F49" i="3"/>
  <c r="N69" i="2" s="1"/>
  <c r="E49" i="3"/>
  <c r="C49" i="3"/>
  <c r="F48" i="3"/>
  <c r="N68" i="2" s="1"/>
  <c r="E48" i="3"/>
  <c r="C48" i="3"/>
  <c r="D48" i="3" s="1"/>
  <c r="F47" i="3"/>
  <c r="E47" i="3"/>
  <c r="C47" i="3"/>
  <c r="F46" i="3"/>
  <c r="E46" i="3"/>
  <c r="D46" i="3"/>
  <c r="C46" i="3"/>
  <c r="F45" i="3"/>
  <c r="E45" i="3"/>
  <c r="C45" i="3"/>
  <c r="D45" i="3" s="1"/>
  <c r="F44" i="3"/>
  <c r="E44" i="3"/>
  <c r="C44" i="3"/>
  <c r="D44" i="3" s="1"/>
  <c r="F43" i="3"/>
  <c r="E43" i="3"/>
  <c r="C43" i="3"/>
  <c r="D43" i="3" s="1"/>
  <c r="F42" i="3"/>
  <c r="E42" i="3"/>
  <c r="D42" i="3"/>
  <c r="C42" i="3"/>
  <c r="F41" i="3"/>
  <c r="E41" i="3"/>
  <c r="C41" i="3"/>
  <c r="F40" i="3"/>
  <c r="E40" i="3"/>
  <c r="C40" i="3"/>
  <c r="D40" i="3" s="1"/>
  <c r="F39" i="3"/>
  <c r="E39" i="3"/>
  <c r="C39" i="3"/>
  <c r="I39" i="3" s="1"/>
  <c r="F38" i="3"/>
  <c r="E38" i="3"/>
  <c r="C38" i="3"/>
  <c r="F37" i="3"/>
  <c r="E37" i="3"/>
  <c r="C37" i="3"/>
  <c r="D37" i="3" s="1"/>
  <c r="F36" i="3"/>
  <c r="E36" i="3"/>
  <c r="C36" i="3"/>
  <c r="D36" i="3" s="1"/>
  <c r="F35" i="3"/>
  <c r="E35" i="3"/>
  <c r="C35" i="3"/>
  <c r="D35" i="3" s="1"/>
  <c r="F34" i="3"/>
  <c r="E34" i="3"/>
  <c r="C34" i="3"/>
  <c r="F33" i="3"/>
  <c r="E33" i="3"/>
  <c r="C33" i="3"/>
  <c r="F32" i="3"/>
  <c r="E32" i="3"/>
  <c r="C32" i="3"/>
  <c r="D32" i="3" s="1"/>
  <c r="F31" i="3"/>
  <c r="E31" i="3"/>
  <c r="C31" i="3"/>
  <c r="I31" i="3" s="1"/>
  <c r="F30" i="3"/>
  <c r="E30" i="3"/>
  <c r="D30" i="3"/>
  <c r="C30" i="3"/>
  <c r="F29" i="3"/>
  <c r="E29" i="3"/>
  <c r="C29" i="3"/>
  <c r="D29" i="3" s="1"/>
  <c r="F28" i="3"/>
  <c r="E28" i="3"/>
  <c r="C28" i="3"/>
  <c r="D28" i="3" s="1"/>
  <c r="F27" i="3"/>
  <c r="E27" i="3"/>
  <c r="C27" i="3"/>
  <c r="D27" i="3" s="1"/>
  <c r="F26" i="3"/>
  <c r="E26" i="3"/>
  <c r="C26" i="3"/>
  <c r="I26" i="3" s="1"/>
  <c r="F25" i="3"/>
  <c r="E25" i="3"/>
  <c r="C25" i="3"/>
  <c r="F24" i="3"/>
  <c r="E24" i="3"/>
  <c r="D24" i="3"/>
  <c r="C24" i="3"/>
  <c r="F23" i="3"/>
  <c r="E23" i="3"/>
  <c r="C23" i="3"/>
  <c r="F22" i="3"/>
  <c r="E22" i="3"/>
  <c r="D22" i="3"/>
  <c r="C22" i="3"/>
  <c r="F21" i="3"/>
  <c r="E21" i="3"/>
  <c r="C21" i="3"/>
  <c r="D21" i="3" s="1"/>
  <c r="F20" i="3"/>
  <c r="E20" i="3"/>
  <c r="C20" i="3"/>
  <c r="D20" i="3" s="1"/>
  <c r="F19" i="3"/>
  <c r="E19" i="3"/>
  <c r="C19" i="3"/>
  <c r="D19" i="3" s="1"/>
  <c r="F18" i="3"/>
  <c r="E18" i="3"/>
  <c r="C18" i="3"/>
  <c r="I18" i="3" s="1"/>
  <c r="F17" i="3"/>
  <c r="E17" i="3"/>
  <c r="C17" i="3"/>
  <c r="F16" i="3"/>
  <c r="E16" i="3"/>
  <c r="C16" i="3"/>
  <c r="D16" i="3" s="1"/>
  <c r="F15" i="3"/>
  <c r="E15" i="3"/>
  <c r="C15" i="3"/>
  <c r="F14" i="3"/>
  <c r="E14" i="3"/>
  <c r="C14" i="3"/>
  <c r="F13" i="3"/>
  <c r="E13" i="3"/>
  <c r="C13" i="3"/>
  <c r="D13" i="3" s="1"/>
  <c r="F12" i="3"/>
  <c r="E12" i="3"/>
  <c r="C12" i="3"/>
  <c r="D12" i="3" s="1"/>
  <c r="F11" i="3"/>
  <c r="E11" i="3"/>
  <c r="C11" i="3"/>
  <c r="D11" i="3" s="1"/>
  <c r="F10" i="3"/>
  <c r="E10" i="3"/>
  <c r="C10" i="3"/>
  <c r="F9" i="3"/>
  <c r="E9" i="3"/>
  <c r="C9" i="3"/>
  <c r="F8" i="3"/>
  <c r="E8" i="3"/>
  <c r="C8" i="3"/>
  <c r="D8" i="3" s="1"/>
  <c r="B4" i="3"/>
  <c r="I35" i="3" s="1"/>
  <c r="F2" i="3"/>
  <c r="O41" i="2" s="1"/>
  <c r="L21" i="2"/>
  <c r="M5" i="2"/>
  <c r="L24" i="2"/>
  <c r="L25" i="2" s="1"/>
  <c r="M15" i="2"/>
  <c r="C33" i="2"/>
  <c r="C42" i="2" s="1"/>
  <c r="C34" i="2"/>
  <c r="C43" i="2" s="1"/>
  <c r="L133" i="2"/>
  <c r="L125" i="2"/>
  <c r="L118" i="2"/>
  <c r="M111" i="2"/>
  <c r="N111" i="2" s="1"/>
  <c r="O111" i="2" s="1"/>
  <c r="P111" i="2" s="1"/>
  <c r="L108" i="2"/>
  <c r="E85" i="2"/>
  <c r="G89" i="2" s="1"/>
  <c r="C94" i="2" s="1"/>
  <c r="E43" i="2"/>
  <c r="X42" i="2"/>
  <c r="X41" i="2"/>
  <c r="Q99" i="2" s="1"/>
  <c r="C36" i="2"/>
  <c r="C45" i="2" s="1"/>
  <c r="D35" i="2"/>
  <c r="D44" i="2" s="1"/>
  <c r="C35" i="2"/>
  <c r="C44" i="2" s="1"/>
  <c r="E34" i="2"/>
  <c r="D34" i="2"/>
  <c r="D43" i="2" s="1"/>
  <c r="G33" i="2"/>
  <c r="G70" i="2" s="1"/>
  <c r="F33" i="2"/>
  <c r="F42" i="2" s="1"/>
  <c r="E33" i="2"/>
  <c r="E42" i="2" s="1"/>
  <c r="D33" i="2"/>
  <c r="D42" i="2" s="1"/>
  <c r="X22" i="2"/>
  <c r="AA22" i="2" s="1"/>
  <c r="X21" i="2"/>
  <c r="AA21" i="2" s="1"/>
  <c r="X20" i="2"/>
  <c r="AA20" i="2" s="1"/>
  <c r="X19" i="2"/>
  <c r="AA19" i="2" s="1"/>
  <c r="F19" i="2"/>
  <c r="E19" i="2"/>
  <c r="D19" i="2"/>
  <c r="C19" i="2"/>
  <c r="X18" i="2"/>
  <c r="D18" i="2"/>
  <c r="C18" i="2"/>
  <c r="B18" i="2"/>
  <c r="Z7" i="2"/>
  <c r="G4" i="2"/>
  <c r="X3" i="2"/>
  <c r="Y3" i="2" s="1"/>
  <c r="Z3" i="2" s="1"/>
  <c r="AA3" i="2" s="1"/>
  <c r="M96" i="2" l="1"/>
  <c r="L20" i="2"/>
  <c r="L28" i="2" s="1"/>
  <c r="L30" i="2"/>
  <c r="M99" i="2"/>
  <c r="M89" i="2"/>
  <c r="P97" i="2"/>
  <c r="R97" i="2" s="1"/>
  <c r="P98" i="2"/>
  <c r="R98" i="2" s="1"/>
  <c r="P99" i="2"/>
  <c r="R99" i="2" s="1"/>
  <c r="M98" i="2"/>
  <c r="T141" i="2"/>
  <c r="S140" i="2"/>
  <c r="T140" i="2" s="1"/>
  <c r="R139" i="2"/>
  <c r="S139" i="2" s="1"/>
  <c r="T139" i="2" s="1"/>
  <c r="Q138" i="2"/>
  <c r="R138" i="2" s="1"/>
  <c r="S138" i="2" s="1"/>
  <c r="T138" i="2" s="1"/>
  <c r="B24" i="2"/>
  <c r="E5" i="2" s="1"/>
  <c r="F5" i="2" s="1"/>
  <c r="G5" i="2" s="1"/>
  <c r="M133" i="2"/>
  <c r="L143" i="2"/>
  <c r="T133" i="2"/>
  <c r="Q133" i="2"/>
  <c r="S133" i="2"/>
  <c r="R133" i="2"/>
  <c r="P133" i="2"/>
  <c r="P137" i="2"/>
  <c r="Q137" i="2" s="1"/>
  <c r="R137" i="2" s="1"/>
  <c r="S137" i="2" s="1"/>
  <c r="T137" i="2" s="1"/>
  <c r="M125" i="2"/>
  <c r="N125" i="2" s="1"/>
  <c r="O125" i="2" s="1"/>
  <c r="P125" i="2" s="1"/>
  <c r="Q125" i="2" s="1"/>
  <c r="R125" i="2" s="1"/>
  <c r="S125" i="2" s="1"/>
  <c r="T125" i="2" s="1"/>
  <c r="G56" i="3"/>
  <c r="O76" i="2" s="1"/>
  <c r="N76" i="2"/>
  <c r="I19" i="3"/>
  <c r="I22" i="3"/>
  <c r="I42" i="3"/>
  <c r="I55" i="3"/>
  <c r="I79" i="3"/>
  <c r="I90" i="3"/>
  <c r="I103" i="3"/>
  <c r="G113" i="3"/>
  <c r="F3" i="3"/>
  <c r="O42" i="2" s="1"/>
  <c r="L51" i="2" s="1"/>
  <c r="M51" i="2" s="1"/>
  <c r="I11" i="3"/>
  <c r="I13" i="3"/>
  <c r="D18" i="3"/>
  <c r="G33" i="3"/>
  <c r="I38" i="3"/>
  <c r="G29" i="3"/>
  <c r="I58" i="3"/>
  <c r="D62" i="3"/>
  <c r="I71" i="3"/>
  <c r="I82" i="3"/>
  <c r="I86" i="3"/>
  <c r="I106" i="3"/>
  <c r="I110" i="3"/>
  <c r="D114" i="3"/>
  <c r="G117" i="3"/>
  <c r="H117" i="3" s="1"/>
  <c r="G111" i="3"/>
  <c r="I109" i="3"/>
  <c r="I10" i="3"/>
  <c r="I14" i="3"/>
  <c r="I34" i="3"/>
  <c r="D38" i="3"/>
  <c r="I47" i="3"/>
  <c r="G64" i="3"/>
  <c r="I75" i="3"/>
  <c r="D82" i="3"/>
  <c r="D86" i="3"/>
  <c r="I95" i="3"/>
  <c r="D106" i="3"/>
  <c r="D110" i="3"/>
  <c r="I59" i="3"/>
  <c r="B25" i="2"/>
  <c r="D10" i="3"/>
  <c r="D14" i="3"/>
  <c r="I23" i="3"/>
  <c r="D34" i="3"/>
  <c r="I51" i="3"/>
  <c r="I54" i="3"/>
  <c r="G60" i="3"/>
  <c r="I74" i="3"/>
  <c r="I78" i="3"/>
  <c r="G97" i="3"/>
  <c r="I99" i="3"/>
  <c r="I102" i="3"/>
  <c r="G68" i="3"/>
  <c r="I83" i="3"/>
  <c r="I107" i="3"/>
  <c r="I115" i="3"/>
  <c r="J115" i="3" s="1"/>
  <c r="K115" i="3" s="1"/>
  <c r="AB7" i="2"/>
  <c r="Y30" i="2"/>
  <c r="M118" i="2"/>
  <c r="N118" i="2" s="1"/>
  <c r="O118" i="2" s="1"/>
  <c r="P118" i="2" s="1"/>
  <c r="Q118" i="2" s="1"/>
  <c r="R118" i="2" s="1"/>
  <c r="S118" i="2" s="1"/>
  <c r="T118" i="2" s="1"/>
  <c r="I27" i="3"/>
  <c r="I30" i="3"/>
  <c r="I50" i="3"/>
  <c r="D54" i="3"/>
  <c r="I63" i="3"/>
  <c r="I98" i="3"/>
  <c r="G101" i="3"/>
  <c r="G112" i="3"/>
  <c r="G116" i="3"/>
  <c r="H116" i="3" s="1"/>
  <c r="I15" i="3"/>
  <c r="D26" i="3"/>
  <c r="I43" i="3"/>
  <c r="I46" i="3"/>
  <c r="I66" i="3"/>
  <c r="D70" i="3"/>
  <c r="I91" i="3"/>
  <c r="I94" i="3"/>
  <c r="D117" i="3"/>
  <c r="G8" i="3"/>
  <c r="G41" i="3"/>
  <c r="G49" i="3"/>
  <c r="O69" i="2" s="1"/>
  <c r="G55" i="3"/>
  <c r="O75" i="2" s="1"/>
  <c r="G62" i="3"/>
  <c r="G59" i="3"/>
  <c r="D65" i="3"/>
  <c r="I65" i="3"/>
  <c r="G72" i="3"/>
  <c r="G76" i="3"/>
  <c r="G93" i="3"/>
  <c r="D113" i="3"/>
  <c r="I113" i="3"/>
  <c r="G16" i="3"/>
  <c r="G20" i="3"/>
  <c r="G37" i="3"/>
  <c r="G57" i="3"/>
  <c r="G63" i="3"/>
  <c r="G70" i="3"/>
  <c r="G67" i="3"/>
  <c r="D73" i="3"/>
  <c r="I73" i="3"/>
  <c r="G80" i="3"/>
  <c r="G84" i="3"/>
  <c r="G3" i="3"/>
  <c r="P42" i="2" s="1"/>
  <c r="G21" i="3"/>
  <c r="G103" i="3"/>
  <c r="G110" i="3"/>
  <c r="G107" i="3"/>
  <c r="G9" i="3"/>
  <c r="G14" i="3"/>
  <c r="G11" i="3"/>
  <c r="D17" i="3"/>
  <c r="I17" i="3"/>
  <c r="G24" i="3"/>
  <c r="G28" i="3"/>
  <c r="G45" i="3"/>
  <c r="G65" i="3"/>
  <c r="G71" i="3"/>
  <c r="G78" i="3"/>
  <c r="G75" i="3"/>
  <c r="D81" i="3"/>
  <c r="I81" i="3"/>
  <c r="G88" i="3"/>
  <c r="G92" i="3"/>
  <c r="G47" i="3"/>
  <c r="G54" i="3"/>
  <c r="O74" i="2" s="1"/>
  <c r="G51" i="3"/>
  <c r="O71" i="2" s="1"/>
  <c r="D25" i="3"/>
  <c r="I25" i="3"/>
  <c r="G32" i="3"/>
  <c r="G36" i="3"/>
  <c r="G53" i="3"/>
  <c r="O73" i="2" s="1"/>
  <c r="G73" i="3"/>
  <c r="G79" i="3"/>
  <c r="G86" i="3"/>
  <c r="G83" i="3"/>
  <c r="D89" i="3"/>
  <c r="I89" i="3"/>
  <c r="G96" i="3"/>
  <c r="G100" i="3"/>
  <c r="G109" i="3"/>
  <c r="G39" i="3"/>
  <c r="G46" i="3"/>
  <c r="G43" i="3"/>
  <c r="D49" i="3"/>
  <c r="I49" i="3"/>
  <c r="G105" i="3"/>
  <c r="G15" i="3"/>
  <c r="G22" i="3"/>
  <c r="G19" i="3"/>
  <c r="G17" i="3"/>
  <c r="G23" i="3"/>
  <c r="G30" i="3"/>
  <c r="G27" i="3"/>
  <c r="D33" i="3"/>
  <c r="I33" i="3"/>
  <c r="G40" i="3"/>
  <c r="G44" i="3"/>
  <c r="G61" i="3"/>
  <c r="G81" i="3"/>
  <c r="G87" i="3"/>
  <c r="G94" i="3"/>
  <c r="G91" i="3"/>
  <c r="D97" i="3"/>
  <c r="I97" i="3"/>
  <c r="G104" i="3"/>
  <c r="G12" i="3"/>
  <c r="D57" i="3"/>
  <c r="I57" i="3"/>
  <c r="D9" i="3"/>
  <c r="I9" i="3"/>
  <c r="G13" i="3"/>
  <c r="G25" i="3"/>
  <c r="G31" i="3"/>
  <c r="G38" i="3"/>
  <c r="G35" i="3"/>
  <c r="D41" i="3"/>
  <c r="I41" i="3"/>
  <c r="G48" i="3"/>
  <c r="O68" i="2" s="1"/>
  <c r="G52" i="3"/>
  <c r="O72" i="2" s="1"/>
  <c r="G69" i="3"/>
  <c r="G89" i="3"/>
  <c r="G95" i="3"/>
  <c r="H95" i="3" s="1"/>
  <c r="G102" i="3"/>
  <c r="G99" i="3"/>
  <c r="D105" i="3"/>
  <c r="I105" i="3"/>
  <c r="G108" i="3"/>
  <c r="I8" i="3"/>
  <c r="G10" i="3"/>
  <c r="I16" i="3"/>
  <c r="J15" i="3" s="1"/>
  <c r="G18" i="3"/>
  <c r="I24" i="3"/>
  <c r="G26" i="3"/>
  <c r="I32" i="3"/>
  <c r="G34" i="3"/>
  <c r="I40" i="3"/>
  <c r="G42" i="3"/>
  <c r="I48" i="3"/>
  <c r="G50" i="3"/>
  <c r="O70" i="2" s="1"/>
  <c r="I56" i="3"/>
  <c r="G58" i="3"/>
  <c r="I64" i="3"/>
  <c r="G66" i="3"/>
  <c r="I72" i="3"/>
  <c r="G74" i="3"/>
  <c r="I80" i="3"/>
  <c r="J80" i="3" s="1"/>
  <c r="G82" i="3"/>
  <c r="I88" i="3"/>
  <c r="G90" i="3"/>
  <c r="I96" i="3"/>
  <c r="G98" i="3"/>
  <c r="I104" i="3"/>
  <c r="G106" i="3"/>
  <c r="I112" i="3"/>
  <c r="J112" i="3" s="1"/>
  <c r="G115" i="3"/>
  <c r="H112" i="3" s="1"/>
  <c r="D15" i="3"/>
  <c r="D23" i="3"/>
  <c r="D31" i="3"/>
  <c r="D39" i="3"/>
  <c r="D47" i="3"/>
  <c r="D55" i="3"/>
  <c r="D63" i="3"/>
  <c r="D71" i="3"/>
  <c r="D79" i="3"/>
  <c r="D87" i="3"/>
  <c r="D95" i="3"/>
  <c r="D103" i="3"/>
  <c r="D111" i="3"/>
  <c r="I12" i="3"/>
  <c r="I20" i="3"/>
  <c r="I28" i="3"/>
  <c r="I36" i="3"/>
  <c r="I44" i="3"/>
  <c r="I52" i="3"/>
  <c r="I60" i="3"/>
  <c r="I68" i="3"/>
  <c r="I76" i="3"/>
  <c r="I84" i="3"/>
  <c r="J84" i="3" s="1"/>
  <c r="I92" i="3"/>
  <c r="I100" i="3"/>
  <c r="I108" i="3"/>
  <c r="I116" i="3"/>
  <c r="J116" i="3" s="1"/>
  <c r="K116" i="3" s="1"/>
  <c r="I21" i="3"/>
  <c r="I29" i="3"/>
  <c r="I37" i="3"/>
  <c r="I45" i="3"/>
  <c r="J45" i="3" s="1"/>
  <c r="I53" i="3"/>
  <c r="I61" i="3"/>
  <c r="I69" i="3"/>
  <c r="I77" i="3"/>
  <c r="I85" i="3"/>
  <c r="I93" i="3"/>
  <c r="I101" i="3"/>
  <c r="O133" i="2"/>
  <c r="M94" i="2"/>
  <c r="M134" i="2"/>
  <c r="N134" i="2" s="1"/>
  <c r="O134" i="2" s="1"/>
  <c r="P134" i="2" s="1"/>
  <c r="Q134" i="2" s="1"/>
  <c r="R134" i="2" s="1"/>
  <c r="S134" i="2" s="1"/>
  <c r="T134" i="2" s="1"/>
  <c r="M92" i="2"/>
  <c r="O136" i="2"/>
  <c r="P136" i="2" s="1"/>
  <c r="Q136" i="2" s="1"/>
  <c r="R136" i="2" s="1"/>
  <c r="S136" i="2" s="1"/>
  <c r="T136" i="2" s="1"/>
  <c r="N135" i="2"/>
  <c r="O135" i="2" s="1"/>
  <c r="P135" i="2" s="1"/>
  <c r="Q135" i="2" s="1"/>
  <c r="R135" i="2" s="1"/>
  <c r="S135" i="2" s="1"/>
  <c r="T135" i="2" s="1"/>
  <c r="N133" i="2"/>
  <c r="M95" i="2"/>
  <c r="G90" i="2"/>
  <c r="C95" i="2" s="1"/>
  <c r="C96" i="2" s="1"/>
  <c r="B96" i="2" s="1"/>
  <c r="B22" i="2"/>
  <c r="C7" i="2" s="1"/>
  <c r="B23" i="2"/>
  <c r="D6" i="2" s="1"/>
  <c r="M93" i="2"/>
  <c r="N92" i="2"/>
  <c r="P92" i="2" s="1"/>
  <c r="R92" i="2" s="1"/>
  <c r="H70" i="2"/>
  <c r="AA18" i="2"/>
  <c r="AB18" i="2" s="1"/>
  <c r="AB19" i="2" s="1"/>
  <c r="AB20" i="2" s="1"/>
  <c r="AB21" i="2" s="1"/>
  <c r="AB22" i="2" s="1"/>
  <c r="AB31" i="2" s="1"/>
  <c r="Y18" i="2"/>
  <c r="Y19" i="2" s="1"/>
  <c r="Y20" i="2" s="1"/>
  <c r="Y21" i="2" s="1"/>
  <c r="Y22" i="2" s="1"/>
  <c r="N93" i="2"/>
  <c r="P93" i="2" s="1"/>
  <c r="R93" i="2" s="1"/>
  <c r="N94" i="2"/>
  <c r="P94" i="2" s="1"/>
  <c r="R94" i="2" s="1"/>
  <c r="N95" i="2"/>
  <c r="P95" i="2" s="1"/>
  <c r="R95" i="2" s="1"/>
  <c r="B54" i="2"/>
  <c r="Q143" i="2" l="1"/>
  <c r="S76" i="2"/>
  <c r="S143" i="2"/>
  <c r="O143" i="2"/>
  <c r="T143" i="2"/>
  <c r="N143" i="2"/>
  <c r="M143" i="2"/>
  <c r="S74" i="2"/>
  <c r="P143" i="2"/>
  <c r="S72" i="2"/>
  <c r="S73" i="2"/>
  <c r="E6" i="2"/>
  <c r="F6" i="2" s="1"/>
  <c r="G6" i="2" s="1"/>
  <c r="S75" i="2"/>
  <c r="R143" i="2"/>
  <c r="J30" i="3"/>
  <c r="J106" i="3"/>
  <c r="J42" i="3"/>
  <c r="H109" i="3"/>
  <c r="J98" i="3"/>
  <c r="J35" i="3"/>
  <c r="J86" i="3"/>
  <c r="J54" i="3"/>
  <c r="M74" i="2" s="1"/>
  <c r="J22" i="3"/>
  <c r="J51" i="3"/>
  <c r="M71" i="2" s="1"/>
  <c r="J91" i="3"/>
  <c r="J26" i="3"/>
  <c r="J46" i="3"/>
  <c r="H87" i="3"/>
  <c r="J75" i="3"/>
  <c r="H106" i="3"/>
  <c r="Y31" i="2"/>
  <c r="J87" i="3"/>
  <c r="J102" i="3"/>
  <c r="J70" i="3"/>
  <c r="J38" i="3"/>
  <c r="J114" i="3"/>
  <c r="K114" i="3" s="1"/>
  <c r="H56" i="3"/>
  <c r="H3" i="3" s="1"/>
  <c r="Q42" i="2" s="1"/>
  <c r="H97" i="3"/>
  <c r="H33" i="3"/>
  <c r="H108" i="3"/>
  <c r="H101" i="3"/>
  <c r="H19" i="3"/>
  <c r="H85" i="3"/>
  <c r="H111" i="3"/>
  <c r="H68" i="3"/>
  <c r="J20" i="3"/>
  <c r="H79" i="3"/>
  <c r="J14" i="3"/>
  <c r="J47" i="3"/>
  <c r="J101" i="3"/>
  <c r="H74" i="3"/>
  <c r="H42" i="3"/>
  <c r="H10" i="3"/>
  <c r="J95" i="3"/>
  <c r="H22" i="3"/>
  <c r="J49" i="3"/>
  <c r="M69" i="2" s="1"/>
  <c r="J79" i="3"/>
  <c r="J71" i="3"/>
  <c r="H21" i="3"/>
  <c r="H80" i="3"/>
  <c r="J43" i="3"/>
  <c r="H93" i="3"/>
  <c r="H55" i="3"/>
  <c r="H8" i="3"/>
  <c r="J18" i="3"/>
  <c r="J17" i="3"/>
  <c r="J8" i="3"/>
  <c r="J78" i="3"/>
  <c r="J110" i="3"/>
  <c r="H81" i="3"/>
  <c r="H27" i="3"/>
  <c r="H15" i="3"/>
  <c r="H100" i="3"/>
  <c r="H73" i="3"/>
  <c r="H92" i="3"/>
  <c r="H65" i="3"/>
  <c r="H11" i="3"/>
  <c r="J73" i="3"/>
  <c r="H37" i="3"/>
  <c r="J55" i="3"/>
  <c r="M75" i="2" s="1"/>
  <c r="H62" i="3"/>
  <c r="J104" i="3"/>
  <c r="J21" i="3"/>
  <c r="H30" i="3"/>
  <c r="H76" i="3"/>
  <c r="H49" i="3"/>
  <c r="J90" i="3"/>
  <c r="J33" i="3"/>
  <c r="H71" i="3"/>
  <c r="J99" i="3"/>
  <c r="J12" i="3"/>
  <c r="J10" i="3"/>
  <c r="J68" i="3"/>
  <c r="J66" i="3"/>
  <c r="H89" i="3"/>
  <c r="H98" i="3"/>
  <c r="J111" i="3"/>
  <c r="J64" i="3"/>
  <c r="H31" i="3"/>
  <c r="H61" i="3"/>
  <c r="J89" i="3"/>
  <c r="H45" i="3"/>
  <c r="H9" i="3"/>
  <c r="H20" i="3"/>
  <c r="H72" i="3"/>
  <c r="J16" i="3"/>
  <c r="H41" i="3"/>
  <c r="H35" i="3"/>
  <c r="J60" i="3"/>
  <c r="J58" i="3"/>
  <c r="H66" i="3"/>
  <c r="H38" i="3"/>
  <c r="H104" i="3"/>
  <c r="H96" i="3"/>
  <c r="J59" i="3"/>
  <c r="J109" i="3"/>
  <c r="H14" i="3"/>
  <c r="J77" i="3"/>
  <c r="J52" i="3"/>
  <c r="M72" i="2" s="1"/>
  <c r="J50" i="3"/>
  <c r="M70" i="2" s="1"/>
  <c r="J96" i="3"/>
  <c r="J32" i="3"/>
  <c r="J105" i="3"/>
  <c r="H69" i="3"/>
  <c r="J97" i="3"/>
  <c r="H23" i="3"/>
  <c r="H105" i="3"/>
  <c r="H46" i="3"/>
  <c r="H53" i="3"/>
  <c r="J81" i="3"/>
  <c r="H67" i="3"/>
  <c r="J69" i="3"/>
  <c r="J108" i="3"/>
  <c r="J44" i="3"/>
  <c r="H90" i="3"/>
  <c r="H58" i="3"/>
  <c r="H26" i="3"/>
  <c r="J62" i="3"/>
  <c r="J31" i="3"/>
  <c r="H12" i="3"/>
  <c r="J23" i="3"/>
  <c r="H39" i="3"/>
  <c r="H51" i="3"/>
  <c r="H107" i="3"/>
  <c r="J19" i="3"/>
  <c r="H70" i="3"/>
  <c r="H16" i="3"/>
  <c r="J65" i="3"/>
  <c r="J82" i="3"/>
  <c r="J48" i="3"/>
  <c r="I2" i="3"/>
  <c r="R41" i="2" s="1"/>
  <c r="J9" i="3"/>
  <c r="J83" i="3"/>
  <c r="H57" i="3"/>
  <c r="J76" i="3"/>
  <c r="J74" i="3"/>
  <c r="J29" i="3"/>
  <c r="J72" i="3"/>
  <c r="J85" i="3"/>
  <c r="H43" i="3"/>
  <c r="J61" i="3"/>
  <c r="J100" i="3"/>
  <c r="J36" i="3"/>
  <c r="J88" i="3"/>
  <c r="I3" i="3"/>
  <c r="R42" i="2" s="1"/>
  <c r="J56" i="3"/>
  <c r="M76" i="2" s="1"/>
  <c r="J24" i="3"/>
  <c r="H99" i="3"/>
  <c r="H52" i="3"/>
  <c r="H25" i="3"/>
  <c r="H77" i="3"/>
  <c r="H91" i="3"/>
  <c r="H44" i="3"/>
  <c r="H17" i="3"/>
  <c r="J27" i="3"/>
  <c r="J13" i="3"/>
  <c r="H83" i="3"/>
  <c r="H36" i="3"/>
  <c r="H54" i="3"/>
  <c r="H75" i="3"/>
  <c r="H28" i="3"/>
  <c r="H110" i="3"/>
  <c r="J107" i="3"/>
  <c r="H63" i="3"/>
  <c r="J113" i="3"/>
  <c r="K113" i="3" s="1"/>
  <c r="H29" i="3"/>
  <c r="J41" i="3"/>
  <c r="J25" i="3"/>
  <c r="H84" i="3"/>
  <c r="J37" i="3"/>
  <c r="J93" i="3"/>
  <c r="J40" i="3"/>
  <c r="H34" i="3"/>
  <c r="J57" i="3"/>
  <c r="J67" i="3"/>
  <c r="H88" i="3"/>
  <c r="J53" i="3"/>
  <c r="M73" i="2" s="1"/>
  <c r="J92" i="3"/>
  <c r="J28" i="3"/>
  <c r="H115" i="3"/>
  <c r="H114" i="3"/>
  <c r="H82" i="3"/>
  <c r="H50" i="3"/>
  <c r="H18" i="3"/>
  <c r="H102" i="3"/>
  <c r="H48" i="3"/>
  <c r="H2" i="3" s="1"/>
  <c r="Q41" i="2" s="1"/>
  <c r="G2" i="3"/>
  <c r="P41" i="2" s="1"/>
  <c r="L54" i="2" s="1"/>
  <c r="H13" i="3"/>
  <c r="J39" i="3"/>
  <c r="H94" i="3"/>
  <c r="H40" i="3"/>
  <c r="J11" i="3"/>
  <c r="J103" i="3"/>
  <c r="H113" i="3"/>
  <c r="H86" i="3"/>
  <c r="H32" i="3"/>
  <c r="H47" i="3"/>
  <c r="H78" i="3"/>
  <c r="H24" i="3"/>
  <c r="H103" i="3"/>
  <c r="J94" i="3"/>
  <c r="J63" i="3"/>
  <c r="H59" i="3"/>
  <c r="H64" i="3"/>
  <c r="H60" i="3"/>
  <c r="J34" i="3"/>
  <c r="D7" i="2"/>
  <c r="E7" i="2" s="1"/>
  <c r="F7" i="2" s="1"/>
  <c r="G7" i="2" s="1"/>
  <c r="P96" i="2"/>
  <c r="D54" i="2"/>
  <c r="G8" i="2" l="1"/>
  <c r="K92" i="3"/>
  <c r="K45" i="3"/>
  <c r="M68" i="2"/>
  <c r="K42" i="3"/>
  <c r="K108" i="3"/>
  <c r="K63" i="3"/>
  <c r="K94" i="3"/>
  <c r="K103" i="3"/>
  <c r="K109" i="3"/>
  <c r="K102" i="3"/>
  <c r="K112" i="3"/>
  <c r="K15" i="3"/>
  <c r="R96" i="2"/>
  <c r="N102" i="2" s="1"/>
  <c r="K37" i="3"/>
  <c r="K72" i="3"/>
  <c r="K33" i="3"/>
  <c r="K55" i="3"/>
  <c r="K23" i="3"/>
  <c r="K60" i="3"/>
  <c r="K47" i="3"/>
  <c r="K67" i="3"/>
  <c r="K36" i="3"/>
  <c r="K76" i="3"/>
  <c r="K65" i="3"/>
  <c r="K69" i="3"/>
  <c r="K89" i="3"/>
  <c r="K68" i="3"/>
  <c r="K73" i="3"/>
  <c r="K14" i="3"/>
  <c r="K106" i="3"/>
  <c r="K53" i="3"/>
  <c r="K29" i="3"/>
  <c r="K58" i="3"/>
  <c r="K80" i="3"/>
  <c r="K101" i="3"/>
  <c r="K87" i="3"/>
  <c r="K11" i="3"/>
  <c r="K82" i="3"/>
  <c r="K49" i="3"/>
  <c r="K57" i="3"/>
  <c r="K100" i="3"/>
  <c r="K31" i="3"/>
  <c r="K105" i="3"/>
  <c r="K59" i="3"/>
  <c r="K10" i="3"/>
  <c r="K110" i="3"/>
  <c r="K46" i="3"/>
  <c r="K30" i="3"/>
  <c r="J3" i="3"/>
  <c r="S42" i="2" s="1"/>
  <c r="P72" i="2" s="1"/>
  <c r="K56" i="3"/>
  <c r="K3" i="3" s="1"/>
  <c r="T42" i="2" s="1"/>
  <c r="K52" i="3"/>
  <c r="K71" i="3"/>
  <c r="K35" i="3"/>
  <c r="K44" i="3"/>
  <c r="K18" i="3"/>
  <c r="K25" i="3"/>
  <c r="K88" i="3"/>
  <c r="K90" i="3"/>
  <c r="K98" i="3"/>
  <c r="K41" i="3"/>
  <c r="K83" i="3"/>
  <c r="K81" i="3"/>
  <c r="K12" i="3"/>
  <c r="K78" i="3"/>
  <c r="K43" i="3"/>
  <c r="K95" i="3"/>
  <c r="K20" i="3"/>
  <c r="K26" i="3"/>
  <c r="K54" i="3"/>
  <c r="K48" i="3"/>
  <c r="K2" i="3" s="1"/>
  <c r="T41" i="2" s="1"/>
  <c r="J2" i="3"/>
  <c r="S41" i="2" s="1"/>
  <c r="K77" i="3"/>
  <c r="K79" i="3"/>
  <c r="K74" i="3"/>
  <c r="K97" i="3"/>
  <c r="K66" i="3"/>
  <c r="K75" i="3"/>
  <c r="K34" i="3"/>
  <c r="K32" i="3"/>
  <c r="K19" i="3"/>
  <c r="K99" i="3"/>
  <c r="K22" i="3"/>
  <c r="K39" i="3"/>
  <c r="K61" i="3"/>
  <c r="K62" i="3"/>
  <c r="K16" i="3"/>
  <c r="K40" i="3"/>
  <c r="K13" i="3"/>
  <c r="K9" i="3"/>
  <c r="K96" i="3"/>
  <c r="K84" i="3"/>
  <c r="K64" i="3"/>
  <c r="K21" i="3"/>
  <c r="K8" i="3"/>
  <c r="K38" i="3"/>
  <c r="K91" i="3"/>
  <c r="K28" i="3"/>
  <c r="K93" i="3"/>
  <c r="K107" i="3"/>
  <c r="K27" i="3"/>
  <c r="K24" i="3"/>
  <c r="K85" i="3"/>
  <c r="K50" i="3"/>
  <c r="K111" i="3"/>
  <c r="K104" i="3"/>
  <c r="K17" i="3"/>
  <c r="K70" i="3"/>
  <c r="K86" i="3"/>
  <c r="K51" i="3"/>
  <c r="S68" i="2"/>
  <c r="S69" i="2"/>
  <c r="S70" i="2"/>
  <c r="S71" i="2"/>
  <c r="B55" i="2"/>
  <c r="P68" i="2" l="1"/>
  <c r="P74" i="2"/>
  <c r="P71" i="2"/>
  <c r="P69" i="2"/>
  <c r="P73" i="2"/>
  <c r="P75" i="2"/>
  <c r="P76" i="2"/>
  <c r="P70" i="2"/>
  <c r="F54" i="2"/>
  <c r="D55" i="2"/>
  <c r="L50" i="2"/>
  <c r="M50" i="2" s="1"/>
  <c r="L52" i="2" l="1"/>
  <c r="M52" i="2" s="1"/>
  <c r="B56" i="2"/>
  <c r="F55" i="2" l="1"/>
  <c r="D56" i="2"/>
  <c r="B57" i="2" l="1"/>
  <c r="F56" i="2" l="1"/>
  <c r="G58" i="2" s="1"/>
  <c r="D57" i="2"/>
  <c r="B63" i="2" l="1"/>
  <c r="B62" i="2"/>
  <c r="B61" i="2"/>
  <c r="C61" i="2" s="1"/>
  <c r="G71" i="2"/>
  <c r="G72" i="2" l="1"/>
  <c r="C62" i="2"/>
  <c r="F43" i="2"/>
  <c r="F71" i="2" s="1"/>
  <c r="H71" i="2" s="1"/>
  <c r="E44" i="2"/>
  <c r="E72" i="2" s="1"/>
  <c r="D45" i="2"/>
  <c r="D73" i="2" s="1"/>
  <c r="C63" i="2" l="1"/>
  <c r="F45" i="2" s="1"/>
  <c r="F73" i="2" s="1"/>
  <c r="F44" i="2"/>
  <c r="F72" i="2" s="1"/>
  <c r="H72" i="2" s="1"/>
  <c r="E45" i="2"/>
  <c r="E73" i="2" s="1"/>
  <c r="G73" i="2"/>
  <c r="H73" i="2" l="1"/>
  <c r="H74" i="2" s="1"/>
  <c r="L59" i="2"/>
  <c r="M59" i="2" s="1"/>
  <c r="L60" i="2" l="1"/>
  <c r="M60" i="2" s="1"/>
  <c r="L61" i="2"/>
  <c r="M61" i="2" s="1"/>
  <c r="T76" i="2" l="1"/>
  <c r="U76" i="2" s="1"/>
  <c r="T74" i="2"/>
  <c r="U74" i="2" s="1"/>
  <c r="T75" i="2"/>
  <c r="U75" i="2" s="1"/>
  <c r="T71" i="2"/>
  <c r="U71" i="2" s="1"/>
  <c r="T69" i="2"/>
  <c r="U69" i="2" s="1"/>
  <c r="T73" i="2"/>
  <c r="U73" i="2" s="1"/>
  <c r="L117" i="2"/>
  <c r="T68" i="2"/>
  <c r="U68" i="2" s="1"/>
  <c r="T70" i="2"/>
  <c r="U70" i="2" s="1"/>
  <c r="T72" i="2"/>
  <c r="U72" i="2" s="1"/>
  <c r="M85" i="2" l="1"/>
  <c r="P85" i="2"/>
  <c r="P87" i="2"/>
  <c r="M87" i="2"/>
  <c r="O87" i="2" s="1"/>
  <c r="Q87" i="2" s="1"/>
  <c r="M86" i="2"/>
  <c r="O86" i="2" s="1"/>
  <c r="P86" i="2"/>
  <c r="P88" i="2"/>
  <c r="M88" i="2"/>
  <c r="O88" i="2" s="1"/>
  <c r="Q88" i="2" s="1"/>
  <c r="P84" i="2"/>
  <c r="M84" i="2"/>
  <c r="O84" i="2" s="1"/>
  <c r="P82" i="2"/>
  <c r="M82" i="2"/>
  <c r="O82" i="2" s="1"/>
  <c r="M117" i="2"/>
  <c r="N117" i="2" s="1"/>
  <c r="O117" i="2" s="1"/>
  <c r="P117" i="2" s="1"/>
  <c r="Q117" i="2" s="1"/>
  <c r="R117" i="2" s="1"/>
  <c r="S117" i="2" s="1"/>
  <c r="T117" i="2" s="1"/>
  <c r="M130" i="2"/>
  <c r="N130" i="2"/>
  <c r="L130" i="2"/>
  <c r="O130" i="2"/>
  <c r="O85" i="2"/>
  <c r="P81" i="2"/>
  <c r="M81" i="2"/>
  <c r="O81" i="2" s="1"/>
  <c r="M83" i="2"/>
  <c r="O83" i="2" s="1"/>
  <c r="P83" i="2"/>
  <c r="Q86" i="2" l="1"/>
  <c r="Q84" i="2"/>
  <c r="Q85" i="2"/>
  <c r="Q81" i="2"/>
  <c r="Q82" i="2"/>
  <c r="Q8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Eraldo Antonini</author>
  </authors>
  <commentList>
    <comment ref="J8" authorId="0" shapeId="0" xr:uid="{098E0B32-9BAD-604B-A74D-5DE19401A738}">
      <text>
        <r>
          <rPr>
            <b/>
            <sz val="9"/>
            <color rgb="FF000000"/>
            <rFont val="Tahoma"/>
            <family val="2"/>
          </rPr>
          <t>Eraldo Antonini: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ipotesi di centralità dei decessi</t>
        </r>
      </text>
    </comment>
  </commentList>
</comments>
</file>

<file path=xl/sharedStrings.xml><?xml version="1.0" encoding="utf-8"?>
<sst xmlns="http://schemas.openxmlformats.org/spreadsheetml/2006/main" count="189" uniqueCount="146">
  <si>
    <t>sesso (M/F)</t>
  </si>
  <si>
    <t>età</t>
  </si>
  <si>
    <t xml:space="preserve">Dx </t>
  </si>
  <si>
    <t xml:space="preserve">Nx </t>
  </si>
  <si>
    <t>Sx</t>
  </si>
  <si>
    <t>Cx</t>
  </si>
  <si>
    <t>Mx</t>
  </si>
  <si>
    <t>Rx</t>
  </si>
  <si>
    <t>tasso tecnico</t>
  </si>
  <si>
    <t>fattore sconto</t>
  </si>
  <si>
    <t>tavola</t>
  </si>
  <si>
    <t>Decessi</t>
  </si>
  <si>
    <t>prob. Morte*1000</t>
  </si>
  <si>
    <t>prob. sopravv*1000</t>
  </si>
  <si>
    <t>STIMA DELLA RISERVA SINISTRI COL METODO DELLA CATENA</t>
  </si>
  <si>
    <t>CONTO TECNICO RAMO DANNI</t>
  </si>
  <si>
    <t>RIVALUTAZIONE CLIQUET E BEST OF</t>
  </si>
  <si>
    <t>valori  cumulati dei risarcimenti in euro</t>
  </si>
  <si>
    <t>differimento del risarcimento</t>
  </si>
  <si>
    <t>Ricavi</t>
  </si>
  <si>
    <t>Costi</t>
  </si>
  <si>
    <t>tassi rendimento gestione separata</t>
  </si>
  <si>
    <t>accadimento</t>
  </si>
  <si>
    <t>&gt;3</t>
  </si>
  <si>
    <t>Riserva</t>
  </si>
  <si>
    <t>Riserva Premi inizio esercizio</t>
  </si>
  <si>
    <t>anniversario</t>
  </si>
  <si>
    <t>Premi contabilizzati nell'esercizio</t>
  </si>
  <si>
    <t>rendimento</t>
  </si>
  <si>
    <t>Riserva premi fine esercizio</t>
  </si>
  <si>
    <t>tasso tecnico nullo</t>
  </si>
  <si>
    <t>premio unico di tariffa</t>
  </si>
  <si>
    <t>premio unico puro</t>
  </si>
  <si>
    <t>capitale</t>
  </si>
  <si>
    <t>caricamento in cifra fissa</t>
  </si>
  <si>
    <t>caricamento proporzionale</t>
  </si>
  <si>
    <t>generazione</t>
  </si>
  <si>
    <t>num. Sinistri</t>
  </si>
  <si>
    <t xml:space="preserve">Riserva sinistri fine esercizio </t>
  </si>
  <si>
    <t>riferita a sinistri dell'esercizio</t>
  </si>
  <si>
    <t>aliquota retrocessione</t>
  </si>
  <si>
    <t xml:space="preserve">tasso minimo garantito </t>
  </si>
  <si>
    <t>riferita a sinistri di esercizi precedenti</t>
  </si>
  <si>
    <t xml:space="preserve">Spese  </t>
  </si>
  <si>
    <t>t</t>
  </si>
  <si>
    <t>retrocesso</t>
  </si>
  <si>
    <t>cliquet</t>
  </si>
  <si>
    <t>somme</t>
  </si>
  <si>
    <t>premi di competenza</t>
  </si>
  <si>
    <t>sinistri di competenza</t>
  </si>
  <si>
    <t>spese di competenza</t>
  </si>
  <si>
    <t>m1</t>
  </si>
  <si>
    <t>m2</t>
  </si>
  <si>
    <t>loss ratio</t>
  </si>
  <si>
    <t>m3</t>
  </si>
  <si>
    <t>expenses ratio</t>
  </si>
  <si>
    <t>m inf</t>
  </si>
  <si>
    <t>combined ratio</t>
  </si>
  <si>
    <t>valori dei risarcimenti di ogni anno in euro</t>
  </si>
  <si>
    <t>capitale minimo</t>
  </si>
  <si>
    <t>capitale liquidato</t>
  </si>
  <si>
    <t>best of</t>
  </si>
  <si>
    <t>ASSICUAZIONE MISTA RIVALUTABILE</t>
  </si>
  <si>
    <t xml:space="preserve">Calcolo di </t>
  </si>
  <si>
    <t>MISTA</t>
  </si>
  <si>
    <t>Dx</t>
  </si>
  <si>
    <t>Nx</t>
  </si>
  <si>
    <t>X(età)</t>
  </si>
  <si>
    <t>fattore di sconto</t>
  </si>
  <si>
    <t>annuale</t>
  </si>
  <si>
    <t>n (durata)</t>
  </si>
  <si>
    <t>correzione per centralità decessi</t>
  </si>
  <si>
    <t>tassi di premi unici puri</t>
  </si>
  <si>
    <t>premi unici puri</t>
  </si>
  <si>
    <t>componente caso morte (temporanea caso morte)</t>
  </si>
  <si>
    <t>h</t>
  </si>
  <si>
    <t>componente caso vita (capitale differito)</t>
  </si>
  <si>
    <t>mista</t>
  </si>
  <si>
    <t>media</t>
  </si>
  <si>
    <t>tassi di premi annui puri</t>
  </si>
  <si>
    <t>premi annui puri</t>
  </si>
  <si>
    <t>tcm</t>
  </si>
  <si>
    <t>stima futura</t>
  </si>
  <si>
    <t>capitale differito</t>
  </si>
  <si>
    <t>SVILUPPO RISERVA MATEMATICA</t>
  </si>
  <si>
    <t>età raggiunta</t>
  </si>
  <si>
    <t>antidurata</t>
  </si>
  <si>
    <t>M(x+t)</t>
  </si>
  <si>
    <t>D(x+t)</t>
  </si>
  <si>
    <t>N(x+t)</t>
  </si>
  <si>
    <t>valore attuale impegni compagnia ( premio unico all'età raggiunta)</t>
  </si>
  <si>
    <t>annualità anticipata e temporanea per la durata residua</t>
  </si>
  <si>
    <t>valore attuale impegni assicurato (valore attuale premi futuri)</t>
  </si>
  <si>
    <t>Riserva matematica</t>
  </si>
  <si>
    <t>PREMIO DI RISCHIO E DI RISPARMIO</t>
  </si>
  <si>
    <t>capitale sottorischio</t>
  </si>
  <si>
    <t>premio di rischio</t>
  </si>
  <si>
    <t>premio di risparmio</t>
  </si>
  <si>
    <t>somma=premio puro</t>
  </si>
  <si>
    <t>UNIT LINKED</t>
  </si>
  <si>
    <t>premio tariffa</t>
  </si>
  <si>
    <t>premio puro</t>
  </si>
  <si>
    <t>fondo A</t>
  </si>
  <si>
    <t>fondo B</t>
  </si>
  <si>
    <t>Numero quote tempo 0 fondo A</t>
  </si>
  <si>
    <t>PREMI NATURALI</t>
  </si>
  <si>
    <t>Numero quote tempo 0 fondo B</t>
  </si>
  <si>
    <t>pesi (capitali differiti)</t>
  </si>
  <si>
    <t>q(x)</t>
  </si>
  <si>
    <t>premio Naturale mista</t>
  </si>
  <si>
    <t>media ponderata premi naturali Mista</t>
  </si>
  <si>
    <t>premio annuo puro mista</t>
  </si>
  <si>
    <t>retrocessione</t>
  </si>
  <si>
    <t>durata anni</t>
  </si>
  <si>
    <t>un ennesimo di capitale</t>
  </si>
  <si>
    <t>tasso di rivalutazione</t>
  </si>
  <si>
    <t>PREMIO RIVALUTABILE</t>
  </si>
  <si>
    <t>premio rivalutabile</t>
  </si>
  <si>
    <t>capitale rivalutato</t>
  </si>
  <si>
    <t>PREMIO COSTANTE</t>
  </si>
  <si>
    <t>capitale rivalutato metodo diretto</t>
  </si>
  <si>
    <t>premio costante</t>
  </si>
  <si>
    <r>
      <t xml:space="preserve"> </t>
    </r>
    <r>
      <rPr>
        <b/>
        <sz val="10"/>
        <color rgb="FF000000"/>
        <rFont val="Arial"/>
        <family val="2"/>
        <scheme val="minor"/>
      </rPr>
      <t xml:space="preserve">costo sinistri esercizi precedenti </t>
    </r>
  </si>
  <si>
    <t>fondo C</t>
  </si>
  <si>
    <t xml:space="preserve">Numero quote tempo 0 fondo C </t>
  </si>
  <si>
    <t>importo investito</t>
  </si>
  <si>
    <t>nav fondo A inizio</t>
  </si>
  <si>
    <t>nav fondo B inizio</t>
  </si>
  <si>
    <t>nav fondo C inizio</t>
  </si>
  <si>
    <t>nav fondo A decesso</t>
  </si>
  <si>
    <t>nav fondo B decesso</t>
  </si>
  <si>
    <t>nav fondo C decesso</t>
  </si>
  <si>
    <t>valore</t>
  </si>
  <si>
    <t>annualità vitalizia anticipata e temporanea 8 anni</t>
  </si>
  <si>
    <t>valore minimo che deve avere il nav del fondo C affinché il capitale da  pagare per sinistro sia superiore al valore minimo</t>
  </si>
  <si>
    <t>sconto mezzo anno</t>
  </si>
  <si>
    <t>q(x)(* mille)</t>
  </si>
  <si>
    <t>p(x)</t>
  </si>
  <si>
    <t>premio naturale componente TCM</t>
  </si>
  <si>
    <t>premio naturale componente cap. diff.</t>
  </si>
  <si>
    <t>STIMA CON IL METODO DELLA SEPARAZIONE</t>
  </si>
  <si>
    <t>Riserva sinistri inizio esercizio</t>
  </si>
  <si>
    <t>Sinistri dell'esercizio pagati</t>
  </si>
  <si>
    <t>Sinistri di esercizi precedenti pagati</t>
  </si>
  <si>
    <t xml:space="preserve">costo sinistri esercizio </t>
  </si>
  <si>
    <t>costo sinistri di competenza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</si>
</sst>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-* #,##0.00_-;\-* #,##0.00_-;_-* &quot;-&quot;??_-;_-@"/>
    <numFmt numFmtId="165" formatCode="0.0000"/>
    <numFmt numFmtId="166" formatCode="_-* #,##0_-;\-* #,##0_-;_-* &quot;-&quot;??_-;_-@"/>
    <numFmt numFmtId="167" formatCode="_-* #,##0\ _€_-;\-* #,##0\ _€_-;_-* &quot;-&quot;??\ _€_-;_-@"/>
    <numFmt numFmtId="168" formatCode="0.0%"/>
    <numFmt numFmtId="169" formatCode="0.0000000"/>
    <numFmt numFmtId="170" formatCode="0.00000000"/>
    <numFmt numFmtId="171" formatCode="0.0"/>
    <numFmt numFmtId="172" formatCode="0.000"/>
    <numFmt numFmtId="173" formatCode="#,##0.0"/>
    <numFmt numFmtId="174" formatCode="#,##0.0000"/>
  </numFmts>
  <fonts count="2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theme="3"/>
      <name val="Arial"/>
      <family val="2"/>
      <scheme val="minor"/>
    </font>
    <font>
      <sz val="12"/>
      <color theme="9" tint="0.79998168889431442"/>
      <name val="Arial"/>
      <family val="2"/>
      <scheme val="minor"/>
    </font>
    <font>
      <b/>
      <sz val="12"/>
      <color theme="4" tint="-0.499984740745262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  <fill>
      <patternFill patternType="solid">
        <fgColor rgb="FFD5A6BD"/>
        <bgColor rgb="FFD5A6BD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E6CD01"/>
        <bgColor rgb="FFE6CD01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rgb="FFFFFF00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9DAF8"/>
      </patternFill>
    </fill>
    <fill>
      <patternFill patternType="solid">
        <fgColor theme="9" tint="0.59999389629810485"/>
        <bgColor rgb="FFD5A6BD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rgb="FFD5A6BD"/>
      </patternFill>
    </fill>
    <fill>
      <patternFill patternType="solid">
        <fgColor theme="8" tint="0.39997558519241921"/>
        <bgColor rgb="FFD5A6BD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84">
    <xf numFmtId="0" fontId="0" fillId="0" borderId="0" xfId="0"/>
    <xf numFmtId="0" fontId="1" fillId="0" borderId="0" xfId="0" applyFont="1"/>
    <xf numFmtId="0" fontId="2" fillId="0" borderId="2" xfId="0" applyFont="1" applyBorder="1"/>
    <xf numFmtId="0" fontId="1" fillId="0" borderId="5" xfId="0" applyFont="1" applyBorder="1"/>
    <xf numFmtId="0" fontId="1" fillId="0" borderId="6" xfId="0" applyFont="1" applyBorder="1"/>
    <xf numFmtId="166" fontId="2" fillId="0" borderId="5" xfId="0" applyNumberFormat="1" applyFont="1" applyBorder="1"/>
    <xf numFmtId="0" fontId="4" fillId="5" borderId="3" xfId="0" applyFont="1" applyFill="1" applyBorder="1"/>
    <xf numFmtId="0" fontId="4" fillId="5" borderId="4" xfId="0" applyFont="1" applyFill="1" applyBorder="1"/>
    <xf numFmtId="0" fontId="5" fillId="0" borderId="8" xfId="0" applyFont="1" applyBorder="1"/>
    <xf numFmtId="0" fontId="1" fillId="0" borderId="9" xfId="0" applyFont="1" applyBorder="1"/>
    <xf numFmtId="0" fontId="2" fillId="0" borderId="10" xfId="0" applyFont="1" applyBorder="1"/>
    <xf numFmtId="0" fontId="1" fillId="0" borderId="8" xfId="0" applyFont="1" applyBorder="1"/>
    <xf numFmtId="0" fontId="6" fillId="0" borderId="0" xfId="0" applyFont="1"/>
    <xf numFmtId="0" fontId="2" fillId="0" borderId="2" xfId="0" applyFont="1" applyBorder="1" applyAlignment="1">
      <alignment horizontal="center"/>
    </xf>
    <xf numFmtId="0" fontId="5" fillId="2" borderId="2" xfId="0" applyFont="1" applyFill="1" applyBorder="1"/>
    <xf numFmtId="167" fontId="2" fillId="0" borderId="0" xfId="0" applyNumberFormat="1" applyFont="1"/>
    <xf numFmtId="0" fontId="2" fillId="0" borderId="7" xfId="0" applyFont="1" applyBorder="1"/>
    <xf numFmtId="0" fontId="2" fillId="0" borderId="12" xfId="0" applyFont="1" applyBorder="1"/>
    <xf numFmtId="166" fontId="2" fillId="0" borderId="0" xfId="0" applyNumberFormat="1" applyFont="1"/>
    <xf numFmtId="166" fontId="2" fillId="6" borderId="0" xfId="0" applyNumberFormat="1" applyFont="1" applyFill="1"/>
    <xf numFmtId="166" fontId="1" fillId="0" borderId="0" xfId="0" applyNumberFormat="1" applyFont="1"/>
    <xf numFmtId="168" fontId="2" fillId="0" borderId="7" xfId="0" applyNumberFormat="1" applyFont="1" applyBorder="1"/>
    <xf numFmtId="166" fontId="5" fillId="2" borderId="0" xfId="0" applyNumberFormat="1" applyFont="1" applyFill="1"/>
    <xf numFmtId="10" fontId="1" fillId="0" borderId="0" xfId="0" applyNumberFormat="1" applyFont="1"/>
    <xf numFmtId="0" fontId="1" fillId="0" borderId="0" xfId="0" applyFont="1" applyAlignment="1">
      <alignment horizontal="right"/>
    </xf>
    <xf numFmtId="168" fontId="1" fillId="0" borderId="0" xfId="0" applyNumberFormat="1" applyFont="1"/>
    <xf numFmtId="165" fontId="1" fillId="0" borderId="0" xfId="0" applyNumberFormat="1" applyFont="1"/>
    <xf numFmtId="10" fontId="6" fillId="2" borderId="1" xfId="0" applyNumberFormat="1" applyFont="1" applyFill="1" applyBorder="1"/>
    <xf numFmtId="10" fontId="2" fillId="0" borderId="0" xfId="0" applyNumberFormat="1" applyFont="1"/>
    <xf numFmtId="0" fontId="5" fillId="2" borderId="0" xfId="0" applyFont="1" applyFill="1"/>
    <xf numFmtId="0" fontId="1" fillId="2" borderId="0" xfId="0" applyFont="1" applyFill="1"/>
    <xf numFmtId="0" fontId="8" fillId="0" borderId="0" xfId="0" applyFont="1"/>
    <xf numFmtId="0" fontId="8" fillId="0" borderId="2" xfId="0" applyFont="1" applyBorder="1" applyAlignment="1">
      <alignment horizontal="center"/>
    </xf>
    <xf numFmtId="166" fontId="2" fillId="0" borderId="8" xfId="0" applyNumberFormat="1" applyFont="1" applyBorder="1"/>
    <xf numFmtId="0" fontId="2" fillId="0" borderId="9" xfId="0" applyFont="1" applyBorder="1"/>
    <xf numFmtId="4" fontId="8" fillId="0" borderId="0" xfId="0" applyNumberFormat="1" applyFont="1"/>
    <xf numFmtId="0" fontId="1" fillId="0" borderId="10" xfId="0" applyFont="1" applyBorder="1"/>
    <xf numFmtId="0" fontId="1" fillId="0" borderId="2" xfId="0" applyFont="1" applyBorder="1"/>
    <xf numFmtId="0" fontId="1" fillId="0" borderId="13" xfId="0" applyFont="1" applyBorder="1"/>
    <xf numFmtId="0" fontId="5" fillId="0" borderId="2" xfId="0" applyFont="1" applyBorder="1"/>
    <xf numFmtId="0" fontId="4" fillId="5" borderId="7" xfId="0" applyFont="1" applyFill="1" applyBorder="1"/>
    <xf numFmtId="9" fontId="1" fillId="0" borderId="0" xfId="0" applyNumberFormat="1" applyFont="1"/>
    <xf numFmtId="164" fontId="1" fillId="0" borderId="0" xfId="0" applyNumberFormat="1" applyFont="1"/>
    <xf numFmtId="169" fontId="1" fillId="0" borderId="0" xfId="0" applyNumberFormat="1" applyFont="1"/>
    <xf numFmtId="0" fontId="4" fillId="0" borderId="0" xfId="0" applyFont="1"/>
    <xf numFmtId="170" fontId="1" fillId="0" borderId="0" xfId="0" applyNumberFormat="1" applyFont="1"/>
    <xf numFmtId="171" fontId="1" fillId="0" borderId="0" xfId="0" applyNumberFormat="1" applyFont="1"/>
    <xf numFmtId="2" fontId="1" fillId="0" borderId="0" xfId="0" applyNumberFormat="1" applyFont="1"/>
    <xf numFmtId="0" fontId="5" fillId="2" borderId="8" xfId="0" applyFont="1" applyFill="1" applyBorder="1"/>
    <xf numFmtId="170" fontId="5" fillId="2" borderId="0" xfId="0" applyNumberFormat="1" applyFont="1" applyFill="1"/>
    <xf numFmtId="1" fontId="5" fillId="2" borderId="0" xfId="0" applyNumberFormat="1" applyFont="1" applyFill="1"/>
    <xf numFmtId="0" fontId="5" fillId="0" borderId="0" xfId="0" applyFont="1"/>
    <xf numFmtId="172" fontId="1" fillId="0" borderId="0" xfId="0" applyNumberFormat="1" applyFont="1"/>
    <xf numFmtId="0" fontId="8" fillId="2" borderId="2" xfId="0" applyFont="1" applyFill="1" applyBorder="1" applyAlignment="1">
      <alignment horizontal="center"/>
    </xf>
    <xf numFmtId="0" fontId="1" fillId="6" borderId="0" xfId="0" applyFont="1" applyFill="1"/>
    <xf numFmtId="1" fontId="1" fillId="0" borderId="0" xfId="0" applyNumberFormat="1" applyFont="1"/>
    <xf numFmtId="2" fontId="5" fillId="2" borderId="0" xfId="0" applyNumberFormat="1" applyFont="1" applyFill="1"/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0" fontId="5" fillId="0" borderId="15" xfId="0" applyFont="1" applyBorder="1"/>
    <xf numFmtId="10" fontId="1" fillId="0" borderId="8" xfId="0" applyNumberFormat="1" applyFont="1" applyBorder="1"/>
    <xf numFmtId="0" fontId="1" fillId="9" borderId="8" xfId="0" applyFont="1" applyFill="1" applyBorder="1"/>
    <xf numFmtId="2" fontId="1" fillId="9" borderId="0" xfId="0" applyNumberFormat="1" applyFont="1" applyFill="1"/>
    <xf numFmtId="0" fontId="6" fillId="0" borderId="8" xfId="0" applyFont="1" applyBorder="1"/>
    <xf numFmtId="0" fontId="10" fillId="0" borderId="10" xfId="0" applyFont="1" applyBorder="1"/>
    <xf numFmtId="0" fontId="10" fillId="0" borderId="0" xfId="0" applyFont="1" applyAlignment="1">
      <alignment horizontal="right"/>
    </xf>
    <xf numFmtId="0" fontId="10" fillId="0" borderId="8" xfId="0" applyFont="1" applyBorder="1"/>
    <xf numFmtId="0" fontId="10" fillId="0" borderId="0" xfId="0" applyFont="1"/>
    <xf numFmtId="0" fontId="11" fillId="2" borderId="10" xfId="0" applyFont="1" applyFill="1" applyBorder="1"/>
    <xf numFmtId="4" fontId="10" fillId="0" borderId="0" xfId="0" applyNumberFormat="1" applyFont="1"/>
    <xf numFmtId="0" fontId="5" fillId="2" borderId="3" xfId="0" applyFont="1" applyFill="1" applyBorder="1"/>
    <xf numFmtId="0" fontId="8" fillId="0" borderId="8" xfId="0" applyFont="1" applyBorder="1"/>
    <xf numFmtId="10" fontId="2" fillId="11" borderId="1" xfId="0" applyNumberFormat="1" applyFont="1" applyFill="1" applyBorder="1"/>
    <xf numFmtId="0" fontId="0" fillId="10" borderId="0" xfId="0" applyFill="1"/>
    <xf numFmtId="0" fontId="12" fillId="0" borderId="0" xfId="0" applyFont="1"/>
    <xf numFmtId="167" fontId="12" fillId="0" borderId="1" xfId="0" applyNumberFormat="1" applyFont="1" applyBorder="1"/>
    <xf numFmtId="0" fontId="14" fillId="0" borderId="0" xfId="0" applyFont="1"/>
    <xf numFmtId="0" fontId="0" fillId="10" borderId="0" xfId="0" applyFill="1" applyAlignment="1">
      <alignment horizontal="center"/>
    </xf>
    <xf numFmtId="0" fontId="0" fillId="12" borderId="19" xfId="0" applyFill="1" applyBorder="1" applyAlignment="1">
      <alignment horizontal="center" wrapText="1"/>
    </xf>
    <xf numFmtId="0" fontId="0" fillId="12" borderId="18" xfId="0" applyFill="1" applyBorder="1" applyAlignment="1">
      <alignment horizontal="center" wrapText="1"/>
    </xf>
    <xf numFmtId="0" fontId="0" fillId="12" borderId="20" xfId="0" applyFill="1" applyBorder="1" applyAlignment="1">
      <alignment horizontal="center" wrapText="1"/>
    </xf>
    <xf numFmtId="10" fontId="0" fillId="13" borderId="0" xfId="2" applyNumberFormat="1" applyFont="1" applyFill="1"/>
    <xf numFmtId="43" fontId="0" fillId="0" borderId="0" xfId="1" applyFont="1"/>
    <xf numFmtId="0" fontId="0" fillId="0" borderId="17" xfId="0" applyBorder="1"/>
    <xf numFmtId="0" fontId="0" fillId="12" borderId="19" xfId="0" applyFill="1" applyBorder="1" applyAlignment="1">
      <alignment wrapText="1"/>
    </xf>
    <xf numFmtId="0" fontId="0" fillId="12" borderId="18" xfId="0" applyFill="1" applyBorder="1" applyAlignment="1">
      <alignment wrapText="1"/>
    </xf>
    <xf numFmtId="0" fontId="0" fillId="0" borderId="0" xfId="0" applyAlignment="1">
      <alignment wrapText="1"/>
    </xf>
    <xf numFmtId="43" fontId="15" fillId="14" borderId="0" xfId="1" applyFont="1" applyFill="1"/>
    <xf numFmtId="43" fontId="0" fillId="0" borderId="0" xfId="0" applyNumberFormat="1"/>
    <xf numFmtId="43" fontId="15" fillId="10" borderId="0" xfId="1" applyFont="1" applyFill="1"/>
    <xf numFmtId="165" fontId="0" fillId="0" borderId="0" xfId="0" applyNumberFormat="1"/>
    <xf numFmtId="4" fontId="12" fillId="0" borderId="0" xfId="0" applyNumberFormat="1" applyFont="1"/>
    <xf numFmtId="0" fontId="1" fillId="0" borderId="1" xfId="0" applyFont="1" applyBorder="1"/>
    <xf numFmtId="165" fontId="1" fillId="0" borderId="12" xfId="0" applyNumberFormat="1" applyFont="1" applyBorder="1"/>
    <xf numFmtId="9" fontId="0" fillId="0" borderId="0" xfId="0" applyNumberFormat="1"/>
    <xf numFmtId="0" fontId="0" fillId="0" borderId="21" xfId="0" applyBorder="1"/>
    <xf numFmtId="0" fontId="2" fillId="0" borderId="3" xfId="0" applyFont="1" applyBorder="1"/>
    <xf numFmtId="168" fontId="2" fillId="0" borderId="3" xfId="0" applyNumberFormat="1" applyFont="1" applyBorder="1"/>
    <xf numFmtId="10" fontId="0" fillId="0" borderId="21" xfId="0" applyNumberFormat="1" applyBorder="1"/>
    <xf numFmtId="2" fontId="0" fillId="0" borderId="0" xfId="0" applyNumberFormat="1"/>
    <xf numFmtId="172" fontId="0" fillId="0" borderId="0" xfId="0" applyNumberFormat="1"/>
    <xf numFmtId="168" fontId="0" fillId="0" borderId="21" xfId="0" applyNumberFormat="1" applyBorder="1"/>
    <xf numFmtId="9" fontId="0" fillId="0" borderId="22" xfId="0" applyNumberFormat="1" applyBorder="1"/>
    <xf numFmtId="10" fontId="0" fillId="15" borderId="23" xfId="0" applyNumberFormat="1" applyFill="1" applyBorder="1"/>
    <xf numFmtId="0" fontId="10" fillId="0" borderId="24" xfId="0" applyFont="1" applyBorder="1"/>
    <xf numFmtId="0" fontId="10" fillId="0" borderId="25" xfId="0" applyFont="1" applyBorder="1"/>
    <xf numFmtId="4" fontId="11" fillId="10" borderId="26" xfId="0" applyNumberFormat="1" applyFont="1" applyFill="1" applyBorder="1"/>
    <xf numFmtId="4" fontId="11" fillId="10" borderId="27" xfId="0" applyNumberFormat="1" applyFont="1" applyFill="1" applyBorder="1"/>
    <xf numFmtId="0" fontId="10" fillId="0" borderId="21" xfId="0" applyFont="1" applyBorder="1"/>
    <xf numFmtId="0" fontId="10" fillId="0" borderId="1" xfId="0" applyFont="1" applyBorder="1" applyAlignment="1">
      <alignment horizontal="right"/>
    </xf>
    <xf numFmtId="1" fontId="10" fillId="0" borderId="24" xfId="0" applyNumberFormat="1" applyFont="1" applyBorder="1"/>
    <xf numFmtId="1" fontId="10" fillId="0" borderId="23" xfId="0" applyNumberFormat="1" applyFont="1" applyBorder="1"/>
    <xf numFmtId="0" fontId="10" fillId="0" borderId="23" xfId="0" applyFont="1" applyBorder="1"/>
    <xf numFmtId="4" fontId="11" fillId="2" borderId="26" xfId="0" applyNumberFormat="1" applyFont="1" applyFill="1" applyBorder="1"/>
    <xf numFmtId="4" fontId="11" fillId="2" borderId="17" xfId="0" applyNumberFormat="1" applyFont="1" applyFill="1" applyBorder="1"/>
    <xf numFmtId="4" fontId="11" fillId="10" borderId="21" xfId="0" applyNumberFormat="1" applyFont="1" applyFill="1" applyBorder="1"/>
    <xf numFmtId="0" fontId="1" fillId="0" borderId="17" xfId="0" applyFont="1" applyBorder="1"/>
    <xf numFmtId="10" fontId="0" fillId="15" borderId="0" xfId="0" applyNumberFormat="1" applyFill="1"/>
    <xf numFmtId="10" fontId="1" fillId="16" borderId="0" xfId="0" applyNumberFormat="1" applyFont="1" applyFill="1"/>
    <xf numFmtId="0" fontId="1" fillId="16" borderId="8" xfId="0" applyFont="1" applyFill="1" applyBorder="1"/>
    <xf numFmtId="0" fontId="1" fillId="0" borderId="26" xfId="0" applyFont="1" applyBorder="1"/>
    <xf numFmtId="3" fontId="8" fillId="0" borderId="0" xfId="0" applyNumberFormat="1" applyFont="1"/>
    <xf numFmtId="3" fontId="8" fillId="6" borderId="0" xfId="0" applyNumberFormat="1" applyFont="1" applyFill="1"/>
    <xf numFmtId="0" fontId="6" fillId="0" borderId="2" xfId="0" applyFont="1" applyBorder="1"/>
    <xf numFmtId="0" fontId="6" fillId="0" borderId="10" xfId="0" applyFont="1" applyBorder="1"/>
    <xf numFmtId="0" fontId="6" fillId="0" borderId="11" xfId="0" applyFont="1" applyBorder="1"/>
    <xf numFmtId="172" fontId="0" fillId="10" borderId="0" xfId="0" applyNumberFormat="1" applyFill="1"/>
    <xf numFmtId="10" fontId="14" fillId="10" borderId="0" xfId="0" applyNumberFormat="1" applyFont="1" applyFill="1"/>
    <xf numFmtId="165" fontId="1" fillId="0" borderId="29" xfId="0" applyNumberFormat="1" applyFont="1" applyBorder="1"/>
    <xf numFmtId="172" fontId="12" fillId="10" borderId="0" xfId="0" applyNumberFormat="1" applyFont="1" applyFill="1"/>
    <xf numFmtId="4" fontId="0" fillId="0" borderId="0" xfId="0" applyNumberFormat="1"/>
    <xf numFmtId="4" fontId="1" fillId="6" borderId="0" xfId="0" applyNumberFormat="1" applyFont="1" applyFill="1"/>
    <xf numFmtId="4" fontId="1" fillId="3" borderId="0" xfId="0" applyNumberFormat="1" applyFont="1" applyFill="1"/>
    <xf numFmtId="4" fontId="1" fillId="7" borderId="0" xfId="0" applyNumberFormat="1" applyFont="1" applyFill="1"/>
    <xf numFmtId="4" fontId="1" fillId="8" borderId="0" xfId="0" applyNumberFormat="1" applyFont="1" applyFill="1"/>
    <xf numFmtId="4" fontId="1" fillId="4" borderId="0" xfId="0" applyNumberFormat="1" applyFont="1" applyFill="1"/>
    <xf numFmtId="167" fontId="2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7" fontId="2" fillId="0" borderId="2" xfId="0" applyNumberFormat="1" applyFont="1" applyBorder="1" applyAlignment="1">
      <alignment horizontal="right"/>
    </xf>
    <xf numFmtId="1" fontId="14" fillId="0" borderId="0" xfId="0" applyNumberFormat="1" applyFont="1"/>
    <xf numFmtId="1" fontId="14" fillId="0" borderId="1" xfId="0" applyNumberFormat="1" applyFont="1" applyBorder="1"/>
    <xf numFmtId="1" fontId="0" fillId="0" borderId="0" xfId="0" applyNumberFormat="1"/>
    <xf numFmtId="4" fontId="5" fillId="2" borderId="0" xfId="0" applyNumberFormat="1" applyFont="1" applyFill="1"/>
    <xf numFmtId="173" fontId="1" fillId="0" borderId="0" xfId="0" applyNumberFormat="1" applyFont="1"/>
    <xf numFmtId="4" fontId="5" fillId="2" borderId="16" xfId="0" applyNumberFormat="1" applyFont="1" applyFill="1" applyBorder="1"/>
    <xf numFmtId="4" fontId="5" fillId="2" borderId="18" xfId="0" applyNumberFormat="1" applyFont="1" applyFill="1" applyBorder="1"/>
    <xf numFmtId="4" fontId="5" fillId="2" borderId="20" xfId="0" applyNumberFormat="1" applyFont="1" applyFill="1" applyBorder="1"/>
    <xf numFmtId="4" fontId="8" fillId="0" borderId="0" xfId="0" applyNumberFormat="1" applyFont="1" applyAlignment="1">
      <alignment horizontal="right"/>
    </xf>
    <xf numFmtId="4" fontId="1" fillId="0" borderId="8" xfId="0" applyNumberFormat="1" applyFont="1" applyBorder="1"/>
    <xf numFmtId="4" fontId="5" fillId="2" borderId="10" xfId="0" applyNumberFormat="1" applyFont="1" applyFill="1" applyBorder="1"/>
    <xf numFmtId="4" fontId="5" fillId="2" borderId="2" xfId="0" applyNumberFormat="1" applyFont="1" applyFill="1" applyBorder="1"/>
    <xf numFmtId="4" fontId="14" fillId="10" borderId="0" xfId="0" applyNumberFormat="1" applyFont="1" applyFill="1"/>
    <xf numFmtId="4" fontId="5" fillId="10" borderId="0" xfId="0" applyNumberFormat="1" applyFont="1" applyFill="1"/>
    <xf numFmtId="4" fontId="1" fillId="0" borderId="1" xfId="0" applyNumberFormat="1" applyFont="1" applyBorder="1"/>
    <xf numFmtId="4" fontId="1" fillId="0" borderId="23" xfId="0" applyNumberFormat="1" applyFont="1" applyBorder="1"/>
    <xf numFmtId="4" fontId="0" fillId="0" borderId="1" xfId="0" applyNumberFormat="1" applyBorder="1"/>
    <xf numFmtId="3" fontId="5" fillId="2" borderId="0" xfId="0" applyNumberFormat="1" applyFont="1" applyFill="1"/>
    <xf numFmtId="174" fontId="0" fillId="0" borderId="0" xfId="0" applyNumberFormat="1"/>
    <xf numFmtId="174" fontId="0" fillId="0" borderId="30" xfId="0" applyNumberFormat="1" applyBorder="1"/>
    <xf numFmtId="3" fontId="2" fillId="0" borderId="0" xfId="0" applyNumberFormat="1" applyFont="1" applyAlignment="1">
      <alignment horizontal="right"/>
    </xf>
    <xf numFmtId="3" fontId="6" fillId="10" borderId="0" xfId="0" applyNumberFormat="1" applyFont="1" applyFill="1" applyAlignment="1">
      <alignment horizontal="right"/>
    </xf>
    <xf numFmtId="3" fontId="12" fillId="0" borderId="1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3" fontId="2" fillId="0" borderId="0" xfId="0" applyNumberFormat="1" applyFont="1"/>
    <xf numFmtId="3" fontId="6" fillId="2" borderId="1" xfId="0" applyNumberFormat="1" applyFont="1" applyFill="1" applyBorder="1"/>
    <xf numFmtId="3" fontId="6" fillId="10" borderId="0" xfId="0" applyNumberFormat="1" applyFont="1" applyFill="1"/>
    <xf numFmtId="174" fontId="1" fillId="0" borderId="0" xfId="0" applyNumberFormat="1" applyFont="1"/>
    <xf numFmtId="0" fontId="20" fillId="17" borderId="3" xfId="0" applyFont="1" applyFill="1" applyBorder="1"/>
    <xf numFmtId="0" fontId="19" fillId="17" borderId="4" xfId="0" applyFont="1" applyFill="1" applyBorder="1"/>
    <xf numFmtId="0" fontId="0" fillId="18" borderId="0" xfId="0" applyFill="1"/>
    <xf numFmtId="0" fontId="18" fillId="18" borderId="8" xfId="0" applyFont="1" applyFill="1" applyBorder="1"/>
    <xf numFmtId="0" fontId="3" fillId="20" borderId="7" xfId="0" applyFont="1" applyFill="1" applyBorder="1"/>
    <xf numFmtId="0" fontId="12" fillId="0" borderId="28" xfId="0" applyFont="1" applyBorder="1"/>
    <xf numFmtId="0" fontId="5" fillId="21" borderId="8" xfId="0" applyFont="1" applyFill="1" applyBorder="1"/>
    <xf numFmtId="4" fontId="4" fillId="22" borderId="0" xfId="0" applyNumberFormat="1" applyFont="1" applyFill="1"/>
    <xf numFmtId="165" fontId="5" fillId="21" borderId="0" xfId="0" applyNumberFormat="1" applyFont="1" applyFill="1"/>
    <xf numFmtId="0" fontId="1" fillId="21" borderId="0" xfId="0" applyFont="1" applyFill="1"/>
    <xf numFmtId="4" fontId="5" fillId="21" borderId="0" xfId="0" applyNumberFormat="1" applyFont="1" applyFill="1"/>
    <xf numFmtId="0" fontId="7" fillId="23" borderId="8" xfId="0" applyFont="1" applyFill="1" applyBorder="1"/>
    <xf numFmtId="0" fontId="1" fillId="10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wrapText="1"/>
    </xf>
    <xf numFmtId="0" fontId="9" fillId="21" borderId="14" xfId="0" applyFont="1" applyFill="1" applyBorder="1" applyAlignment="1">
      <alignment horizontal="center"/>
    </xf>
    <xf numFmtId="0" fontId="9" fillId="21" borderId="8" xfId="0" applyFont="1" applyFill="1" applyBorder="1" applyAlignment="1">
      <alignment horizontal="center"/>
    </xf>
    <xf numFmtId="0" fontId="5" fillId="21" borderId="8" xfId="0" applyFont="1" applyFill="1" applyBorder="1" applyAlignment="1">
      <alignment horizontal="center"/>
    </xf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49</xdr:row>
      <xdr:rowOff>38100</xdr:rowOff>
    </xdr:from>
    <xdr:ext cx="1466850" cy="457200"/>
    <xdr:pic>
      <xdr:nvPicPr>
        <xdr:cNvPr id="2" name="image3.png" title="Immagin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504825</xdr:colOff>
      <xdr:row>49</xdr:row>
      <xdr:rowOff>85725</xdr:rowOff>
    </xdr:from>
    <xdr:ext cx="1038225" cy="457200"/>
    <xdr:pic>
      <xdr:nvPicPr>
        <xdr:cNvPr id="3" name="image4.png" title="Immagin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771525</xdr:colOff>
      <xdr:row>48</xdr:row>
      <xdr:rowOff>161925</xdr:rowOff>
    </xdr:from>
    <xdr:ext cx="333375" cy="523875"/>
    <xdr:pic>
      <xdr:nvPicPr>
        <xdr:cNvPr id="4" name="image6.png" title="Immagin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285750</xdr:colOff>
      <xdr:row>58</xdr:row>
      <xdr:rowOff>19050</xdr:rowOff>
    </xdr:from>
    <xdr:ext cx="228600" cy="323850"/>
    <xdr:pic>
      <xdr:nvPicPr>
        <xdr:cNvPr id="5" name="image8.png" title="Immagin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809625</xdr:colOff>
      <xdr:row>38</xdr:row>
      <xdr:rowOff>9525</xdr:rowOff>
    </xdr:from>
    <xdr:ext cx="1466850" cy="323850"/>
    <xdr:pic>
      <xdr:nvPicPr>
        <xdr:cNvPr id="6" name="image2.png" title="Immagin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65</xdr:row>
      <xdr:rowOff>66675</xdr:rowOff>
    </xdr:from>
    <xdr:ext cx="1276350" cy="304800"/>
    <xdr:pic>
      <xdr:nvPicPr>
        <xdr:cNvPr id="7" name="image9.png" title="Immagine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2266950</xdr:colOff>
      <xdr:row>67</xdr:row>
      <xdr:rowOff>38100</xdr:rowOff>
    </xdr:from>
    <xdr:ext cx="228600" cy="285750"/>
    <xdr:pic>
      <xdr:nvPicPr>
        <xdr:cNvPr id="8" name="image5.png" title="Immagine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66675</xdr:colOff>
      <xdr:row>67</xdr:row>
      <xdr:rowOff>19050</xdr:rowOff>
    </xdr:from>
    <xdr:ext cx="361950" cy="323850"/>
    <xdr:pic>
      <xdr:nvPicPr>
        <xdr:cNvPr id="9" name="image1.png" title="Immagine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358775</xdr:colOff>
      <xdr:row>66</xdr:row>
      <xdr:rowOff>139123</xdr:rowOff>
    </xdr:from>
    <xdr:ext cx="209550" cy="285750"/>
    <xdr:pic>
      <xdr:nvPicPr>
        <xdr:cNvPr id="10" name="image7.png" title="Immagine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9580707" y="10631055"/>
          <a:ext cx="209550" cy="28575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:Users/giuli/Downloads/axa_tariffe/rendita%20immediata/Adeg%20rendita%200669%20revers%20su%202%20testa_2008_IPS5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 input IPS55 t"/>
      <sheetName val="zona input IPS55  t+1"/>
      <sheetName val="sviluppo IPS55 in t"/>
      <sheetName val="sviluppo IPS55 in t+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08EF9-47B6-F746-9737-CC26A8067D0D}">
  <dimension ref="A1:L120"/>
  <sheetViews>
    <sheetView topLeftCell="A121" zoomScale="131" workbookViewId="0">
      <selection activeCell="G8" sqref="G8"/>
    </sheetView>
  </sheetViews>
  <sheetFormatPr baseColWidth="10" defaultRowHeight="13" x14ac:dyDescent="0.15"/>
  <sheetData>
    <row r="1" spans="1:12" ht="14" x14ac:dyDescent="0.15">
      <c r="A1" t="s">
        <v>0</v>
      </c>
      <c r="B1" s="77"/>
      <c r="E1" t="s">
        <v>1</v>
      </c>
      <c r="F1" s="78" t="s">
        <v>2</v>
      </c>
      <c r="G1" s="79" t="s">
        <v>3</v>
      </c>
      <c r="H1" s="80" t="s">
        <v>4</v>
      </c>
      <c r="I1" s="78" t="s">
        <v>5</v>
      </c>
      <c r="J1" s="79" t="s">
        <v>6</v>
      </c>
      <c r="K1" s="80" t="s">
        <v>7</v>
      </c>
    </row>
    <row r="2" spans="1:12" x14ac:dyDescent="0.15">
      <c r="A2" t="s">
        <v>8</v>
      </c>
      <c r="B2" s="81">
        <v>0.03</v>
      </c>
      <c r="E2" s="73">
        <v>40</v>
      </c>
      <c r="F2" s="82">
        <f>VLOOKUP($E2,$A$8:$K$119,6,FALSE)</f>
        <v>30079.35721672593</v>
      </c>
      <c r="G2" s="82">
        <f>VLOOKUP($E2,$A$8:$K$119,7,FALSE)</f>
        <v>709837.05776973977</v>
      </c>
      <c r="H2" s="82">
        <f>VLOOKUP($E2,$A$8:$K$119,8,FALSE)</f>
        <v>12407238.241413511</v>
      </c>
      <c r="I2" s="82">
        <f>VLOOKUP($E2,$A$8:$K$119,9,FALSE)</f>
        <v>29.46517207437558</v>
      </c>
      <c r="J2" s="82">
        <f>VLOOKUP($E2,$A$8:$K$119,10,FALSE)</f>
        <v>9544.5164016268445</v>
      </c>
      <c r="K2" s="82">
        <f>VLOOKUP($E2,$A$8:$K$119,11,FALSE)</f>
        <v>353649.47980618681</v>
      </c>
    </row>
    <row r="3" spans="1:12" x14ac:dyDescent="0.15">
      <c r="E3" s="73">
        <v>48</v>
      </c>
      <c r="F3" s="82">
        <f>VLOOKUP($E3,$A$8:$K$119,6,FALSE)</f>
        <v>23471.463704038659</v>
      </c>
      <c r="G3" s="82">
        <f>VLOOKUP($E3,$A$8:$K$119,7,FALSE)</f>
        <v>493244.94581254391</v>
      </c>
      <c r="H3" s="82">
        <f>VLOOKUP($E3,$A$8:$K$119,8,FALSE)</f>
        <v>7521725.3780665323</v>
      </c>
      <c r="I3" s="82">
        <f>VLOOKUP($E3,$A$8:$K$119,9,FALSE)</f>
        <v>49.809461942890621</v>
      </c>
      <c r="J3" s="82">
        <f>VLOOKUP($E3,$A$8:$K$119,10,FALSE)</f>
        <v>9240.6734081588111</v>
      </c>
      <c r="K3" s="82">
        <f>VLOOKUP($E3,$A$8:$K$119,11,FALSE)</f>
        <v>278247.65988851857</v>
      </c>
    </row>
    <row r="4" spans="1:12" x14ac:dyDescent="0.15">
      <c r="A4" t="s">
        <v>9</v>
      </c>
      <c r="B4">
        <f>1/(1+B2)</f>
        <v>0.970873786407767</v>
      </c>
    </row>
    <row r="6" spans="1:12" x14ac:dyDescent="0.15">
      <c r="A6" s="83"/>
    </row>
    <row r="7" spans="1:12" ht="42" x14ac:dyDescent="0.15">
      <c r="A7" s="84" t="s">
        <v>1</v>
      </c>
      <c r="B7" s="85" t="s">
        <v>10</v>
      </c>
      <c r="C7" s="85" t="s">
        <v>11</v>
      </c>
      <c r="D7" s="85" t="s">
        <v>12</v>
      </c>
      <c r="E7" s="85" t="s">
        <v>13</v>
      </c>
      <c r="F7" s="78" t="s">
        <v>2</v>
      </c>
      <c r="G7" s="79" t="s">
        <v>3</v>
      </c>
      <c r="H7" s="80" t="s">
        <v>4</v>
      </c>
      <c r="I7" s="78" t="s">
        <v>5</v>
      </c>
      <c r="J7" s="79" t="s">
        <v>6</v>
      </c>
      <c r="K7" s="80" t="s">
        <v>7</v>
      </c>
      <c r="L7" s="86"/>
    </row>
    <row r="8" spans="1:12" x14ac:dyDescent="0.15">
      <c r="A8">
        <v>0</v>
      </c>
      <c r="B8" s="87">
        <v>100000</v>
      </c>
      <c r="C8" s="82">
        <f t="shared" ref="C8:C71" si="0">B8-B9</f>
        <v>338</v>
      </c>
      <c r="D8" s="82">
        <f>C8/B8*1000</f>
        <v>3.3800000000000003</v>
      </c>
      <c r="E8" s="82">
        <f>B9/B8*1000</f>
        <v>996.62</v>
      </c>
      <c r="F8" s="82">
        <f t="shared" ref="F8:F71" si="1">B8/(1+$B$2)^A8</f>
        <v>100000</v>
      </c>
      <c r="G8" s="82">
        <f>SUM(F8:$F$119)</f>
        <v>3074756.4448148953</v>
      </c>
      <c r="H8" s="82">
        <f>SUM($G8:G$119)</f>
        <v>80075518.27254869</v>
      </c>
      <c r="I8" s="82">
        <f t="shared" ref="I8:I71" si="2">C8*$B$4^(A8+1)</f>
        <v>328.15533980582524</v>
      </c>
      <c r="J8" s="82">
        <f>SUM($I8:I$119)*(1+$B$2)^0.5</f>
        <v>10599.489201908111</v>
      </c>
      <c r="K8" s="82">
        <f>SUM($J8:J$119)</f>
        <v>753514.39620582212</v>
      </c>
      <c r="L8" s="88"/>
    </row>
    <row r="9" spans="1:12" x14ac:dyDescent="0.15">
      <c r="A9">
        <v>1</v>
      </c>
      <c r="B9" s="87">
        <v>99662</v>
      </c>
      <c r="C9" s="82">
        <f t="shared" si="0"/>
        <v>26</v>
      </c>
      <c r="D9" s="82">
        <f t="shared" ref="D9:D72" si="3">C9/B9*1000</f>
        <v>0.26088178041781224</v>
      </c>
      <c r="E9" s="82">
        <f t="shared" ref="E9:E72" si="4">B10/B9*1000</f>
        <v>999.73911821958222</v>
      </c>
      <c r="F9" s="82">
        <f t="shared" si="1"/>
        <v>96759.223300970873</v>
      </c>
      <c r="G9" s="82">
        <f>SUM(F9:$F$119)</f>
        <v>2974756.4448148953</v>
      </c>
      <c r="H9" s="82">
        <f>SUM($G9:G$119)</f>
        <v>77000761.8277338</v>
      </c>
      <c r="I9" s="82">
        <f t="shared" si="2"/>
        <v>24.507493637477612</v>
      </c>
      <c r="J9" s="82">
        <f>SUM($I9:I$119)*(1+$B$2)^0.5</f>
        <v>10266.447905888581</v>
      </c>
      <c r="K9" s="82">
        <f>SUM($J9:J$119)</f>
        <v>742914.90700391401</v>
      </c>
      <c r="L9" s="88"/>
    </row>
    <row r="10" spans="1:12" x14ac:dyDescent="0.15">
      <c r="A10">
        <v>2</v>
      </c>
      <c r="B10" s="87">
        <v>99636</v>
      </c>
      <c r="C10" s="82">
        <f t="shared" si="0"/>
        <v>18</v>
      </c>
      <c r="D10" s="82">
        <f t="shared" si="3"/>
        <v>0.18065759364085271</v>
      </c>
      <c r="E10" s="82">
        <f t="shared" si="4"/>
        <v>999.81934240635917</v>
      </c>
      <c r="F10" s="82">
        <f t="shared" si="1"/>
        <v>93916.486002450751</v>
      </c>
      <c r="G10" s="82">
        <f>SUM(F10:$F$119)</f>
        <v>2877997.2215139233</v>
      </c>
      <c r="H10" s="82">
        <f>SUM($G10:G$119)</f>
        <v>74026005.382918939</v>
      </c>
      <c r="I10" s="82">
        <f t="shared" si="2"/>
        <v>16.472549868356872</v>
      </c>
      <c r="J10" s="82">
        <f>SUM($I10:I$119)*(1+$B$2)^0.5</f>
        <v>10241.575516342687</v>
      </c>
      <c r="K10" s="82">
        <f>SUM($J10:J$119)</f>
        <v>732648.45909802546</v>
      </c>
      <c r="L10" s="88"/>
    </row>
    <row r="11" spans="1:12" x14ac:dyDescent="0.15">
      <c r="A11">
        <v>3</v>
      </c>
      <c r="B11" s="87">
        <v>99618</v>
      </c>
      <c r="C11" s="82">
        <f t="shared" si="0"/>
        <v>13</v>
      </c>
      <c r="D11" s="82">
        <f t="shared" si="3"/>
        <v>0.13049850428637394</v>
      </c>
      <c r="E11" s="82">
        <f t="shared" si="4"/>
        <v>999.86950149571362</v>
      </c>
      <c r="F11" s="82">
        <f t="shared" si="1"/>
        <v>91164.581821443047</v>
      </c>
      <c r="G11" s="82">
        <f>SUM(F11:$F$119)</f>
        <v>2784080.7355114724</v>
      </c>
      <c r="H11" s="82">
        <f>SUM($G11:G$119)</f>
        <v>71148008.161404997</v>
      </c>
      <c r="I11" s="82">
        <f t="shared" si="2"/>
        <v>11.550331622903956</v>
      </c>
      <c r="J11" s="82">
        <f>SUM($I11:I$119)*(1+$B$2)^0.5</f>
        <v>10224.857704101232</v>
      </c>
      <c r="K11" s="82">
        <f>SUM($J11:J$119)</f>
        <v>722406.88358168281</v>
      </c>
      <c r="L11" s="88"/>
    </row>
    <row r="12" spans="1:12" x14ac:dyDescent="0.15">
      <c r="A12">
        <v>4</v>
      </c>
      <c r="B12" s="87">
        <v>99605</v>
      </c>
      <c r="C12" s="82">
        <f t="shared" si="0"/>
        <v>9</v>
      </c>
      <c r="D12" s="82">
        <f t="shared" si="3"/>
        <v>9.0356909793685047E-2</v>
      </c>
      <c r="E12" s="82">
        <f t="shared" si="4"/>
        <v>999.90964309020637</v>
      </c>
      <c r="F12" s="82">
        <f t="shared" si="1"/>
        <v>88497.752407642198</v>
      </c>
      <c r="G12" s="82">
        <f>SUM(F12:$F$119)</f>
        <v>2692916.1536900299</v>
      </c>
      <c r="H12" s="82">
        <f>SUM($G12:G$119)</f>
        <v>68363927.425893515</v>
      </c>
      <c r="I12" s="82">
        <f t="shared" si="2"/>
        <v>7.7634790594574756</v>
      </c>
      <c r="J12" s="82">
        <f>SUM($I12:I$119)*(1+$B$2)^0.5</f>
        <v>10213.135397783064</v>
      </c>
      <c r="K12" s="82">
        <f>SUM($J12:J$119)</f>
        <v>712182.02587758156</v>
      </c>
      <c r="L12" s="88"/>
    </row>
    <row r="13" spans="1:12" x14ac:dyDescent="0.15">
      <c r="A13">
        <v>5</v>
      </c>
      <c r="B13" s="87">
        <v>99596</v>
      </c>
      <c r="C13" s="82">
        <f t="shared" si="0"/>
        <v>9</v>
      </c>
      <c r="D13" s="82">
        <f t="shared" si="3"/>
        <v>9.0365074902606535E-2</v>
      </c>
      <c r="E13" s="82">
        <f t="shared" si="4"/>
        <v>999.90963492509741</v>
      </c>
      <c r="F13" s="82">
        <f t="shared" si="1"/>
        <v>85912.384489525211</v>
      </c>
      <c r="G13" s="82">
        <f>SUM(F13:$F$119)</f>
        <v>2604418.4012823883</v>
      </c>
      <c r="H13" s="82">
        <f>SUM($G13:G$119)</f>
        <v>65671011.272203453</v>
      </c>
      <c r="I13" s="82">
        <f t="shared" si="2"/>
        <v>7.5373583101528894</v>
      </c>
      <c r="J13" s="82">
        <f>SUM($I13:I$119)*(1+$B$2)^0.5</f>
        <v>10205.256327068833</v>
      </c>
      <c r="K13" s="82">
        <f>SUM($J13:J$119)</f>
        <v>701968.89047979855</v>
      </c>
      <c r="L13" s="88"/>
    </row>
    <row r="14" spans="1:12" x14ac:dyDescent="0.15">
      <c r="A14">
        <v>6</v>
      </c>
      <c r="B14" s="87">
        <v>99587</v>
      </c>
      <c r="C14" s="82">
        <f t="shared" si="0"/>
        <v>9</v>
      </c>
      <c r="D14" s="82">
        <f t="shared" si="3"/>
        <v>9.0373241487342715E-2</v>
      </c>
      <c r="E14" s="82">
        <f t="shared" si="4"/>
        <v>999.90962675851267</v>
      </c>
      <c r="F14" s="82">
        <f t="shared" si="1"/>
        <v>83402.544670355099</v>
      </c>
      <c r="G14" s="82">
        <f>SUM(F14:$F$119)</f>
        <v>2518506.0167928631</v>
      </c>
      <c r="H14" s="82">
        <f>SUM($G14:G$119)</f>
        <v>63066592.870921053</v>
      </c>
      <c r="I14" s="82">
        <f t="shared" si="2"/>
        <v>7.3178236020901837</v>
      </c>
      <c r="J14" s="82">
        <f>SUM($I14:I$119)*(1+$B$2)^0.5</f>
        <v>10197.606743851133</v>
      </c>
      <c r="K14" s="82">
        <f>SUM($J14:J$119)</f>
        <v>691763.63415272976</v>
      </c>
      <c r="L14" s="88"/>
    </row>
    <row r="15" spans="1:12" x14ac:dyDescent="0.15">
      <c r="A15">
        <v>7</v>
      </c>
      <c r="B15" s="87">
        <v>99578</v>
      </c>
      <c r="C15" s="82">
        <f t="shared" si="0"/>
        <v>9</v>
      </c>
      <c r="D15" s="82">
        <f t="shared" si="3"/>
        <v>9.0381409548293795E-2</v>
      </c>
      <c r="E15" s="82">
        <f t="shared" si="4"/>
        <v>999.90961859045171</v>
      </c>
      <c r="F15" s="82">
        <f t="shared" si="1"/>
        <v>80966.026516548474</v>
      </c>
      <c r="G15" s="82">
        <f>SUM(F15:$F$119)</f>
        <v>2435103.4721225086</v>
      </c>
      <c r="H15" s="82">
        <f>SUM($G15:G$119)</f>
        <v>60548086.854128189</v>
      </c>
      <c r="I15" s="82">
        <f t="shared" si="2"/>
        <v>7.1046831088254203</v>
      </c>
      <c r="J15" s="82">
        <f>SUM($I15:I$119)*(1+$B$2)^0.5</f>
        <v>10190.179964028126</v>
      </c>
      <c r="K15" s="82">
        <f>SUM($J15:J$119)</f>
        <v>681566.02740887855</v>
      </c>
      <c r="L15" s="88"/>
    </row>
    <row r="16" spans="1:12" x14ac:dyDescent="0.15">
      <c r="A16">
        <v>8</v>
      </c>
      <c r="B16" s="87">
        <v>99569</v>
      </c>
      <c r="C16" s="82">
        <f t="shared" si="0"/>
        <v>9</v>
      </c>
      <c r="D16" s="82">
        <f t="shared" si="3"/>
        <v>9.0389579085860053E-2</v>
      </c>
      <c r="E16" s="82">
        <f t="shared" si="4"/>
        <v>999.90961042091408</v>
      </c>
      <c r="F16" s="82">
        <f t="shared" si="1"/>
        <v>78600.688051404271</v>
      </c>
      <c r="G16" s="82">
        <f>SUM(F16:$F$119)</f>
        <v>2354137.4456059602</v>
      </c>
      <c r="H16" s="82">
        <f>SUM($G16:G$119)</f>
        <v>58112983.382005684</v>
      </c>
      <c r="I16" s="82">
        <f t="shared" si="2"/>
        <v>6.8977505910926418</v>
      </c>
      <c r="J16" s="82">
        <f>SUM($I16:I$119)*(1+$B$2)^0.5</f>
        <v>10182.969498180544</v>
      </c>
      <c r="K16" s="82">
        <f>SUM($J16:J$119)</f>
        <v>671375.84744485049</v>
      </c>
      <c r="L16" s="88"/>
    </row>
    <row r="17" spans="1:12" x14ac:dyDescent="0.15">
      <c r="A17">
        <v>9</v>
      </c>
      <c r="B17" s="87">
        <v>99560</v>
      </c>
      <c r="C17" s="82">
        <f t="shared" si="0"/>
        <v>8</v>
      </c>
      <c r="D17" s="82">
        <f t="shared" si="3"/>
        <v>8.0353555644837274E-2</v>
      </c>
      <c r="E17" s="82">
        <f t="shared" si="4"/>
        <v>999.91964644435518</v>
      </c>
      <c r="F17" s="82">
        <f t="shared" si="1"/>
        <v>76304.449872131503</v>
      </c>
      <c r="G17" s="82">
        <f>SUM(F17:$F$119)</f>
        <v>2275536.7575545567</v>
      </c>
      <c r="H17" s="82">
        <f>SUM($G17:G$119)</f>
        <v>55758845.936399736</v>
      </c>
      <c r="I17" s="82">
        <f t="shared" si="2"/>
        <v>5.9527513191738004</v>
      </c>
      <c r="J17" s="82">
        <f>SUM($I17:I$119)*(1+$B$2)^0.5</f>
        <v>10175.96904590134</v>
      </c>
      <c r="K17" s="82">
        <f>SUM($J17:J$119)</f>
        <v>661192.87794666982</v>
      </c>
      <c r="L17" s="88"/>
    </row>
    <row r="18" spans="1:12" x14ac:dyDescent="0.15">
      <c r="A18">
        <v>10</v>
      </c>
      <c r="B18" s="87">
        <v>99552</v>
      </c>
      <c r="C18" s="82">
        <f t="shared" si="0"/>
        <v>9</v>
      </c>
      <c r="D18" s="82">
        <f t="shared" si="3"/>
        <v>9.0405014464802327E-2</v>
      </c>
      <c r="E18" s="82">
        <f t="shared" si="4"/>
        <v>999.90959498553525</v>
      </c>
      <c r="F18" s="82">
        <f t="shared" si="1"/>
        <v>74076.037415798783</v>
      </c>
      <c r="G18" s="82">
        <f>SUM(F18:$F$119)</f>
        <v>2199232.3076824257</v>
      </c>
      <c r="H18" s="82">
        <f>SUM($G18:G$119)</f>
        <v>53483309.178845175</v>
      </c>
      <c r="I18" s="82">
        <f t="shared" si="2"/>
        <v>6.50179148938886</v>
      </c>
      <c r="J18" s="82">
        <f>SUM($I18:I$119)*(1+$B$2)^0.5</f>
        <v>10169.927663136114</v>
      </c>
      <c r="K18" s="82">
        <f>SUM($J18:J$119)</f>
        <v>651016.9089007685</v>
      </c>
      <c r="L18" s="88"/>
    </row>
    <row r="19" spans="1:12" x14ac:dyDescent="0.15">
      <c r="A19">
        <v>11</v>
      </c>
      <c r="B19" s="87">
        <v>99543</v>
      </c>
      <c r="C19" s="82">
        <f t="shared" si="0"/>
        <v>9</v>
      </c>
      <c r="D19" s="82">
        <f t="shared" si="3"/>
        <v>9.0413188270395711E-2</v>
      </c>
      <c r="E19" s="82">
        <f t="shared" si="4"/>
        <v>999.90958681172958</v>
      </c>
      <c r="F19" s="82">
        <f t="shared" si="1"/>
        <v>71911.981136470597</v>
      </c>
      <c r="G19" s="82">
        <f>SUM(F19:$F$119)</f>
        <v>2125156.2702666265</v>
      </c>
      <c r="H19" s="82">
        <f>SUM($G19:G$119)</f>
        <v>51284076.871162742</v>
      </c>
      <c r="I19" s="82">
        <f t="shared" si="2"/>
        <v>6.3124189217367572</v>
      </c>
      <c r="J19" s="82">
        <f>SUM($I19:I$119)*(1+$B$2)^0.5</f>
        <v>10163.329065455649</v>
      </c>
      <c r="K19" s="82">
        <f>SUM($J19:J$119)</f>
        <v>640846.98123763257</v>
      </c>
      <c r="L19" s="88"/>
    </row>
    <row r="20" spans="1:12" x14ac:dyDescent="0.15">
      <c r="A20">
        <v>12</v>
      </c>
      <c r="B20" s="87">
        <v>99534</v>
      </c>
      <c r="C20" s="82">
        <f t="shared" si="0"/>
        <v>10</v>
      </c>
      <c r="D20" s="82">
        <f t="shared" si="3"/>
        <v>0.10046818172684711</v>
      </c>
      <c r="E20" s="82">
        <f t="shared" si="4"/>
        <v>999.8995318182732</v>
      </c>
      <c r="F20" s="82">
        <f t="shared" si="1"/>
        <v>69811.144995127397</v>
      </c>
      <c r="G20" s="82">
        <f>SUM(F20:$F$119)</f>
        <v>2053244.289130155</v>
      </c>
      <c r="H20" s="82">
        <f>SUM($G20:G$119)</f>
        <v>49158920.60089612</v>
      </c>
      <c r="I20" s="82">
        <f t="shared" si="2"/>
        <v>6.8095133999317774</v>
      </c>
      <c r="J20" s="82">
        <f>SUM($I20:I$119)*(1+$B$2)^0.5</f>
        <v>10156.922659940636</v>
      </c>
      <c r="K20" s="82">
        <f>SUM($J20:J$119)</f>
        <v>630683.65217217698</v>
      </c>
      <c r="L20" s="88"/>
    </row>
    <row r="21" spans="1:12" x14ac:dyDescent="0.15">
      <c r="A21">
        <v>13</v>
      </c>
      <c r="B21" s="87">
        <v>99524</v>
      </c>
      <c r="C21" s="82">
        <f t="shared" si="0"/>
        <v>12</v>
      </c>
      <c r="D21" s="82">
        <f t="shared" si="3"/>
        <v>0.12057393191591978</v>
      </c>
      <c r="E21" s="82">
        <f t="shared" si="4"/>
        <v>999.87942606808406</v>
      </c>
      <c r="F21" s="82">
        <f t="shared" si="1"/>
        <v>67771.001161481036</v>
      </c>
      <c r="G21" s="82">
        <f>SUM(F21:$F$119)</f>
        <v>1983433.1441350281</v>
      </c>
      <c r="H21" s="82">
        <f>SUM($G21:G$119)</f>
        <v>47105676.311765961</v>
      </c>
      <c r="I21" s="82">
        <f t="shared" si="2"/>
        <v>7.9334136698234294</v>
      </c>
      <c r="J21" s="82">
        <f>SUM($I21:I$119)*(1+$B$2)^0.5</f>
        <v>10150.01175862994</v>
      </c>
      <c r="K21" s="82">
        <f>SUM($J21:J$119)</f>
        <v>620526.7295122362</v>
      </c>
      <c r="L21" s="88"/>
    </row>
    <row r="22" spans="1:12" x14ac:dyDescent="0.15">
      <c r="A22">
        <v>14</v>
      </c>
      <c r="B22" s="87">
        <v>99512</v>
      </c>
      <c r="C22" s="82">
        <f t="shared" si="0"/>
        <v>16</v>
      </c>
      <c r="D22" s="82">
        <f t="shared" si="3"/>
        <v>0.1607846289894686</v>
      </c>
      <c r="E22" s="82">
        <f t="shared" si="4"/>
        <v>999.83921537101048</v>
      </c>
      <c r="F22" s="82">
        <f t="shared" si="1"/>
        <v>65789.155092622444</v>
      </c>
      <c r="G22" s="82">
        <f>SUM(F22:$F$119)</f>
        <v>1915662.1429735473</v>
      </c>
      <c r="H22" s="82">
        <f>SUM($G22:G$119)</f>
        <v>45122243.167630933</v>
      </c>
      <c r="I22" s="82">
        <f t="shared" si="2"/>
        <v>10.269791158347482</v>
      </c>
      <c r="J22" s="82">
        <f>SUM($I22:I$119)*(1+$B$2)^0.5</f>
        <v>10141.960223122334</v>
      </c>
      <c r="K22" s="82">
        <f>SUM($J22:J$119)</f>
        <v>610376.71775360627</v>
      </c>
      <c r="L22" s="88"/>
    </row>
    <row r="23" spans="1:12" x14ac:dyDescent="0.15">
      <c r="A23">
        <v>15</v>
      </c>
      <c r="B23" s="87">
        <v>99496</v>
      </c>
      <c r="C23" s="82">
        <f t="shared" si="0"/>
        <v>21</v>
      </c>
      <c r="D23" s="82">
        <f t="shared" si="3"/>
        <v>0.21106376135724048</v>
      </c>
      <c r="E23" s="82">
        <f t="shared" si="4"/>
        <v>999.78893623864269</v>
      </c>
      <c r="F23" s="82">
        <f t="shared" si="1"/>
        <v>63862.696318183822</v>
      </c>
      <c r="G23" s="82">
        <f>SUM(F23:$F$119)</f>
        <v>1849872.9878809247</v>
      </c>
      <c r="H23" s="82">
        <f>SUM($G23:G$119)</f>
        <v>43206581.024657391</v>
      </c>
      <c r="I23" s="82">
        <f t="shared" si="2"/>
        <v>13.086505723622397</v>
      </c>
      <c r="J23" s="82">
        <f>SUM($I23:I$119)*(1+$B$2)^0.5</f>
        <v>10131.537523436113</v>
      </c>
      <c r="K23" s="82">
        <f>SUM($J23:J$119)</f>
        <v>600234.75753048388</v>
      </c>
      <c r="L23" s="88"/>
    </row>
    <row r="24" spans="1:12" x14ac:dyDescent="0.15">
      <c r="A24">
        <v>16</v>
      </c>
      <c r="B24" s="87">
        <v>99475</v>
      </c>
      <c r="C24" s="82">
        <f t="shared" si="0"/>
        <v>27</v>
      </c>
      <c r="D24" s="82">
        <f t="shared" si="3"/>
        <v>0.27142498115104297</v>
      </c>
      <c r="E24" s="82">
        <f t="shared" si="4"/>
        <v>999.72857501884891</v>
      </c>
      <c r="F24" s="82">
        <f t="shared" si="1"/>
        <v>61989.531278920877</v>
      </c>
      <c r="G24" s="82">
        <f>SUM(F24:$F$119)</f>
        <v>1786010.2915627407</v>
      </c>
      <c r="H24" s="82">
        <f>SUM($G24:G$119)</f>
        <v>41356708.036776461</v>
      </c>
      <c r="I24" s="82">
        <f t="shared" si="2"/>
        <v>16.335444037808816</v>
      </c>
      <c r="J24" s="82">
        <f>SUM($I24:I$119)*(1+$B$2)^0.5</f>
        <v>10118.256170680614</v>
      </c>
      <c r="K24" s="82">
        <f>SUM($J24:J$119)</f>
        <v>590103.22000704776</v>
      </c>
      <c r="L24" s="88"/>
    </row>
    <row r="25" spans="1:12" x14ac:dyDescent="0.15">
      <c r="A25">
        <v>17</v>
      </c>
      <c r="B25" s="87">
        <v>99448</v>
      </c>
      <c r="C25" s="82">
        <f t="shared" si="0"/>
        <v>33</v>
      </c>
      <c r="D25" s="82">
        <f t="shared" si="3"/>
        <v>0.33183171104496823</v>
      </c>
      <c r="E25" s="82">
        <f t="shared" si="4"/>
        <v>999.66816828895503</v>
      </c>
      <c r="F25" s="82">
        <f t="shared" si="1"/>
        <v>60167.675506370811</v>
      </c>
      <c r="G25" s="82">
        <f>SUM(F25:$F$119)</f>
        <v>1724020.7602838199</v>
      </c>
      <c r="H25" s="82">
        <f>SUM($G25:G$119)</f>
        <v>39570697.745213717</v>
      </c>
      <c r="I25" s="82">
        <f t="shared" si="2"/>
        <v>19.384022051337322</v>
      </c>
      <c r="J25" s="82">
        <f>SUM($I25:I$119)*(1+$B$2)^0.5</f>
        <v>10101.677505659878</v>
      </c>
      <c r="K25" s="82">
        <f>SUM($J25:J$119)</f>
        <v>579984.96383636701</v>
      </c>
      <c r="L25" s="88"/>
    </row>
    <row r="26" spans="1:12" x14ac:dyDescent="0.15">
      <c r="A26">
        <v>18</v>
      </c>
      <c r="B26" s="87">
        <v>99415</v>
      </c>
      <c r="C26" s="82">
        <f t="shared" si="0"/>
        <v>39</v>
      </c>
      <c r="D26" s="82">
        <f t="shared" si="3"/>
        <v>0.39229492531308152</v>
      </c>
      <c r="E26" s="82">
        <f t="shared" si="4"/>
        <v>999.60770507468692</v>
      </c>
      <c r="F26" s="82">
        <f t="shared" si="1"/>
        <v>58395.834916172746</v>
      </c>
      <c r="G26" s="82">
        <f>SUM(F26:$F$119)</f>
        <v>1663853.0847774493</v>
      </c>
      <c r="H26" s="82">
        <f>SUM($G26:G$119)</f>
        <v>37846676.984929904</v>
      </c>
      <c r="I26" s="82">
        <f t="shared" si="2"/>
        <v>22.241155045665064</v>
      </c>
      <c r="J26" s="82">
        <f>SUM($I26:I$119)*(1+$B$2)^0.5</f>
        <v>10082.00487187044</v>
      </c>
      <c r="K26" s="82">
        <f>SUM($J26:J$119)</f>
        <v>569883.28633070714</v>
      </c>
      <c r="L26" s="88"/>
    </row>
    <row r="27" spans="1:12" x14ac:dyDescent="0.15">
      <c r="A27">
        <v>19</v>
      </c>
      <c r="B27" s="87">
        <v>99376</v>
      </c>
      <c r="C27" s="82">
        <f t="shared" si="0"/>
        <v>44</v>
      </c>
      <c r="D27" s="82">
        <f t="shared" si="3"/>
        <v>0.4427628401223635</v>
      </c>
      <c r="E27" s="82">
        <f t="shared" si="4"/>
        <v>999.55723715987767</v>
      </c>
      <c r="F27" s="82">
        <f t="shared" si="1"/>
        <v>56672.744200461857</v>
      </c>
      <c r="G27" s="82">
        <f>SUM(F27:$F$119)</f>
        <v>1605457.2498612767</v>
      </c>
      <c r="H27" s="82">
        <f>SUM($G27:G$119)</f>
        <v>36182823.900152475</v>
      </c>
      <c r="I27" s="82">
        <f t="shared" si="2"/>
        <v>24.36173318419873</v>
      </c>
      <c r="J27" s="82">
        <f>SUM($I27:I$119)*(1+$B$2)^0.5</f>
        <v>10059.432564786353</v>
      </c>
      <c r="K27" s="82">
        <f>SUM($J27:J$119)</f>
        <v>559801.28145883663</v>
      </c>
      <c r="L27" s="88"/>
    </row>
    <row r="28" spans="1:12" x14ac:dyDescent="0.15">
      <c r="A28">
        <v>20</v>
      </c>
      <c r="B28" s="87">
        <v>99332</v>
      </c>
      <c r="C28" s="82">
        <f t="shared" si="0"/>
        <v>46</v>
      </c>
      <c r="D28" s="82">
        <f t="shared" si="3"/>
        <v>0.46309346434180326</v>
      </c>
      <c r="E28" s="82">
        <f t="shared" si="4"/>
        <v>999.5369065356582</v>
      </c>
      <c r="F28" s="82">
        <f t="shared" si="1"/>
        <v>54997.720014837025</v>
      </c>
      <c r="G28" s="82">
        <f>SUM(F28:$F$119)</f>
        <v>1548784.5056608145</v>
      </c>
      <c r="H28" s="82">
        <f>SUM($G28:G$119)</f>
        <v>34577366.65029119</v>
      </c>
      <c r="I28" s="82">
        <f t="shared" si="2"/>
        <v>24.727266691816894</v>
      </c>
      <c r="J28" s="82">
        <f>SUM($I28:I$119)*(1+$B$2)^0.5</f>
        <v>10034.708105943939</v>
      </c>
      <c r="K28" s="82">
        <f>SUM($J28:J$119)</f>
        <v>549741.84889405046</v>
      </c>
      <c r="L28" s="88"/>
    </row>
    <row r="29" spans="1:12" x14ac:dyDescent="0.15">
      <c r="A29">
        <v>21</v>
      </c>
      <c r="B29" s="87">
        <v>99286</v>
      </c>
      <c r="C29" s="82">
        <f t="shared" si="0"/>
        <v>47</v>
      </c>
      <c r="D29" s="82">
        <f t="shared" si="3"/>
        <v>0.47337993271961809</v>
      </c>
      <c r="E29" s="82">
        <f t="shared" si="4"/>
        <v>999.52662006728042</v>
      </c>
      <c r="F29" s="82">
        <f t="shared" si="1"/>
        <v>53371.117407907244</v>
      </c>
      <c r="G29" s="82">
        <f>SUM(F29:$F$119)</f>
        <v>1493786.7856459774</v>
      </c>
      <c r="H29" s="82">
        <f>SUM($G29:G$119)</f>
        <v>33028582.144630387</v>
      </c>
      <c r="I29" s="82">
        <f t="shared" si="2"/>
        <v>24.528947541481511</v>
      </c>
      <c r="J29" s="82">
        <f>SUM($I29:I$119)*(1+$B$2)^0.5</f>
        <v>10009.612671108303</v>
      </c>
      <c r="K29" s="82">
        <f>SUM($J29:J$119)</f>
        <v>539707.14078810648</v>
      </c>
      <c r="L29" s="88"/>
    </row>
    <row r="30" spans="1:12" x14ac:dyDescent="0.15">
      <c r="A30">
        <v>22</v>
      </c>
      <c r="B30" s="87">
        <v>99239</v>
      </c>
      <c r="C30" s="82">
        <f t="shared" si="0"/>
        <v>48</v>
      </c>
      <c r="D30" s="82">
        <f t="shared" si="3"/>
        <v>0.48368081097149307</v>
      </c>
      <c r="E30" s="82">
        <f t="shared" si="4"/>
        <v>999.51631918902854</v>
      </c>
      <c r="F30" s="82">
        <f t="shared" si="1"/>
        <v>51792.089895086909</v>
      </c>
      <c r="G30" s="82">
        <f>SUM(F30:$F$119)</f>
        <v>1440415.6682380701</v>
      </c>
      <c r="H30" s="82">
        <f>SUM($G30:G$119)</f>
        <v>31534795.358984411</v>
      </c>
      <c r="I30" s="82">
        <f t="shared" si="2"/>
        <v>24.321203924625333</v>
      </c>
      <c r="J30" s="82">
        <f>SUM($I30:I$119)*(1+$B$2)^0.5</f>
        <v>9984.7185082278702</v>
      </c>
      <c r="K30" s="82">
        <f>SUM($J30:J$119)</f>
        <v>529697.52811699826</v>
      </c>
      <c r="L30" s="88"/>
    </row>
    <row r="31" spans="1:12" x14ac:dyDescent="0.15">
      <c r="A31">
        <v>23</v>
      </c>
      <c r="B31" s="87">
        <v>99191</v>
      </c>
      <c r="C31" s="82">
        <f t="shared" si="0"/>
        <v>50</v>
      </c>
      <c r="D31" s="82">
        <f t="shared" si="3"/>
        <v>0.5040779909467592</v>
      </c>
      <c r="E31" s="82">
        <f t="shared" si="4"/>
        <v>999.49592200905329</v>
      </c>
      <c r="F31" s="82">
        <f t="shared" si="1"/>
        <v>50259.261218489839</v>
      </c>
      <c r="G31" s="82">
        <f>SUM(F31:$F$119)</f>
        <v>1388623.578342983</v>
      </c>
      <c r="H31" s="82">
        <f>SUM($G31:G$119)</f>
        <v>30094379.690746337</v>
      </c>
      <c r="I31" s="82">
        <f t="shared" si="2"/>
        <v>24.596686816975456</v>
      </c>
      <c r="J31" s="82">
        <f>SUM($I31:I$119)*(1+$B$2)^0.5</f>
        <v>9960.0351820915166</v>
      </c>
      <c r="K31" s="82">
        <f>SUM($J31:J$119)</f>
        <v>519712.80960877042</v>
      </c>
      <c r="L31" s="88"/>
    </row>
    <row r="32" spans="1:12" x14ac:dyDescent="0.15">
      <c r="A32">
        <v>24</v>
      </c>
      <c r="B32" s="87">
        <v>99141</v>
      </c>
      <c r="C32" s="82">
        <f t="shared" si="0"/>
        <v>52</v>
      </c>
      <c r="D32" s="82">
        <f t="shared" si="3"/>
        <v>0.5245055022644517</v>
      </c>
      <c r="E32" s="82">
        <f t="shared" si="4"/>
        <v>999.47549449773555</v>
      </c>
      <c r="F32" s="82">
        <f t="shared" si="1"/>
        <v>48770.802554435308</v>
      </c>
      <c r="G32" s="82">
        <f>SUM(F32:$F$119)</f>
        <v>1338364.3171244932</v>
      </c>
      <c r="H32" s="82">
        <f>SUM($G32:G$119)</f>
        <v>28705756.112403356</v>
      </c>
      <c r="I32" s="82">
        <f t="shared" si="2"/>
        <v>24.835489601606287</v>
      </c>
      <c r="J32" s="82">
        <f>SUM($I32:I$119)*(1+$B$2)^0.5</f>
        <v>9935.0722713549167</v>
      </c>
      <c r="K32" s="82">
        <f>SUM($J32:J$119)</f>
        <v>509752.77442667901</v>
      </c>
      <c r="L32" s="88"/>
    </row>
    <row r="33" spans="1:12" x14ac:dyDescent="0.15">
      <c r="A33">
        <v>25</v>
      </c>
      <c r="B33" s="87">
        <v>99089</v>
      </c>
      <c r="C33" s="82">
        <f t="shared" si="0"/>
        <v>53</v>
      </c>
      <c r="D33" s="82">
        <f t="shared" si="3"/>
        <v>0.53487269020779293</v>
      </c>
      <c r="E33" s="82">
        <f t="shared" si="4"/>
        <v>999.46512730979225</v>
      </c>
      <c r="F33" s="82">
        <f t="shared" si="1"/>
        <v>47325.458252568591</v>
      </c>
      <c r="G33" s="82">
        <f>SUM(F33:$F$119)</f>
        <v>1289593.5145700581</v>
      </c>
      <c r="H33" s="82">
        <f>SUM($G33:G$119)</f>
        <v>27367391.795278862</v>
      </c>
      <c r="I33" s="82">
        <f t="shared" si="2"/>
        <v>24.575820554240725</v>
      </c>
      <c r="J33" s="82">
        <f>SUM($I33:I$119)*(1+$B$2)^0.5</f>
        <v>9909.8670022616498</v>
      </c>
      <c r="K33" s="82">
        <f>SUM($J33:J$119)</f>
        <v>499817.70215532405</v>
      </c>
      <c r="L33" s="88"/>
    </row>
    <row r="34" spans="1:12" x14ac:dyDescent="0.15">
      <c r="A34">
        <v>26</v>
      </c>
      <c r="B34" s="87">
        <v>99036</v>
      </c>
      <c r="C34" s="82">
        <f t="shared" si="0"/>
        <v>53</v>
      </c>
      <c r="D34" s="82">
        <f t="shared" si="3"/>
        <v>0.53515893210549692</v>
      </c>
      <c r="E34" s="82">
        <f t="shared" si="4"/>
        <v>999.46484106789444</v>
      </c>
      <c r="F34" s="82">
        <f t="shared" si="1"/>
        <v>45922.471026599727</v>
      </c>
      <c r="G34" s="82">
        <f>SUM(F34:$F$119)</f>
        <v>1242268.0563174894</v>
      </c>
      <c r="H34" s="82">
        <f>SUM($G34:G$119)</f>
        <v>26077798.280708801</v>
      </c>
      <c r="I34" s="82">
        <f t="shared" si="2"/>
        <v>23.860019955573517</v>
      </c>
      <c r="J34" s="82">
        <f>SUM($I34:I$119)*(1+$B$2)^0.5</f>
        <v>9884.9252684688345</v>
      </c>
      <c r="K34" s="82">
        <f>SUM($J34:J$119)</f>
        <v>489907.83515306236</v>
      </c>
      <c r="L34" s="88"/>
    </row>
    <row r="35" spans="1:12" x14ac:dyDescent="0.15">
      <c r="A35">
        <v>27</v>
      </c>
      <c r="B35" s="87">
        <v>98983</v>
      </c>
      <c r="C35" s="82">
        <f t="shared" si="0"/>
        <v>53</v>
      </c>
      <c r="D35" s="82">
        <f t="shared" si="3"/>
        <v>0.53544548053706187</v>
      </c>
      <c r="E35" s="82">
        <f t="shared" si="4"/>
        <v>999.46455451946292</v>
      </c>
      <c r="F35" s="82">
        <f t="shared" si="1"/>
        <v>44561.063306840282</v>
      </c>
      <c r="G35" s="82">
        <f>SUM(F35:$F$119)</f>
        <v>1196345.5852908895</v>
      </c>
      <c r="H35" s="82">
        <f>SUM($G35:G$119)</f>
        <v>24835530.224391308</v>
      </c>
      <c r="I35" s="82">
        <f t="shared" si="2"/>
        <v>23.165067918032545</v>
      </c>
      <c r="J35" s="82">
        <f>SUM($I35:I$119)*(1+$B$2)^0.5</f>
        <v>9860.7099929418291</v>
      </c>
      <c r="K35" s="82">
        <f>SUM($J35:J$119)</f>
        <v>480022.90988459345</v>
      </c>
      <c r="L35" s="88"/>
    </row>
    <row r="36" spans="1:12" x14ac:dyDescent="0.15">
      <c r="A36">
        <v>28</v>
      </c>
      <c r="B36" s="87">
        <v>98930</v>
      </c>
      <c r="C36" s="82">
        <f t="shared" si="0"/>
        <v>53</v>
      </c>
      <c r="D36" s="82">
        <f t="shared" si="3"/>
        <v>0.53573233599514802</v>
      </c>
      <c r="E36" s="82">
        <f t="shared" si="4"/>
        <v>999.46426766400486</v>
      </c>
      <c r="F36" s="82">
        <f t="shared" si="1"/>
        <v>43240.003191150201</v>
      </c>
      <c r="G36" s="82">
        <f>SUM(F36:$F$119)</f>
        <v>1151784.5219840491</v>
      </c>
      <c r="H36" s="82">
        <f>SUM($G36:G$119)</f>
        <v>23639184.639100425</v>
      </c>
      <c r="I36" s="82">
        <f t="shared" si="2"/>
        <v>22.490357201973342</v>
      </c>
      <c r="J36" s="82">
        <f>SUM($I36:I$119)*(1+$B$2)^0.5</f>
        <v>9837.2000167020178</v>
      </c>
      <c r="K36" s="82">
        <f>SUM($J36:J$119)</f>
        <v>470162.19989165163</v>
      </c>
      <c r="L36" s="88"/>
    </row>
    <row r="37" spans="1:12" x14ac:dyDescent="0.15">
      <c r="A37">
        <v>29</v>
      </c>
      <c r="B37" s="87">
        <v>98877</v>
      </c>
      <c r="C37" s="82">
        <f t="shared" si="0"/>
        <v>53</v>
      </c>
      <c r="D37" s="82">
        <f t="shared" si="3"/>
        <v>0.53601949897347212</v>
      </c>
      <c r="E37" s="82">
        <f t="shared" si="4"/>
        <v>999.46398050102653</v>
      </c>
      <c r="F37" s="82">
        <f t="shared" si="1"/>
        <v>41958.095265273958</v>
      </c>
      <c r="G37" s="82">
        <f>SUM(F37:$F$119)</f>
        <v>1108544.5187928989</v>
      </c>
      <c r="H37" s="82">
        <f>SUM($G37:G$119)</f>
        <v>22487400.117116373</v>
      </c>
      <c r="I37" s="82">
        <f t="shared" si="2"/>
        <v>21.835298254343051</v>
      </c>
      <c r="J37" s="82">
        <f>SUM($I37:I$119)*(1+$B$2)^0.5</f>
        <v>9814.3747970517179</v>
      </c>
      <c r="K37" s="82">
        <f>SUM($J37:J$119)</f>
        <v>460324.99987494957</v>
      </c>
      <c r="L37" s="88"/>
    </row>
    <row r="38" spans="1:12" x14ac:dyDescent="0.15">
      <c r="A38">
        <v>30</v>
      </c>
      <c r="B38" s="87">
        <v>98824</v>
      </c>
      <c r="C38" s="82">
        <f t="shared" si="0"/>
        <v>55</v>
      </c>
      <c r="D38" s="82">
        <f t="shared" si="3"/>
        <v>0.5565449688334817</v>
      </c>
      <c r="E38" s="82">
        <f t="shared" si="4"/>
        <v>999.44345503116654</v>
      </c>
      <c r="F38" s="82">
        <f t="shared" si="1"/>
        <v>40714.179522399987</v>
      </c>
      <c r="G38" s="82">
        <f>SUM(F38:$F$119)</f>
        <v>1066586.4235276254</v>
      </c>
      <c r="H38" s="82">
        <f>SUM($G38:G$119)</f>
        <v>21378855.598323472</v>
      </c>
      <c r="I38" s="82">
        <f t="shared" si="2"/>
        <v>21.999292983859092</v>
      </c>
      <c r="J38" s="82">
        <f>SUM($I38:I$119)*(1+$B$2)^0.5</f>
        <v>9792.2143896242396</v>
      </c>
      <c r="K38" s="82">
        <f>SUM($J38:J$119)</f>
        <v>450510.62507789792</v>
      </c>
      <c r="L38" s="88"/>
    </row>
    <row r="39" spans="1:12" x14ac:dyDescent="0.15">
      <c r="A39">
        <v>31</v>
      </c>
      <c r="B39" s="87">
        <v>98769</v>
      </c>
      <c r="C39" s="82">
        <f t="shared" si="0"/>
        <v>58</v>
      </c>
      <c r="D39" s="82">
        <f t="shared" si="3"/>
        <v>0.58722878636009279</v>
      </c>
      <c r="E39" s="82">
        <f t="shared" si="4"/>
        <v>999.41277121363987</v>
      </c>
      <c r="F39" s="82">
        <f t="shared" si="1"/>
        <v>39506.330340414177</v>
      </c>
      <c r="G39" s="82">
        <f>SUM(F39:$F$119)</f>
        <v>1025872.2440052258</v>
      </c>
      <c r="H39" s="82">
        <f>SUM($G39:G$119)</f>
        <v>20312269.174795844</v>
      </c>
      <c r="I39" s="82">
        <f t="shared" si="2"/>
        <v>22.523547979943995</v>
      </c>
      <c r="J39" s="82">
        <f>SUM($I39:I$119)*(1+$B$2)^0.5</f>
        <v>9769.8875457240501</v>
      </c>
      <c r="K39" s="82">
        <f>SUM($J39:J$119)</f>
        <v>440718.41068827361</v>
      </c>
      <c r="L39" s="88"/>
    </row>
    <row r="40" spans="1:12" x14ac:dyDescent="0.15">
      <c r="A40">
        <v>32</v>
      </c>
      <c r="B40" s="87">
        <v>98711</v>
      </c>
      <c r="C40" s="82">
        <f t="shared" si="0"/>
        <v>60</v>
      </c>
      <c r="D40" s="82">
        <f t="shared" si="3"/>
        <v>0.60783499306055044</v>
      </c>
      <c r="E40" s="82">
        <f t="shared" si="4"/>
        <v>999.39216500693954</v>
      </c>
      <c r="F40" s="82">
        <f t="shared" si="1"/>
        <v>38333.136976694019</v>
      </c>
      <c r="G40" s="82">
        <f>SUM(F40:$F$119)</f>
        <v>986365.91366481152</v>
      </c>
      <c r="H40" s="82">
        <f>SUM($G40:G$119)</f>
        <v>19286396.930790622</v>
      </c>
      <c r="I40" s="82">
        <f t="shared" si="2"/>
        <v>22.621574804095072</v>
      </c>
      <c r="J40" s="82">
        <f>SUM($I40:I$119)*(1+$B$2)^0.5</f>
        <v>9747.0286411130892</v>
      </c>
      <c r="K40" s="82">
        <f>SUM($J40:J$119)</f>
        <v>430948.52314254967</v>
      </c>
      <c r="L40" s="88"/>
    </row>
    <row r="41" spans="1:12" x14ac:dyDescent="0.15">
      <c r="A41">
        <v>33</v>
      </c>
      <c r="B41" s="87">
        <v>98651</v>
      </c>
      <c r="C41" s="82">
        <f t="shared" si="0"/>
        <v>62</v>
      </c>
      <c r="D41" s="82">
        <f t="shared" si="3"/>
        <v>0.62847817052031918</v>
      </c>
      <c r="E41" s="82">
        <f t="shared" si="4"/>
        <v>999.37152182947966</v>
      </c>
      <c r="F41" s="82">
        <f t="shared" si="1"/>
        <v>37194.016266646409</v>
      </c>
      <c r="G41" s="82">
        <f>SUM(F41:$F$119)</f>
        <v>948032.77668811753</v>
      </c>
      <c r="H41" s="82">
        <f>SUM($G41:G$119)</f>
        <v>18300031.017125811</v>
      </c>
      <c r="I41" s="82">
        <f t="shared" si="2"/>
        <v>22.694783784043601</v>
      </c>
      <c r="J41" s="82">
        <f>SUM($I41:I$119)*(1+$B$2)^0.5</f>
        <v>9724.0702501412525</v>
      </c>
      <c r="K41" s="82">
        <f>SUM($J41:J$119)</f>
        <v>421201.49450143648</v>
      </c>
      <c r="L41" s="88"/>
    </row>
    <row r="42" spans="1:12" x14ac:dyDescent="0.15">
      <c r="A42">
        <v>34</v>
      </c>
      <c r="B42" s="87">
        <v>98589</v>
      </c>
      <c r="C42" s="82">
        <f t="shared" si="0"/>
        <v>68</v>
      </c>
      <c r="D42" s="82">
        <f t="shared" si="3"/>
        <v>0.6897321202162513</v>
      </c>
      <c r="E42" s="82">
        <f t="shared" si="4"/>
        <v>999.31026787978374</v>
      </c>
      <c r="F42" s="82">
        <f t="shared" si="1"/>
        <v>36088.000620727042</v>
      </c>
      <c r="G42" s="82">
        <f>SUM(F42:$F$119)</f>
        <v>910838.7604214712</v>
      </c>
      <c r="H42" s="82">
        <f>SUM($G42:G$119)</f>
        <v>17351998.240437698</v>
      </c>
      <c r="I42" s="82">
        <f t="shared" si="2"/>
        <v>24.166071050970324</v>
      </c>
      <c r="J42" s="82">
        <f>SUM($I42:I$119)*(1+$B$2)^0.5</f>
        <v>9701.037560169505</v>
      </c>
      <c r="K42" s="82">
        <f>SUM($J42:J$119)</f>
        <v>411477.42425129528</v>
      </c>
      <c r="L42" s="88"/>
    </row>
    <row r="43" spans="1:12" x14ac:dyDescent="0.15">
      <c r="A43">
        <v>35</v>
      </c>
      <c r="B43" s="87">
        <v>98521</v>
      </c>
      <c r="C43" s="82">
        <f t="shared" si="0"/>
        <v>71</v>
      </c>
      <c r="D43" s="82">
        <f t="shared" si="3"/>
        <v>0.72065853980369665</v>
      </c>
      <c r="E43" s="82">
        <f t="shared" si="4"/>
        <v>999.27934146019629</v>
      </c>
      <c r="F43" s="82">
        <f t="shared" si="1"/>
        <v>35012.727735480134</v>
      </c>
      <c r="G43" s="82">
        <f>SUM(F43:$F$119)</f>
        <v>874750.75980074424</v>
      </c>
      <c r="H43" s="82">
        <f>SUM($G43:G$119)</f>
        <v>16441159.480016213</v>
      </c>
      <c r="I43" s="82">
        <f t="shared" si="2"/>
        <v>24.497302179024743</v>
      </c>
      <c r="J43" s="82">
        <f>SUM($I43:I$119)*(1+$B$2)^0.5</f>
        <v>9676.5116767044437</v>
      </c>
      <c r="K43" s="82">
        <f>SUM($J43:J$119)</f>
        <v>401776.38669112575</v>
      </c>
      <c r="L43" s="88"/>
    </row>
    <row r="44" spans="1:12" x14ac:dyDescent="0.15">
      <c r="A44">
        <v>36</v>
      </c>
      <c r="B44" s="87">
        <v>98450</v>
      </c>
      <c r="C44" s="82">
        <f t="shared" si="0"/>
        <v>75</v>
      </c>
      <c r="D44" s="82">
        <f t="shared" si="3"/>
        <v>0.76180802437785677</v>
      </c>
      <c r="E44" s="82">
        <f t="shared" si="4"/>
        <v>999.23819197562216</v>
      </c>
      <c r="F44" s="82">
        <f t="shared" si="1"/>
        <v>33968.442246830811</v>
      </c>
      <c r="G44" s="82">
        <f>SUM(F44:$F$119)</f>
        <v>839738.03206526418</v>
      </c>
      <c r="H44" s="82">
        <f>SUM($G44:G$119)</f>
        <v>15566408.72021547</v>
      </c>
      <c r="I44" s="82">
        <f t="shared" si="2"/>
        <v>25.12372027111795</v>
      </c>
      <c r="J44" s="82">
        <f>SUM($I44:I$119)*(1+$B$2)^0.5</f>
        <v>9651.6496303592212</v>
      </c>
      <c r="K44" s="82">
        <f>SUM($J44:J$119)</f>
        <v>392099.87501442124</v>
      </c>
      <c r="L44" s="88"/>
    </row>
    <row r="45" spans="1:12" x14ac:dyDescent="0.15">
      <c r="A45">
        <v>37</v>
      </c>
      <c r="B45" s="87">
        <v>98375</v>
      </c>
      <c r="C45" s="82">
        <f t="shared" si="0"/>
        <v>79</v>
      </c>
      <c r="D45" s="82">
        <f t="shared" si="3"/>
        <v>0.80304955527318933</v>
      </c>
      <c r="E45" s="82">
        <f t="shared" si="4"/>
        <v>999.19695044472678</v>
      </c>
      <c r="F45" s="82">
        <f t="shared" si="1"/>
        <v>32953.946422283072</v>
      </c>
      <c r="G45" s="82">
        <f>SUM(F45:$F$119)</f>
        <v>805769.58981843316</v>
      </c>
      <c r="H45" s="82">
        <f>SUM($G45:G$119)</f>
        <v>14726670.688150205</v>
      </c>
      <c r="I45" s="82">
        <f t="shared" si="2"/>
        <v>25.692866037777577</v>
      </c>
      <c r="J45" s="82">
        <f>SUM($I45:I$119)*(1+$B$2)^0.5</f>
        <v>9626.1518390848923</v>
      </c>
      <c r="K45" s="82">
        <f>SUM($J45:J$119)</f>
        <v>382448.22538406204</v>
      </c>
      <c r="L45" s="88"/>
    </row>
    <row r="46" spans="1:12" x14ac:dyDescent="0.15">
      <c r="A46">
        <v>38</v>
      </c>
      <c r="B46" s="87">
        <v>98296</v>
      </c>
      <c r="C46" s="82">
        <f t="shared" si="0"/>
        <v>86</v>
      </c>
      <c r="D46" s="82">
        <f t="shared" si="3"/>
        <v>0.874908439814438</v>
      </c>
      <c r="E46" s="82">
        <f t="shared" si="4"/>
        <v>999.12509156018564</v>
      </c>
      <c r="F46" s="82">
        <f t="shared" si="1"/>
        <v>31968.429874042875</v>
      </c>
      <c r="G46" s="82">
        <f>SUM(F46:$F$119)</f>
        <v>772815.64339615009</v>
      </c>
      <c r="H46" s="82">
        <f>SUM($G46:G$119)</f>
        <v>13920901.098331768</v>
      </c>
      <c r="I46" s="82">
        <f t="shared" si="2"/>
        <v>27.154804955743785</v>
      </c>
      <c r="J46" s="82">
        <f>SUM($I46:I$119)*(1+$B$2)^0.5</f>
        <v>9600.0764279435098</v>
      </c>
      <c r="K46" s="82">
        <f>SUM($J46:J$119)</f>
        <v>372822.07354497712</v>
      </c>
      <c r="L46" s="88"/>
    </row>
    <row r="47" spans="1:12" x14ac:dyDescent="0.15">
      <c r="A47">
        <v>39</v>
      </c>
      <c r="B47" s="87">
        <v>98210</v>
      </c>
      <c r="C47" s="82">
        <f t="shared" si="0"/>
        <v>90</v>
      </c>
      <c r="D47" s="82">
        <f t="shared" si="3"/>
        <v>0.91640362488544957</v>
      </c>
      <c r="E47" s="82">
        <f t="shared" si="4"/>
        <v>999.08359637511455</v>
      </c>
      <c r="F47" s="82">
        <f t="shared" si="1"/>
        <v>31010.155752367431</v>
      </c>
      <c r="G47" s="82">
        <f>SUM(F47:$F$119)</f>
        <v>740847.21352210734</v>
      </c>
      <c r="H47" s="82">
        <f>SUM($G47:G$119)</f>
        <v>13148085.454935618</v>
      </c>
      <c r="I47" s="82">
        <f t="shared" si="2"/>
        <v>27.590115669642586</v>
      </c>
      <c r="J47" s="82">
        <f>SUM($I47:I$119)*(1+$B$2)^0.5</f>
        <v>9572.5173108468025</v>
      </c>
      <c r="K47" s="82">
        <f>SUM($J47:J$119)</f>
        <v>363221.99711703364</v>
      </c>
      <c r="L47" s="88"/>
    </row>
    <row r="48" spans="1:12" x14ac:dyDescent="0.15">
      <c r="A48">
        <v>40</v>
      </c>
      <c r="B48" s="87">
        <v>98120</v>
      </c>
      <c r="C48" s="82">
        <f t="shared" si="0"/>
        <v>99</v>
      </c>
      <c r="D48" s="82">
        <f t="shared" si="3"/>
        <v>1.0089686098654709</v>
      </c>
      <c r="E48" s="82">
        <f t="shared" si="4"/>
        <v>998.99103139013459</v>
      </c>
      <c r="F48" s="82">
        <f t="shared" si="1"/>
        <v>30079.35721672593</v>
      </c>
      <c r="G48" s="82">
        <f>SUM(F48:$F$119)</f>
        <v>709837.05776973977</v>
      </c>
      <c r="H48" s="82">
        <f>SUM($G48:G$119)</f>
        <v>12407238.241413511</v>
      </c>
      <c r="I48" s="82">
        <f t="shared" si="2"/>
        <v>29.46517207437558</v>
      </c>
      <c r="J48" s="82">
        <f>SUM($I48:I$119)*(1+$B$2)^0.5</f>
        <v>9544.5164016268445</v>
      </c>
      <c r="K48" s="82">
        <f>SUM($J48:J$119)</f>
        <v>353649.47980618681</v>
      </c>
      <c r="L48" s="88"/>
    </row>
    <row r="49" spans="1:12" x14ac:dyDescent="0.15">
      <c r="A49">
        <v>41</v>
      </c>
      <c r="B49" s="87">
        <v>98021</v>
      </c>
      <c r="C49" s="82">
        <f t="shared" si="0"/>
        <v>108</v>
      </c>
      <c r="D49" s="82">
        <f t="shared" si="3"/>
        <v>1.1018047153161057</v>
      </c>
      <c r="E49" s="82">
        <f t="shared" si="4"/>
        <v>998.89819528468388</v>
      </c>
      <c r="F49" s="82">
        <f t="shared" si="1"/>
        <v>29173.794261640116</v>
      </c>
      <c r="G49" s="82">
        <f>SUM(F49:$F$119)</f>
        <v>679757.70055301371</v>
      </c>
      <c r="H49" s="82">
        <f>SUM($G49:G$119)</f>
        <v>11697401.183643773</v>
      </c>
      <c r="I49" s="82">
        <f t="shared" si="2"/>
        <v>31.207596195278636</v>
      </c>
      <c r="J49" s="82">
        <f>SUM($I49:I$119)*(1+$B$2)^0.5</f>
        <v>9514.6125179938845</v>
      </c>
      <c r="K49" s="82">
        <f>SUM($J49:J$119)</f>
        <v>344104.96340456</v>
      </c>
      <c r="L49" s="88"/>
    </row>
    <row r="50" spans="1:12" x14ac:dyDescent="0.15">
      <c r="A50">
        <v>42</v>
      </c>
      <c r="B50" s="87">
        <v>97913</v>
      </c>
      <c r="C50" s="82">
        <f t="shared" si="0"/>
        <v>118</v>
      </c>
      <c r="D50" s="82">
        <f t="shared" si="3"/>
        <v>1.2051515120566216</v>
      </c>
      <c r="E50" s="82">
        <f t="shared" si="4"/>
        <v>998.79484848794345</v>
      </c>
      <c r="F50" s="82">
        <f t="shared" si="1"/>
        <v>28292.864502484445</v>
      </c>
      <c r="G50" s="82">
        <f>SUM(F50:$F$119)</f>
        <v>650583.90629137354</v>
      </c>
      <c r="H50" s="82">
        <f>SUM($G50:G$119)</f>
        <v>11017643.483090758</v>
      </c>
      <c r="I50" s="82">
        <f t="shared" si="2"/>
        <v>33.104066442312828</v>
      </c>
      <c r="J50" s="82">
        <f>SUM($I50:I$119)*(1+$B$2)^0.5</f>
        <v>9482.9402670145773</v>
      </c>
      <c r="K50" s="82">
        <f>SUM($J50:J$119)</f>
        <v>334590.3508865661</v>
      </c>
      <c r="L50" s="88"/>
    </row>
    <row r="51" spans="1:12" x14ac:dyDescent="0.15">
      <c r="A51">
        <v>43</v>
      </c>
      <c r="B51" s="87">
        <v>97795</v>
      </c>
      <c r="C51" s="82">
        <f t="shared" si="0"/>
        <v>128</v>
      </c>
      <c r="D51" s="82">
        <f t="shared" si="3"/>
        <v>1.3088603711846207</v>
      </c>
      <c r="E51" s="82">
        <f t="shared" si="4"/>
        <v>998.69113962881545</v>
      </c>
      <c r="F51" s="82">
        <f t="shared" si="1"/>
        <v>27435.696421406665</v>
      </c>
      <c r="G51" s="82">
        <f>SUM(F51:$F$119)</f>
        <v>622291.04178888921</v>
      </c>
      <c r="H51" s="82">
        <f>SUM($G51:G$119)</f>
        <v>10367059.576799385</v>
      </c>
      <c r="I51" s="82">
        <f t="shared" si="2"/>
        <v>34.863588157117348</v>
      </c>
      <c r="J51" s="82">
        <f>SUM($I51:I$119)*(1+$B$2)^0.5</f>
        <v>9449.343308945914</v>
      </c>
      <c r="K51" s="82">
        <f>SUM($J51:J$119)</f>
        <v>325107.41061955149</v>
      </c>
      <c r="L51" s="88"/>
    </row>
    <row r="52" spans="1:12" x14ac:dyDescent="0.15">
      <c r="A52">
        <v>44</v>
      </c>
      <c r="B52" s="87">
        <v>97667</v>
      </c>
      <c r="C52" s="82">
        <f t="shared" si="0"/>
        <v>146</v>
      </c>
      <c r="D52" s="82">
        <f t="shared" si="3"/>
        <v>1.4948754441111121</v>
      </c>
      <c r="E52" s="82">
        <f t="shared" si="4"/>
        <v>998.50512455588887</v>
      </c>
      <c r="F52" s="82">
        <f t="shared" si="1"/>
        <v>26601.734879227995</v>
      </c>
      <c r="G52" s="82">
        <f>SUM(F52:$F$119)</f>
        <v>594855.34536748251</v>
      </c>
      <c r="H52" s="82">
        <f>SUM($G52:G$119)</f>
        <v>9744768.5350104962</v>
      </c>
      <c r="I52" s="82">
        <f t="shared" si="2"/>
        <v>38.608039069623274</v>
      </c>
      <c r="J52" s="82">
        <f>SUM($I52:I$119)*(1+$B$2)^0.5</f>
        <v>9413.9606313682525</v>
      </c>
      <c r="K52" s="82">
        <f>SUM($J52:J$119)</f>
        <v>315658.06731060561</v>
      </c>
      <c r="L52" s="88"/>
    </row>
    <row r="53" spans="1:12" x14ac:dyDescent="0.15">
      <c r="A53">
        <v>45</v>
      </c>
      <c r="B53" s="87">
        <v>97521</v>
      </c>
      <c r="C53" s="82">
        <f t="shared" si="0"/>
        <v>159</v>
      </c>
      <c r="D53" s="82">
        <f t="shared" si="3"/>
        <v>1.6304180638016428</v>
      </c>
      <c r="E53" s="82">
        <f t="shared" si="4"/>
        <v>998.36958193619841</v>
      </c>
      <c r="F53" s="82">
        <f t="shared" si="1"/>
        <v>25788.319028142025</v>
      </c>
      <c r="G53" s="82">
        <f>SUM(F53:$F$119)</f>
        <v>568253.61048825469</v>
      </c>
      <c r="H53" s="82">
        <f>SUM($G53:G$119)</f>
        <v>9149913.1896430124</v>
      </c>
      <c r="I53" s="82">
        <f t="shared" si="2"/>
        <v>40.821107940351787</v>
      </c>
      <c r="J53" s="82">
        <f>SUM($I53:I$119)*(1+$B$2)^0.5</f>
        <v>9374.7777511624063</v>
      </c>
      <c r="K53" s="82">
        <f>SUM($J53:J$119)</f>
        <v>306244.10667923733</v>
      </c>
      <c r="L53" s="88"/>
    </row>
    <row r="54" spans="1:12" x14ac:dyDescent="0.15">
      <c r="A54">
        <v>46</v>
      </c>
      <c r="B54" s="87">
        <v>97362</v>
      </c>
      <c r="C54" s="82">
        <f t="shared" si="0"/>
        <v>178</v>
      </c>
      <c r="D54" s="82">
        <f t="shared" si="3"/>
        <v>1.8282286723773133</v>
      </c>
      <c r="E54" s="82">
        <f t="shared" si="4"/>
        <v>998.17177132762265</v>
      </c>
      <c r="F54" s="82">
        <f t="shared" si="1"/>
        <v>24996.381832003361</v>
      </c>
      <c r="G54" s="82">
        <f>SUM(F54:$F$119)</f>
        <v>542465.29146011278</v>
      </c>
      <c r="H54" s="82">
        <f>SUM($G54:G$119)</f>
        <v>8581659.5791547578</v>
      </c>
      <c r="I54" s="82">
        <f t="shared" si="2"/>
        <v>44.368060165980445</v>
      </c>
      <c r="J54" s="82">
        <f>SUM($I54:I$119)*(1+$B$2)^0.5</f>
        <v>9333.3488513570501</v>
      </c>
      <c r="K54" s="82">
        <f>SUM($J54:J$119)</f>
        <v>296869.32892807492</v>
      </c>
      <c r="L54" s="88"/>
    </row>
    <row r="55" spans="1:12" x14ac:dyDescent="0.15">
      <c r="A55">
        <v>47</v>
      </c>
      <c r="B55" s="87">
        <v>97184</v>
      </c>
      <c r="C55" s="82">
        <f t="shared" si="0"/>
        <v>194</v>
      </c>
      <c r="D55" s="82">
        <f t="shared" si="3"/>
        <v>1.9962133684557126</v>
      </c>
      <c r="E55" s="82">
        <f t="shared" si="4"/>
        <v>998.00378663154436</v>
      </c>
      <c r="F55" s="82">
        <f t="shared" si="1"/>
        <v>24223.963815565432</v>
      </c>
      <c r="G55" s="82">
        <f>SUM(F55:$F$119)</f>
        <v>517468.90962810937</v>
      </c>
      <c r="H55" s="82">
        <f>SUM($G55:G$119)</f>
        <v>8039194.2876946423</v>
      </c>
      <c r="I55" s="82">
        <f t="shared" si="2"/>
        <v>46.947767384096245</v>
      </c>
      <c r="J55" s="82">
        <f>SUM($I55:I$119)*(1+$B$2)^0.5</f>
        <v>9288.32018819925</v>
      </c>
      <c r="K55" s="82">
        <f>SUM($J55:J$119)</f>
        <v>287535.98007671785</v>
      </c>
      <c r="L55" s="88"/>
    </row>
    <row r="56" spans="1:12" x14ac:dyDescent="0.15">
      <c r="A56">
        <v>48</v>
      </c>
      <c r="B56" s="87">
        <v>96990</v>
      </c>
      <c r="C56" s="82">
        <f t="shared" si="0"/>
        <v>212</v>
      </c>
      <c r="D56" s="82">
        <f t="shared" si="3"/>
        <v>2.1857923497267762</v>
      </c>
      <c r="E56" s="82">
        <f t="shared" si="4"/>
        <v>997.81420765027315</v>
      </c>
      <c r="F56" s="82">
        <f t="shared" si="1"/>
        <v>23471.463704038659</v>
      </c>
      <c r="G56" s="82">
        <f>SUM(F56:$F$119)</f>
        <v>493244.94581254391</v>
      </c>
      <c r="H56" s="82">
        <f>SUM($G56:G$119)</f>
        <v>7521725.3780665323</v>
      </c>
      <c r="I56" s="82">
        <f t="shared" si="2"/>
        <v>49.809461942890621</v>
      </c>
      <c r="J56" s="82">
        <f>SUM($I56:I$119)*(1+$B$2)^0.5</f>
        <v>9240.6734081588111</v>
      </c>
      <c r="K56" s="82">
        <f>SUM($J56:J$119)</f>
        <v>278247.65988851857</v>
      </c>
      <c r="L56" s="88"/>
    </row>
    <row r="57" spans="1:12" x14ac:dyDescent="0.15">
      <c r="A57">
        <v>49</v>
      </c>
      <c r="B57" s="87">
        <v>96778</v>
      </c>
      <c r="C57" s="82">
        <f t="shared" si="0"/>
        <v>233</v>
      </c>
      <c r="D57" s="82">
        <f t="shared" si="3"/>
        <v>2.4075719688358923</v>
      </c>
      <c r="E57" s="82">
        <f t="shared" si="4"/>
        <v>997.5924280311641</v>
      </c>
      <c r="F57" s="82">
        <f t="shared" si="1"/>
        <v>22738.019376929595</v>
      </c>
      <c r="G57" s="82">
        <f>SUM(F57:$F$119)</f>
        <v>469773.48210850527</v>
      </c>
      <c r="H57" s="82">
        <f>SUM($G57:G$119)</f>
        <v>7028480.4322539894</v>
      </c>
      <c r="I57" s="82">
        <f t="shared" si="2"/>
        <v>53.14894959101261</v>
      </c>
      <c r="J57" s="82">
        <f>SUM($I57:I$119)*(1+$B$2)^0.5</f>
        <v>9190.1223253414137</v>
      </c>
      <c r="K57" s="82">
        <f>SUM($J57:J$119)</f>
        <v>269006.98648035974</v>
      </c>
      <c r="L57" s="88"/>
    </row>
    <row r="58" spans="1:12" x14ac:dyDescent="0.15">
      <c r="A58">
        <v>50</v>
      </c>
      <c r="B58" s="87">
        <v>96545</v>
      </c>
      <c r="C58" s="82">
        <f t="shared" si="0"/>
        <v>259</v>
      </c>
      <c r="D58" s="82">
        <f t="shared" si="3"/>
        <v>2.6826868299756592</v>
      </c>
      <c r="E58" s="82">
        <f t="shared" si="4"/>
        <v>997.31731317002436</v>
      </c>
      <c r="F58" s="82">
        <f t="shared" si="1"/>
        <v>22022.598018301796</v>
      </c>
      <c r="G58" s="82">
        <f>SUM(F58:$F$119)</f>
        <v>447035.46273157571</v>
      </c>
      <c r="H58" s="82">
        <f>SUM($G58:G$119)</f>
        <v>6558706.9501454839</v>
      </c>
      <c r="I58" s="82">
        <f t="shared" si="2"/>
        <v>57.358964723831271</v>
      </c>
      <c r="J58" s="82">
        <f>SUM($I58:I$119)*(1+$B$2)^0.5</f>
        <v>9136.1820327216374</v>
      </c>
      <c r="K58" s="82">
        <f>SUM($J58:J$119)</f>
        <v>259816.86415501838</v>
      </c>
      <c r="L58" s="88"/>
    </row>
    <row r="59" spans="1:12" x14ac:dyDescent="0.15">
      <c r="A59">
        <v>51</v>
      </c>
      <c r="B59" s="87">
        <v>96286</v>
      </c>
      <c r="C59" s="82">
        <f t="shared" si="0"/>
        <v>286</v>
      </c>
      <c r="D59" s="82">
        <f t="shared" si="3"/>
        <v>2.9703175954967493</v>
      </c>
      <c r="E59" s="82">
        <f t="shared" si="4"/>
        <v>997.02968240450332</v>
      </c>
      <c r="F59" s="82">
        <f t="shared" si="1"/>
        <v>21323.80415984102</v>
      </c>
      <c r="G59" s="82">
        <f>SUM(F59:$F$119)</f>
        <v>425012.86471327394</v>
      </c>
      <c r="H59" s="82">
        <f>SUM($G59:G$119)</f>
        <v>6111671.4874139084</v>
      </c>
      <c r="I59" s="82">
        <f t="shared" si="2"/>
        <v>61.493660872720859</v>
      </c>
      <c r="J59" s="82">
        <f>SUM($I59:I$119)*(1+$B$2)^0.5</f>
        <v>9077.9690413948265</v>
      </c>
      <c r="K59" s="82">
        <f>SUM($J59:J$119)</f>
        <v>250680.68212229674</v>
      </c>
      <c r="L59" s="88"/>
    </row>
    <row r="60" spans="1:12" x14ac:dyDescent="0.15">
      <c r="A60">
        <v>52</v>
      </c>
      <c r="B60" s="87">
        <v>96000</v>
      </c>
      <c r="C60" s="82">
        <f t="shared" si="0"/>
        <v>314</v>
      </c>
      <c r="D60" s="82">
        <f t="shared" si="3"/>
        <v>3.2708333333333335</v>
      </c>
      <c r="E60" s="82">
        <f t="shared" si="4"/>
        <v>996.72916666666663</v>
      </c>
      <c r="F60" s="82">
        <f t="shared" si="1"/>
        <v>20641.228824409824</v>
      </c>
      <c r="G60" s="82">
        <f>SUM(F60:$F$119)</f>
        <v>403689.06055343291</v>
      </c>
      <c r="H60" s="82">
        <f>SUM($G60:G$119)</f>
        <v>5686658.6227006344</v>
      </c>
      <c r="I60" s="82">
        <f t="shared" si="2"/>
        <v>65.547591533825624</v>
      </c>
      <c r="J60" s="82">
        <f>SUM($I60:I$119)*(1+$B$2)^0.5</f>
        <v>9015.5597917810483</v>
      </c>
      <c r="K60" s="82">
        <f>SUM($J60:J$119)</f>
        <v>241602.71308090191</v>
      </c>
      <c r="L60" s="88"/>
    </row>
    <row r="61" spans="1:12" x14ac:dyDescent="0.15">
      <c r="A61">
        <v>53</v>
      </c>
      <c r="B61" s="87">
        <v>95686</v>
      </c>
      <c r="C61" s="82">
        <f t="shared" si="0"/>
        <v>345</v>
      </c>
      <c r="D61" s="82">
        <f t="shared" si="3"/>
        <v>3.605543130656522</v>
      </c>
      <c r="E61" s="82">
        <f t="shared" si="4"/>
        <v>996.39445686934346</v>
      </c>
      <c r="F61" s="82">
        <f t="shared" si="1"/>
        <v>19974.480393330083</v>
      </c>
      <c r="G61" s="82">
        <f>SUM(F61:$F$119)</f>
        <v>383047.83172902308</v>
      </c>
      <c r="H61" s="82">
        <f>SUM($G61:G$119)</f>
        <v>5282969.562147202</v>
      </c>
      <c r="I61" s="82">
        <f t="shared" si="2"/>
        <v>69.921214146218034</v>
      </c>
      <c r="J61" s="82">
        <f>SUM($I61:I$119)*(1+$B$2)^0.5</f>
        <v>8949.036251898071</v>
      </c>
      <c r="K61" s="82">
        <f>SUM($J61:J$119)</f>
        <v>232587.15328912085</v>
      </c>
      <c r="L61" s="88"/>
    </row>
    <row r="62" spans="1:12" x14ac:dyDescent="0.15">
      <c r="A62">
        <v>54</v>
      </c>
      <c r="B62" s="87">
        <v>95341</v>
      </c>
      <c r="C62" s="82">
        <f t="shared" si="0"/>
        <v>378</v>
      </c>
      <c r="D62" s="82">
        <f t="shared" si="3"/>
        <v>3.9647161242277722</v>
      </c>
      <c r="E62" s="82">
        <f t="shared" si="4"/>
        <v>996.03528387577228</v>
      </c>
      <c r="F62" s="82">
        <f t="shared" si="1"/>
        <v>19322.778196853862</v>
      </c>
      <c r="G62" s="82">
        <f>SUM(F62:$F$119)</f>
        <v>363073.35133569292</v>
      </c>
      <c r="H62" s="82">
        <f>SUM($G62:G$119)</f>
        <v>4899921.7304181792</v>
      </c>
      <c r="I62" s="82">
        <f t="shared" si="2"/>
        <v>74.377990564993425</v>
      </c>
      <c r="J62" s="82">
        <f>SUM($I62:I$119)*(1+$B$2)^0.5</f>
        <v>8878.0739698511152</v>
      </c>
      <c r="K62" s="82">
        <f>SUM($J62:J$119)</f>
        <v>223638.11703722281</v>
      </c>
      <c r="L62" s="88"/>
    </row>
    <row r="63" spans="1:12" x14ac:dyDescent="0.15">
      <c r="A63">
        <v>55</v>
      </c>
      <c r="B63" s="87">
        <v>94963</v>
      </c>
      <c r="C63" s="82">
        <f t="shared" si="0"/>
        <v>420</v>
      </c>
      <c r="D63" s="82">
        <f t="shared" si="3"/>
        <v>4.422775186125123</v>
      </c>
      <c r="E63" s="82">
        <f t="shared" si="4"/>
        <v>995.57722481387486</v>
      </c>
      <c r="F63" s="82">
        <f t="shared" si="1"/>
        <v>18685.600841331958</v>
      </c>
      <c r="G63" s="82">
        <f>SUM(F63:$F$119)</f>
        <v>343750.57313883904</v>
      </c>
      <c r="H63" s="82">
        <f>SUM($G63:G$119)</f>
        <v>4536848.3790824879</v>
      </c>
      <c r="I63" s="82">
        <f t="shared" si="2"/>
        <v>80.235157028040376</v>
      </c>
      <c r="J63" s="82">
        <f>SUM($I63:I$119)*(1+$B$2)^0.5</f>
        <v>8802.5885537437607</v>
      </c>
      <c r="K63" s="82">
        <f>SUM($J63:J$119)</f>
        <v>214760.04306737173</v>
      </c>
      <c r="L63" s="88"/>
    </row>
    <row r="64" spans="1:12" x14ac:dyDescent="0.15">
      <c r="A64">
        <v>56</v>
      </c>
      <c r="B64" s="87">
        <v>94543</v>
      </c>
      <c r="C64" s="82">
        <f t="shared" si="0"/>
        <v>470</v>
      </c>
      <c r="D64" s="82">
        <f t="shared" si="3"/>
        <v>4.9712829083062733</v>
      </c>
      <c r="E64" s="82">
        <f t="shared" si="4"/>
        <v>995.02871709169369</v>
      </c>
      <c r="F64" s="82">
        <f t="shared" si="1"/>
        <v>18061.124883100078</v>
      </c>
      <c r="G64" s="82">
        <f>SUM(F64:$F$119)</f>
        <v>325064.97229750711</v>
      </c>
      <c r="H64" s="82">
        <f>SUM($G64:G$119)</f>
        <v>4193097.8059436516</v>
      </c>
      <c r="I64" s="82">
        <f t="shared" si="2"/>
        <v>87.171807219553813</v>
      </c>
      <c r="J64" s="82">
        <f>SUM($I64:I$119)*(1+$B$2)^0.5</f>
        <v>8721.1587629051864</v>
      </c>
      <c r="K64" s="82">
        <f>SUM($J64:J$119)</f>
        <v>205957.45451362795</v>
      </c>
      <c r="L64" s="88"/>
    </row>
    <row r="65" spans="1:12" x14ac:dyDescent="0.15">
      <c r="A65">
        <v>57</v>
      </c>
      <c r="B65" s="87">
        <v>94073</v>
      </c>
      <c r="C65" s="82">
        <f t="shared" si="0"/>
        <v>509</v>
      </c>
      <c r="D65" s="82">
        <f t="shared" si="3"/>
        <v>5.4106916968737044</v>
      </c>
      <c r="E65" s="82">
        <f t="shared" si="4"/>
        <v>994.58930830312636</v>
      </c>
      <c r="F65" s="82">
        <f t="shared" si="1"/>
        <v>17447.900894819355</v>
      </c>
      <c r="G65" s="82">
        <f>SUM(F65:$F$119)</f>
        <v>307003.84741440695</v>
      </c>
      <c r="H65" s="82">
        <f>SUM($G65:G$119)</f>
        <v>3868032.8336461443</v>
      </c>
      <c r="I65" s="82">
        <f t="shared" si="2"/>
        <v>91.655546115994383</v>
      </c>
      <c r="J65" s="82">
        <f>SUM($I65:I$119)*(1+$B$2)^0.5</f>
        <v>8632.6890410047508</v>
      </c>
      <c r="K65" s="82">
        <f>SUM($J65:J$119)</f>
        <v>197236.29575072278</v>
      </c>
      <c r="L65" s="88"/>
    </row>
    <row r="66" spans="1:12" x14ac:dyDescent="0.15">
      <c r="A66">
        <v>58</v>
      </c>
      <c r="B66" s="87">
        <v>93564</v>
      </c>
      <c r="C66" s="82">
        <f t="shared" si="0"/>
        <v>556</v>
      </c>
      <c r="D66" s="82">
        <f t="shared" si="3"/>
        <v>5.9424565003633871</v>
      </c>
      <c r="E66" s="82">
        <f t="shared" si="4"/>
        <v>994.05754349963661</v>
      </c>
      <c r="F66" s="82">
        <f t="shared" si="1"/>
        <v>16848.054060504739</v>
      </c>
      <c r="G66" s="82">
        <f>SUM(F66:$F$119)</f>
        <v>289555.94651958765</v>
      </c>
      <c r="H66" s="82">
        <f>SUM($G66:G$119)</f>
        <v>3561028.9862317373</v>
      </c>
      <c r="I66" s="82">
        <f t="shared" si="2"/>
        <v>97.202745990601954</v>
      </c>
      <c r="J66" s="82">
        <f>SUM($I66:I$119)*(1+$B$2)^0.5</f>
        <v>8539.6688211176988</v>
      </c>
      <c r="K66" s="82">
        <f>SUM($J66:J$119)</f>
        <v>188603.60670971803</v>
      </c>
      <c r="L66" s="88"/>
    </row>
    <row r="67" spans="1:12" x14ac:dyDescent="0.15">
      <c r="A67">
        <v>59</v>
      </c>
      <c r="B67" s="87">
        <v>93008</v>
      </c>
      <c r="C67" s="82">
        <f t="shared" si="0"/>
        <v>598</v>
      </c>
      <c r="D67" s="82">
        <f t="shared" si="3"/>
        <v>6.4295544469292958</v>
      </c>
      <c r="E67" s="82">
        <f t="shared" si="4"/>
        <v>993.57044555307073</v>
      </c>
      <c r="F67" s="82">
        <f t="shared" si="1"/>
        <v>16260.131293334385</v>
      </c>
      <c r="G67" s="82">
        <f>SUM(F67:$F$119)</f>
        <v>272707.89245908282</v>
      </c>
      <c r="H67" s="82">
        <f>SUM($G67:G$119)</f>
        <v>3271473.0397121501</v>
      </c>
      <c r="I67" s="82">
        <f t="shared" si="2"/>
        <v>101.50038782981765</v>
      </c>
      <c r="J67" s="82">
        <f>SUM($I67:I$119)*(1+$B$2)^0.5</f>
        <v>8441.0188082289169</v>
      </c>
      <c r="K67" s="82">
        <f>SUM($J67:J$119)</f>
        <v>180063.93788860037</v>
      </c>
      <c r="L67" s="88"/>
    </row>
    <row r="68" spans="1:12" x14ac:dyDescent="0.15">
      <c r="A68">
        <v>60</v>
      </c>
      <c r="B68" s="87">
        <v>92410</v>
      </c>
      <c r="C68" s="82">
        <f t="shared" si="0"/>
        <v>664</v>
      </c>
      <c r="D68" s="82">
        <f t="shared" si="3"/>
        <v>7.1853695487501348</v>
      </c>
      <c r="E68" s="82">
        <f t="shared" si="4"/>
        <v>992.81463045124985</v>
      </c>
      <c r="F68" s="82">
        <f t="shared" si="1"/>
        <v>15685.034848417159</v>
      </c>
      <c r="G68" s="82">
        <f>SUM(F68:$F$119)</f>
        <v>256447.7611657485</v>
      </c>
      <c r="H68" s="82">
        <f>SUM($G68:G$119)</f>
        <v>2998765.1472530668</v>
      </c>
      <c r="I68" s="82">
        <f t="shared" si="2"/>
        <v>109.42016676786524</v>
      </c>
      <c r="J68" s="82">
        <f>SUM($I68:I$119)*(1+$B$2)^0.5</f>
        <v>8338.0071652389524</v>
      </c>
      <c r="K68" s="82">
        <f>SUM($J68:J$119)</f>
        <v>171622.91908037142</v>
      </c>
      <c r="L68" s="88"/>
    </row>
    <row r="69" spans="1:12" x14ac:dyDescent="0.15">
      <c r="A69">
        <v>61</v>
      </c>
      <c r="B69" s="87">
        <v>91746</v>
      </c>
      <c r="C69" s="82">
        <f t="shared" si="0"/>
        <v>736</v>
      </c>
      <c r="D69" s="82">
        <f t="shared" si="3"/>
        <v>8.0221481045495171</v>
      </c>
      <c r="E69" s="82">
        <f t="shared" si="4"/>
        <v>991.9778518954505</v>
      </c>
      <c r="F69" s="82">
        <f t="shared" si="1"/>
        <v>15118.76900645268</v>
      </c>
      <c r="G69" s="82">
        <f>SUM(F69:$F$119)</f>
        <v>240762.72631733134</v>
      </c>
      <c r="H69" s="82">
        <f>SUM($G69:G$119)</f>
        <v>2742317.386087318</v>
      </c>
      <c r="I69" s="82">
        <f t="shared" si="2"/>
        <v>117.7524311924623</v>
      </c>
      <c r="J69" s="82">
        <f>SUM($I69:I$119)*(1+$B$2)^0.5</f>
        <v>8226.9578244828153</v>
      </c>
      <c r="K69" s="82">
        <f>SUM($J69:J$119)</f>
        <v>163284.91191513246</v>
      </c>
      <c r="L69" s="88"/>
    </row>
    <row r="70" spans="1:12" x14ac:dyDescent="0.15">
      <c r="A70">
        <v>62</v>
      </c>
      <c r="B70" s="87">
        <v>91010</v>
      </c>
      <c r="C70" s="82">
        <f t="shared" si="0"/>
        <v>821</v>
      </c>
      <c r="D70" s="82">
        <f t="shared" si="3"/>
        <v>9.0209867047577195</v>
      </c>
      <c r="E70" s="82">
        <f t="shared" si="4"/>
        <v>990.97901329524234</v>
      </c>
      <c r="F70" s="82">
        <f t="shared" si="1"/>
        <v>14560.664079926644</v>
      </c>
      <c r="G70" s="82">
        <f>SUM(F70:$F$119)</f>
        <v>225643.95731087867</v>
      </c>
      <c r="H70" s="82">
        <f>SUM($G70:G$119)</f>
        <v>2501554.6597699872</v>
      </c>
      <c r="I70" s="82">
        <f t="shared" si="2"/>
        <v>127.52578357035084</v>
      </c>
      <c r="J70" s="82">
        <f>SUM($I70:I$119)*(1+$B$2)^0.5</f>
        <v>8107.4521589129872</v>
      </c>
      <c r="K70" s="82">
        <f>SUM($J70:J$119)</f>
        <v>155057.95409064967</v>
      </c>
      <c r="L70" s="88"/>
    </row>
    <row r="71" spans="1:12" x14ac:dyDescent="0.15">
      <c r="A71">
        <v>63</v>
      </c>
      <c r="B71" s="87">
        <v>90189</v>
      </c>
      <c r="C71" s="82">
        <f t="shared" si="0"/>
        <v>876</v>
      </c>
      <c r="D71" s="82">
        <f t="shared" si="3"/>
        <v>9.7129361673818302</v>
      </c>
      <c r="E71" s="82">
        <f t="shared" si="4"/>
        <v>990.28706383261817</v>
      </c>
      <c r="F71" s="82">
        <f t="shared" si="1"/>
        <v>14009.041284319594</v>
      </c>
      <c r="G71" s="82">
        <f>SUM(F71:$F$119)</f>
        <v>211083.29323095203</v>
      </c>
      <c r="H71" s="82">
        <f>SUM($G71:G$119)</f>
        <v>2275910.7024591086</v>
      </c>
      <c r="I71" s="82">
        <f t="shared" si="2"/>
        <v>132.10575122409008</v>
      </c>
      <c r="J71" s="82">
        <f>SUM($I71:I$119)*(1+$B$2)^0.5</f>
        <v>7978.0276239920959</v>
      </c>
      <c r="K71" s="82">
        <f>SUM($J71:J$119)</f>
        <v>146950.50193173668</v>
      </c>
      <c r="L71" s="88"/>
    </row>
    <row r="72" spans="1:12" x14ac:dyDescent="0.15">
      <c r="A72">
        <v>64</v>
      </c>
      <c r="B72" s="87">
        <v>89313</v>
      </c>
      <c r="C72" s="82">
        <f t="shared" ref="C72:C117" si="5">B72-B73</f>
        <v>967</v>
      </c>
      <c r="D72" s="82">
        <f t="shared" si="3"/>
        <v>10.827091240916777</v>
      </c>
      <c r="E72" s="82">
        <f t="shared" si="4"/>
        <v>989.17290875908327</v>
      </c>
      <c r="F72" s="82">
        <f t="shared" ref="F72:F117" si="6">B72/(1+$B$2)^A72</f>
        <v>13468.905204426002</v>
      </c>
      <c r="G72" s="82">
        <f>SUM(F72:$F$119)</f>
        <v>197074.25194663243</v>
      </c>
      <c r="H72" s="82">
        <f>SUM($G72:G$119)</f>
        <v>2064827.4092281566</v>
      </c>
      <c r="I72" s="82">
        <f t="shared" ref="I72:I117" si="7">C72*$B$4^(A72+1)</f>
        <v>141.58161705201837</v>
      </c>
      <c r="J72" s="82">
        <f>SUM($I72:I$119)*(1+$B$2)^0.5</f>
        <v>7843.9549295622619</v>
      </c>
      <c r="K72" s="82">
        <f>SUM($J72:J$119)</f>
        <v>138972.47430774459</v>
      </c>
      <c r="L72" s="88"/>
    </row>
    <row r="73" spans="1:12" x14ac:dyDescent="0.15">
      <c r="A73">
        <v>65</v>
      </c>
      <c r="B73" s="87">
        <v>88346</v>
      </c>
      <c r="C73" s="82">
        <f t="shared" si="5"/>
        <v>1010</v>
      </c>
      <c r="D73" s="82">
        <f t="shared" ref="D73:D117" si="8">C73/B73*1000</f>
        <v>11.432322912186176</v>
      </c>
      <c r="E73" s="82">
        <f t="shared" ref="E73:E117" si="9">B74/B73*1000</f>
        <v>988.56767708781376</v>
      </c>
      <c r="F73" s="82">
        <f t="shared" si="6"/>
        <v>12935.025377536333</v>
      </c>
      <c r="G73" s="82">
        <f>SUM(F73:$F$119)</f>
        <v>183605.34674220646</v>
      </c>
      <c r="H73" s="82">
        <f>SUM($G73:G$119)</f>
        <v>1867753.1572815243</v>
      </c>
      <c r="I73" s="82">
        <f t="shared" si="7"/>
        <v>143.57027863428937</v>
      </c>
      <c r="J73" s="82">
        <f>SUM($I73:I$119)*(1+$B$2)^0.5</f>
        <v>7700.2652816551272</v>
      </c>
      <c r="K73" s="82">
        <f>SUM($J73:J$119)</f>
        <v>131128.51937818233</v>
      </c>
      <c r="L73" s="88"/>
    </row>
    <row r="74" spans="1:12" x14ac:dyDescent="0.15">
      <c r="A74">
        <v>66</v>
      </c>
      <c r="B74" s="87">
        <v>87336</v>
      </c>
      <c r="C74" s="82">
        <f t="shared" si="5"/>
        <v>1092</v>
      </c>
      <c r="D74" s="82">
        <f t="shared" si="8"/>
        <v>12.503435009618027</v>
      </c>
      <c r="E74" s="82">
        <f t="shared" si="9"/>
        <v>987.49656499038201</v>
      </c>
      <c r="F74" s="82">
        <f t="shared" si="6"/>
        <v>12414.706786934967</v>
      </c>
      <c r="G74" s="82">
        <f>SUM(F74:$F$119)</f>
        <v>170670.32136467009</v>
      </c>
      <c r="H74" s="82">
        <f>SUM($G74:G$119)</f>
        <v>1684147.8105393176</v>
      </c>
      <c r="I74" s="82">
        <f t="shared" si="7"/>
        <v>150.70531987757761</v>
      </c>
      <c r="J74" s="82">
        <f>SUM($I74:I$119)*(1+$B$2)^0.5</f>
        <v>7554.5573626721798</v>
      </c>
      <c r="K74" s="82">
        <f>SUM($J74:J$119)</f>
        <v>123428.25409652722</v>
      </c>
      <c r="L74" s="88"/>
    </row>
    <row r="75" spans="1:12" x14ac:dyDescent="0.15">
      <c r="A75">
        <v>67</v>
      </c>
      <c r="B75" s="87">
        <v>86244</v>
      </c>
      <c r="C75" s="82">
        <f t="shared" si="5"/>
        <v>1199</v>
      </c>
      <c r="D75" s="82">
        <f t="shared" si="8"/>
        <v>13.902416399981448</v>
      </c>
      <c r="E75" s="82">
        <f t="shared" si="9"/>
        <v>986.09758360001854</v>
      </c>
      <c r="F75" s="82">
        <f t="shared" si="6"/>
        <v>11902.408065496176</v>
      </c>
      <c r="G75" s="82">
        <f>SUM(F75:$F$119)</f>
        <v>158255.61457773513</v>
      </c>
      <c r="H75" s="82">
        <f>SUM($G75:G$119)</f>
        <v>1513477.4891746473</v>
      </c>
      <c r="I75" s="82">
        <f t="shared" si="7"/>
        <v>160.65265348449049</v>
      </c>
      <c r="J75" s="82">
        <f>SUM($I75:I$119)*(1+$B$2)^0.5</f>
        <v>7401.608167700173</v>
      </c>
      <c r="K75" s="82">
        <f>SUM($J75:J$119)</f>
        <v>115873.69673385503</v>
      </c>
      <c r="L75" s="88"/>
    </row>
    <row r="76" spans="1:12" x14ac:dyDescent="0.15">
      <c r="A76">
        <v>68</v>
      </c>
      <c r="B76" s="87">
        <v>85045</v>
      </c>
      <c r="C76" s="82">
        <f t="shared" si="5"/>
        <v>1333</v>
      </c>
      <c r="D76" s="82">
        <f t="shared" si="8"/>
        <v>15.674054912105357</v>
      </c>
      <c r="E76" s="82">
        <f t="shared" si="9"/>
        <v>984.32594508789464</v>
      </c>
      <c r="F76" s="82">
        <f t="shared" si="6"/>
        <v>11395.083332434127</v>
      </c>
      <c r="G76" s="82">
        <f>SUM(F76:$F$119)</f>
        <v>146353.20651223895</v>
      </c>
      <c r="H76" s="82">
        <f>SUM($G76:G$119)</f>
        <v>1355221.8745969122</v>
      </c>
      <c r="I76" s="82">
        <f t="shared" si="7"/>
        <v>173.40501153455216</v>
      </c>
      <c r="J76" s="82">
        <f>SUM($I76:I$119)*(1+$B$2)^0.5</f>
        <v>7238.5635317143297</v>
      </c>
      <c r="K76" s="82">
        <f>SUM($J76:J$119)</f>
        <v>108472.08856615487</v>
      </c>
      <c r="L76" s="88"/>
    </row>
    <row r="77" spans="1:12" x14ac:dyDescent="0.15">
      <c r="A77">
        <v>69</v>
      </c>
      <c r="B77" s="87">
        <v>83712</v>
      </c>
      <c r="C77" s="82">
        <f t="shared" si="5"/>
        <v>1443</v>
      </c>
      <c r="D77" s="82">
        <f t="shared" si="8"/>
        <v>17.237672018348622</v>
      </c>
      <c r="E77" s="82">
        <f t="shared" si="9"/>
        <v>982.76232798165142</v>
      </c>
      <c r="F77" s="82">
        <f t="shared" si="6"/>
        <v>10889.782689857804</v>
      </c>
      <c r="G77" s="82">
        <f>SUM(F77:$F$119)</f>
        <v>134958.12317980485</v>
      </c>
      <c r="H77" s="82">
        <f>SUM($G77:G$119)</f>
        <v>1208868.6680846734</v>
      </c>
      <c r="I77" s="82">
        <f t="shared" si="7"/>
        <v>182.2470896687949</v>
      </c>
      <c r="J77" s="82">
        <f>SUM($I77:I$119)*(1+$B$2)^0.5</f>
        <v>7062.5766658235552</v>
      </c>
      <c r="K77" s="82">
        <f>SUM($J77:J$119)</f>
        <v>101233.52503444052</v>
      </c>
      <c r="L77" s="88"/>
    </row>
    <row r="78" spans="1:12" x14ac:dyDescent="0.15">
      <c r="A78">
        <v>70</v>
      </c>
      <c r="B78" s="87">
        <v>82269</v>
      </c>
      <c r="C78" s="82">
        <f t="shared" si="5"/>
        <v>1620</v>
      </c>
      <c r="D78" s="82">
        <f t="shared" si="8"/>
        <v>19.691499835904168</v>
      </c>
      <c r="E78" s="82">
        <f t="shared" si="9"/>
        <v>980.3085001640959</v>
      </c>
      <c r="F78" s="82">
        <f t="shared" si="6"/>
        <v>10390.357463591208</v>
      </c>
      <c r="G78" s="82">
        <f>SUM(F78:$F$119)</f>
        <v>124068.340489947</v>
      </c>
      <c r="H78" s="82">
        <f>SUM($G78:G$119)</f>
        <v>1073910.5449048684</v>
      </c>
      <c r="I78" s="82">
        <f t="shared" si="7"/>
        <v>198.64244882455495</v>
      </c>
      <c r="J78" s="82">
        <f>SUM($I78:I$119)*(1+$B$2)^0.5</f>
        <v>6877.6160707133322</v>
      </c>
      <c r="K78" s="82">
        <f>SUM($J78:J$119)</f>
        <v>94170.94836861697</v>
      </c>
      <c r="L78" s="88"/>
    </row>
    <row r="79" spans="1:12" x14ac:dyDescent="0.15">
      <c r="A79">
        <v>71</v>
      </c>
      <c r="B79" s="87">
        <v>80649</v>
      </c>
      <c r="C79" s="82">
        <f t="shared" si="5"/>
        <v>1734</v>
      </c>
      <c r="D79" s="82">
        <f t="shared" si="8"/>
        <v>21.500576572555147</v>
      </c>
      <c r="E79" s="82">
        <f t="shared" si="9"/>
        <v>978.49942342744487</v>
      </c>
      <c r="F79" s="82">
        <f t="shared" si="6"/>
        <v>9889.0832439824426</v>
      </c>
      <c r="G79" s="82">
        <f>SUM(F79:$F$119)</f>
        <v>113677.98302635577</v>
      </c>
      <c r="H79" s="82">
        <f>SUM($G79:G$119)</f>
        <v>949842.20441492088</v>
      </c>
      <c r="I79" s="82">
        <f t="shared" si="7"/>
        <v>206.42814710642349</v>
      </c>
      <c r="J79" s="82">
        <f>SUM($I79:I$119)*(1+$B$2)^0.5</f>
        <v>6676.0160033788534</v>
      </c>
      <c r="K79" s="82">
        <f>SUM($J79:J$119)</f>
        <v>87293.332297903631</v>
      </c>
      <c r="L79" s="88"/>
    </row>
    <row r="80" spans="1:12" x14ac:dyDescent="0.15">
      <c r="A80">
        <v>72</v>
      </c>
      <c r="B80" s="87">
        <v>78915</v>
      </c>
      <c r="C80" s="82">
        <f t="shared" si="5"/>
        <v>1835</v>
      </c>
      <c r="D80" s="82">
        <f t="shared" si="8"/>
        <v>23.252867008806945</v>
      </c>
      <c r="E80" s="82">
        <f t="shared" si="9"/>
        <v>976.7471329911931</v>
      </c>
      <c r="F80" s="82">
        <f t="shared" si="6"/>
        <v>9394.6235460804146</v>
      </c>
      <c r="G80" s="82">
        <f>SUM(F80:$F$119)</f>
        <v>103788.89978237334</v>
      </c>
      <c r="H80" s="82">
        <f>SUM($G80:G$119)</f>
        <v>836164.22138856514</v>
      </c>
      <c r="I80" s="82">
        <f t="shared" si="7"/>
        <v>212.08925428622697</v>
      </c>
      <c r="J80" s="82">
        <f>SUM($I80:I$119)*(1+$B$2)^0.5</f>
        <v>6466.5143152822538</v>
      </c>
      <c r="K80" s="82">
        <f>SUM($J80:J$119)</f>
        <v>80617.316294524775</v>
      </c>
      <c r="L80" s="88"/>
    </row>
    <row r="81" spans="1:12" x14ac:dyDescent="0.15">
      <c r="A81">
        <v>73</v>
      </c>
      <c r="B81" s="87">
        <v>77080</v>
      </c>
      <c r="C81" s="82">
        <f t="shared" si="5"/>
        <v>1955</v>
      </c>
      <c r="D81" s="82">
        <f t="shared" si="8"/>
        <v>25.363258951738455</v>
      </c>
      <c r="E81" s="82">
        <f t="shared" si="9"/>
        <v>974.63674104826157</v>
      </c>
      <c r="F81" s="82">
        <f t="shared" si="6"/>
        <v>8908.9044797724273</v>
      </c>
      <c r="G81" s="82">
        <f>SUM(F81:$F$119)</f>
        <v>94394.276236292935</v>
      </c>
      <c r="H81" s="82">
        <f>SUM($G81:G$119)</f>
        <v>732375.32160619181</v>
      </c>
      <c r="I81" s="82">
        <f t="shared" si="7"/>
        <v>219.37752553084508</v>
      </c>
      <c r="J81" s="82">
        <f>SUM($I81:I$119)*(1+$B$2)^0.5</f>
        <v>6251.267230895035</v>
      </c>
      <c r="K81" s="82">
        <f>SUM($J81:J$119)</f>
        <v>74150.801979242518</v>
      </c>
      <c r="L81" s="88"/>
    </row>
    <row r="82" spans="1:12" x14ac:dyDescent="0.15">
      <c r="A82">
        <v>74</v>
      </c>
      <c r="B82" s="87">
        <v>75125</v>
      </c>
      <c r="C82" s="82">
        <f t="shared" si="5"/>
        <v>2046</v>
      </c>
      <c r="D82" s="82">
        <f t="shared" si="8"/>
        <v>27.234608985024959</v>
      </c>
      <c r="E82" s="82">
        <f t="shared" si="9"/>
        <v>972.76539101497508</v>
      </c>
      <c r="F82" s="82">
        <f t="shared" si="6"/>
        <v>8430.0442994909299</v>
      </c>
      <c r="G82" s="82">
        <f>SUM(F82:$F$119)</f>
        <v>85485.371756520501</v>
      </c>
      <c r="H82" s="82">
        <f>SUM($G82:G$119)</f>
        <v>637981.0453698989</v>
      </c>
      <c r="I82" s="82">
        <f t="shared" si="7"/>
        <v>222.90190312919773</v>
      </c>
      <c r="J82" s="82">
        <f>SUM($I82:I$119)*(1+$B$2)^0.5</f>
        <v>6028.623359051955</v>
      </c>
      <c r="K82" s="82">
        <f>SUM($J82:J$119)</f>
        <v>67899.534748347491</v>
      </c>
      <c r="L82" s="88"/>
    </row>
    <row r="83" spans="1:12" x14ac:dyDescent="0.15">
      <c r="A83">
        <v>75</v>
      </c>
      <c r="B83" s="87">
        <v>73079</v>
      </c>
      <c r="C83" s="82">
        <f t="shared" si="5"/>
        <v>2197</v>
      </c>
      <c r="D83" s="82">
        <f t="shared" si="8"/>
        <v>30.063356094089958</v>
      </c>
      <c r="E83" s="82">
        <f t="shared" si="9"/>
        <v>969.93664390591005</v>
      </c>
      <c r="F83" s="82">
        <f t="shared" si="6"/>
        <v>7961.6071255027719</v>
      </c>
      <c r="G83" s="82">
        <f>SUM(F83:$F$119)</f>
        <v>77055.327457029562</v>
      </c>
      <c r="H83" s="82">
        <f>SUM($G83:G$119)</f>
        <v>552495.67361337843</v>
      </c>
      <c r="I83" s="82">
        <f t="shared" si="7"/>
        <v>232.38119426721684</v>
      </c>
      <c r="J83" s="82">
        <f>SUM($I83:I$119)*(1+$B$2)^0.5</f>
        <v>5802.4026346008632</v>
      </c>
      <c r="K83" s="82">
        <f>SUM($J83:J$119)</f>
        <v>61870.911389295528</v>
      </c>
      <c r="L83" s="88"/>
    </row>
    <row r="84" spans="1:12" x14ac:dyDescent="0.15">
      <c r="A84">
        <v>76</v>
      </c>
      <c r="B84" s="87">
        <v>70882</v>
      </c>
      <c r="C84" s="82">
        <f t="shared" si="5"/>
        <v>2399</v>
      </c>
      <c r="D84" s="82">
        <f t="shared" si="8"/>
        <v>33.844981800739255</v>
      </c>
      <c r="E84" s="82">
        <f t="shared" si="9"/>
        <v>966.15501819926078</v>
      </c>
      <c r="F84" s="82">
        <f t="shared" si="6"/>
        <v>7497.3344615607175</v>
      </c>
      <c r="G84" s="82">
        <f>SUM(F84:$F$119)</f>
        <v>69093.720331526783</v>
      </c>
      <c r="H84" s="82">
        <f>SUM($G84:G$119)</f>
        <v>475440.346156349</v>
      </c>
      <c r="I84" s="82">
        <f t="shared" si="7"/>
        <v>246.35645476269636</v>
      </c>
      <c r="J84" s="82">
        <f>SUM($I84:I$119)*(1+$B$2)^0.5</f>
        <v>5566.5614803624021</v>
      </c>
      <c r="K84" s="82">
        <f>SUM($J84:J$119)</f>
        <v>56068.508754694667</v>
      </c>
      <c r="L84" s="88"/>
    </row>
    <row r="85" spans="1:12" x14ac:dyDescent="0.15">
      <c r="A85">
        <v>77</v>
      </c>
      <c r="B85" s="87">
        <v>68483</v>
      </c>
      <c r="C85" s="82">
        <f t="shared" si="5"/>
        <v>2648</v>
      </c>
      <c r="D85" s="82">
        <f t="shared" si="8"/>
        <v>38.666530379802282</v>
      </c>
      <c r="E85" s="82">
        <f t="shared" si="9"/>
        <v>961.33346962019777</v>
      </c>
      <c r="F85" s="82">
        <f t="shared" si="6"/>
        <v>7032.6090418981948</v>
      </c>
      <c r="G85" s="82">
        <f>SUM(F85:$F$119)</f>
        <v>61596.385869966063</v>
      </c>
      <c r="H85" s="82">
        <f>SUM($G85:G$119)</f>
        <v>406346.62582482217</v>
      </c>
      <c r="I85" s="82">
        <f t="shared" si="7"/>
        <v>264.00639919206623</v>
      </c>
      <c r="J85" s="82">
        <f>SUM($I85:I$119)*(1+$B$2)^0.5</f>
        <v>5316.5369857876867</v>
      </c>
      <c r="K85" s="82">
        <f>SUM($J85:J$119)</f>
        <v>50501.947274332262</v>
      </c>
      <c r="L85" s="88"/>
    </row>
    <row r="86" spans="1:12" x14ac:dyDescent="0.15">
      <c r="A86">
        <v>78</v>
      </c>
      <c r="B86" s="87">
        <v>65835</v>
      </c>
      <c r="C86" s="82">
        <f t="shared" si="5"/>
        <v>2892</v>
      </c>
      <c r="D86" s="82">
        <f t="shared" si="8"/>
        <v>43.928001822738665</v>
      </c>
      <c r="E86" s="82">
        <f t="shared" si="9"/>
        <v>956.07199817726132</v>
      </c>
      <c r="F86" s="82">
        <f t="shared" si="6"/>
        <v>6563.7693696411307</v>
      </c>
      <c r="G86" s="82">
        <f>SUM(F86:$F$119)</f>
        <v>54563.776828067872</v>
      </c>
      <c r="H86" s="82">
        <f>SUM($G86:G$119)</f>
        <v>344750.23995485617</v>
      </c>
      <c r="I86" s="82">
        <f t="shared" si="7"/>
        <v>279.93521634333138</v>
      </c>
      <c r="J86" s="82">
        <f>SUM($I86:I$119)*(1+$B$2)^0.5</f>
        <v>5048.5997539986138</v>
      </c>
      <c r="K86" s="82">
        <f>SUM($J86:J$119)</f>
        <v>45185.410288544583</v>
      </c>
      <c r="L86" s="88"/>
    </row>
    <row r="87" spans="1:12" x14ac:dyDescent="0.15">
      <c r="A87">
        <v>79</v>
      </c>
      <c r="B87" s="87">
        <v>62943</v>
      </c>
      <c r="C87" s="82">
        <f t="shared" si="5"/>
        <v>3147</v>
      </c>
      <c r="D87" s="82">
        <f t="shared" si="8"/>
        <v>49.997616891473236</v>
      </c>
      <c r="E87" s="82">
        <f t="shared" si="9"/>
        <v>950.00238310852683</v>
      </c>
      <c r="F87" s="82">
        <f t="shared" si="6"/>
        <v>6092.6564046674748</v>
      </c>
      <c r="G87" s="82">
        <f>SUM(F87:$F$119)</f>
        <v>48000.007458426742</v>
      </c>
      <c r="H87" s="82">
        <f>SUM($G87:G$119)</f>
        <v>290186.46312678821</v>
      </c>
      <c r="I87" s="82">
        <f t="shared" si="7"/>
        <v>295.74592307955783</v>
      </c>
      <c r="J87" s="82">
        <f>SUM($I87:I$119)*(1+$B$2)^0.5</f>
        <v>4764.4965384067027</v>
      </c>
      <c r="K87" s="82">
        <f>SUM($J87:J$119)</f>
        <v>40136.81053454597</v>
      </c>
      <c r="L87" s="88"/>
    </row>
    <row r="88" spans="1:12" x14ac:dyDescent="0.15">
      <c r="A88">
        <v>80</v>
      </c>
      <c r="B88" s="87">
        <v>59796</v>
      </c>
      <c r="C88" s="82">
        <f t="shared" si="5"/>
        <v>3412</v>
      </c>
      <c r="D88" s="82">
        <f t="shared" si="8"/>
        <v>57.060672954712693</v>
      </c>
      <c r="E88" s="82">
        <f t="shared" si="9"/>
        <v>942.93932704528731</v>
      </c>
      <c r="F88" s="82">
        <f t="shared" si="6"/>
        <v>5619.4544698014861</v>
      </c>
      <c r="G88" s="82">
        <f>SUM(F88:$F$119)</f>
        <v>41907.351053759267</v>
      </c>
      <c r="H88" s="82">
        <f>SUM($G88:G$119)</f>
        <v>242186.45566836145</v>
      </c>
      <c r="I88" s="82">
        <f t="shared" si="7"/>
        <v>311.31053755848575</v>
      </c>
      <c r="J88" s="82">
        <f>SUM($I88:I$119)*(1+$B$2)^0.5</f>
        <v>4464.34720799145</v>
      </c>
      <c r="K88" s="82">
        <f>SUM($J88:J$119)</f>
        <v>35372.313996139266</v>
      </c>
      <c r="L88" s="88"/>
    </row>
    <row r="89" spans="1:12" x14ac:dyDescent="0.15">
      <c r="A89">
        <v>81</v>
      </c>
      <c r="B89" s="87">
        <v>56384</v>
      </c>
      <c r="C89" s="82">
        <f t="shared" si="5"/>
        <v>3621</v>
      </c>
      <c r="D89" s="82">
        <f t="shared" si="8"/>
        <v>64.220346197502835</v>
      </c>
      <c r="E89" s="82">
        <f t="shared" si="9"/>
        <v>935.77965380249714</v>
      </c>
      <c r="F89" s="82">
        <f t="shared" si="6"/>
        <v>5144.4705010837324</v>
      </c>
      <c r="G89" s="82">
        <f>SUM(F89:$F$119)</f>
        <v>36287.89658395778</v>
      </c>
      <c r="H89" s="82">
        <f>SUM($G89:G$119)</f>
        <v>200279.1046146022</v>
      </c>
      <c r="I89" s="82">
        <f t="shared" si="7"/>
        <v>320.75696755576456</v>
      </c>
      <c r="J89" s="82">
        <f>SUM($I89:I$119)*(1+$B$2)^0.5</f>
        <v>4148.4015191162853</v>
      </c>
      <c r="K89" s="82">
        <f>SUM($J89:J$119)</f>
        <v>30907.966788147824</v>
      </c>
      <c r="L89" s="88"/>
    </row>
    <row r="90" spans="1:12" x14ac:dyDescent="0.15">
      <c r="A90">
        <v>82</v>
      </c>
      <c r="B90" s="87">
        <v>52763</v>
      </c>
      <c r="C90" s="82">
        <f t="shared" si="5"/>
        <v>3748</v>
      </c>
      <c r="D90" s="82">
        <f t="shared" si="8"/>
        <v>71.034626537535772</v>
      </c>
      <c r="E90" s="82">
        <f t="shared" si="9"/>
        <v>928.96537346246419</v>
      </c>
      <c r="F90" s="82">
        <f t="shared" si="6"/>
        <v>4673.8745868944607</v>
      </c>
      <c r="G90" s="82">
        <f>SUM(F90:$F$119)</f>
        <v>31143.426082874055</v>
      </c>
      <c r="H90" s="82">
        <f>SUM($G90:G$119)</f>
        <v>163991.20803064443</v>
      </c>
      <c r="I90" s="82">
        <f t="shared" si="7"/>
        <v>322.33683083818119</v>
      </c>
      <c r="J90" s="82">
        <f>SUM($I90:I$119)*(1+$B$2)^0.5</f>
        <v>3822.8687508691596</v>
      </c>
      <c r="K90" s="82">
        <f>SUM($J90:J$119)</f>
        <v>26759.565269031536</v>
      </c>
      <c r="L90" s="88"/>
    </row>
    <row r="91" spans="1:12" x14ac:dyDescent="0.15">
      <c r="A91">
        <v>83</v>
      </c>
      <c r="B91" s="87">
        <v>49015</v>
      </c>
      <c r="C91" s="82">
        <f t="shared" si="5"/>
        <v>3919</v>
      </c>
      <c r="D91" s="82">
        <f t="shared" si="8"/>
        <v>79.955115780883403</v>
      </c>
      <c r="E91" s="82">
        <f t="shared" si="9"/>
        <v>920.04488421911651</v>
      </c>
      <c r="F91" s="82">
        <f t="shared" si="6"/>
        <v>4215.4054865350809</v>
      </c>
      <c r="G91" s="82">
        <f>SUM(F91:$F$119)</f>
        <v>26469.551495979595</v>
      </c>
      <c r="H91" s="82">
        <f>SUM($G91:G$119)</f>
        <v>132847.78194777036</v>
      </c>
      <c r="I91" s="82">
        <f t="shared" si="7"/>
        <v>327.22644052357555</v>
      </c>
      <c r="J91" s="82">
        <f>SUM($I91:I$119)*(1+$B$2)^0.5</f>
        <v>3495.7325965079422</v>
      </c>
      <c r="K91" s="82">
        <f>SUM($J91:J$119)</f>
        <v>22936.696518162378</v>
      </c>
      <c r="L91" s="88"/>
    </row>
    <row r="92" spans="1:12" x14ac:dyDescent="0.15">
      <c r="A92">
        <v>84</v>
      </c>
      <c r="B92" s="87">
        <v>45096</v>
      </c>
      <c r="C92" s="82">
        <f t="shared" si="5"/>
        <v>4023</v>
      </c>
      <c r="D92" s="82">
        <f t="shared" si="8"/>
        <v>89.209686003193198</v>
      </c>
      <c r="E92" s="82">
        <f t="shared" si="9"/>
        <v>910.79031399680673</v>
      </c>
      <c r="F92" s="82">
        <f t="shared" si="6"/>
        <v>3765.4002454328129</v>
      </c>
      <c r="G92" s="82">
        <f>SUM(F92:$F$119)</f>
        <v>22254.14600944451</v>
      </c>
      <c r="H92" s="82">
        <f>SUM($G92:G$119)</f>
        <v>106378.23045179076</v>
      </c>
      <c r="I92" s="82">
        <f t="shared" si="7"/>
        <v>326.12638210816226</v>
      </c>
      <c r="J92" s="82">
        <f>SUM($I92:I$119)*(1+$B$2)^0.5</f>
        <v>3163.6340302974554</v>
      </c>
      <c r="K92" s="82">
        <f>SUM($J92:J$119)</f>
        <v>19440.963921654435</v>
      </c>
      <c r="L92" s="88"/>
    </row>
    <row r="93" spans="1:12" x14ac:dyDescent="0.15">
      <c r="A93">
        <v>85</v>
      </c>
      <c r="B93" s="87">
        <v>41073</v>
      </c>
      <c r="C93" s="82">
        <f t="shared" si="5"/>
        <v>4155</v>
      </c>
      <c r="D93" s="82">
        <f t="shared" si="8"/>
        <v>101.16134687020671</v>
      </c>
      <c r="E93" s="82">
        <f t="shared" si="9"/>
        <v>898.83865312979333</v>
      </c>
      <c r="F93" s="82">
        <f t="shared" si="6"/>
        <v>3329.6020115159276</v>
      </c>
      <c r="G93" s="82">
        <f>SUM(F93:$F$119)</f>
        <v>18488.745764011695</v>
      </c>
      <c r="H93" s="82">
        <f>SUM($G93:G$119)</f>
        <v>84124.084442346269</v>
      </c>
      <c r="I93" s="82">
        <f t="shared" si="7"/>
        <v>327.01652818126217</v>
      </c>
      <c r="J93" s="82">
        <f>SUM($I93:I$119)*(1+$B$2)^0.5</f>
        <v>2832.6519014442993</v>
      </c>
      <c r="K93" s="82">
        <f>SUM($J93:J$119)</f>
        <v>16277.329891356972</v>
      </c>
      <c r="L93" s="88"/>
    </row>
    <row r="94" spans="1:12" x14ac:dyDescent="0.15">
      <c r="A94">
        <v>86</v>
      </c>
      <c r="B94" s="87">
        <v>36918</v>
      </c>
      <c r="C94" s="82">
        <f t="shared" si="5"/>
        <v>4242</v>
      </c>
      <c r="D94" s="82">
        <f t="shared" si="8"/>
        <v>114.9032992036405</v>
      </c>
      <c r="E94" s="82">
        <f t="shared" si="9"/>
        <v>885.09670079635953</v>
      </c>
      <c r="F94" s="82">
        <f t="shared" si="6"/>
        <v>2905.6067839701232</v>
      </c>
      <c r="G94" s="82">
        <f>SUM(F94:$F$119)</f>
        <v>15159.143752495769</v>
      </c>
      <c r="H94" s="82">
        <f>SUM($G94:G$119)</f>
        <v>65635.338678334549</v>
      </c>
      <c r="I94" s="82">
        <f t="shared" si="7"/>
        <v>324.13961715208347</v>
      </c>
      <c r="J94" s="82">
        <f>SUM($I94:I$119)*(1+$B$2)^0.5</f>
        <v>2500.7663729938436</v>
      </c>
      <c r="K94" s="82">
        <f>SUM($J94:J$119)</f>
        <v>13444.677989912672</v>
      </c>
      <c r="L94" s="88"/>
    </row>
    <row r="95" spans="1:12" x14ac:dyDescent="0.15">
      <c r="A95">
        <v>87</v>
      </c>
      <c r="B95" s="87">
        <v>32676</v>
      </c>
      <c r="C95" s="82">
        <f t="shared" si="5"/>
        <v>4203</v>
      </c>
      <c r="D95" s="82">
        <f t="shared" si="8"/>
        <v>128.62651487330152</v>
      </c>
      <c r="E95" s="82">
        <f t="shared" si="9"/>
        <v>871.3734851266986</v>
      </c>
      <c r="F95" s="82">
        <f t="shared" si="6"/>
        <v>2496.8378430130838</v>
      </c>
      <c r="G95" s="82">
        <f>SUM(F95:$F$119)</f>
        <v>12253.536968525645</v>
      </c>
      <c r="H95" s="82">
        <f>SUM($G95:G$119)</f>
        <v>50476.194925838798</v>
      </c>
      <c r="I95" s="82">
        <f t="shared" si="7"/>
        <v>311.80538830149885</v>
      </c>
      <c r="J95" s="82">
        <f>SUM($I95:I$119)*(1+$B$2)^0.5</f>
        <v>2171.8005903511435</v>
      </c>
      <c r="K95" s="82">
        <f>SUM($J95:J$119)</f>
        <v>10943.911616918829</v>
      </c>
      <c r="L95" s="88"/>
    </row>
    <row r="96" spans="1:12" x14ac:dyDescent="0.15">
      <c r="A96">
        <v>88</v>
      </c>
      <c r="B96" s="87">
        <v>28473</v>
      </c>
      <c r="C96" s="82">
        <f t="shared" si="5"/>
        <v>4042</v>
      </c>
      <c r="D96" s="82">
        <f t="shared" si="8"/>
        <v>141.95904892354162</v>
      </c>
      <c r="E96" s="82">
        <f t="shared" si="9"/>
        <v>858.04095107645844</v>
      </c>
      <c r="F96" s="82">
        <f t="shared" si="6"/>
        <v>2112.3090223908152</v>
      </c>
      <c r="G96" s="82">
        <f>SUM(F96:$F$119)</f>
        <v>9756.6991255125613</v>
      </c>
      <c r="H96" s="82">
        <f>SUM($G96:G$119)</f>
        <v>38222.657957313153</v>
      </c>
      <c r="I96" s="82">
        <f t="shared" si="7"/>
        <v>291.12755325360718</v>
      </c>
      <c r="J96" s="82">
        <f>SUM($I96:I$119)*(1+$B$2)^0.5</f>
        <v>1855.3526828228055</v>
      </c>
      <c r="K96" s="82">
        <f>SUM($J96:J$119)</f>
        <v>8772.1110265676834</v>
      </c>
      <c r="L96" s="88"/>
    </row>
    <row r="97" spans="1:12" x14ac:dyDescent="0.15">
      <c r="A97">
        <v>89</v>
      </c>
      <c r="B97" s="87">
        <v>24431</v>
      </c>
      <c r="C97" s="82">
        <f t="shared" si="5"/>
        <v>3894</v>
      </c>
      <c r="D97" s="82">
        <f t="shared" si="8"/>
        <v>159.38766321476814</v>
      </c>
      <c r="E97" s="82">
        <f t="shared" si="9"/>
        <v>840.61233678523183</v>
      </c>
      <c r="F97" s="82">
        <f t="shared" si="6"/>
        <v>1759.6579053782516</v>
      </c>
      <c r="G97" s="82">
        <f>SUM(F97:$F$119)</f>
        <v>7644.3901031217447</v>
      </c>
      <c r="H97" s="82">
        <f>SUM($G97:G$119)</f>
        <v>28465.958831800603</v>
      </c>
      <c r="I97" s="82">
        <f t="shared" si="7"/>
        <v>272.29879766566256</v>
      </c>
      <c r="J97" s="82">
        <f>SUM($I97:I$119)*(1+$B$2)^0.5</f>
        <v>1559.8904858646586</v>
      </c>
      <c r="K97" s="82">
        <f>SUM($J97:J$119)</f>
        <v>6916.7583437448793</v>
      </c>
      <c r="L97" s="88"/>
    </row>
    <row r="98" spans="1:12" x14ac:dyDescent="0.15">
      <c r="A98">
        <v>90</v>
      </c>
      <c r="B98" s="87">
        <v>20537</v>
      </c>
      <c r="C98" s="82">
        <f t="shared" si="5"/>
        <v>3639</v>
      </c>
      <c r="D98" s="82">
        <f t="shared" si="8"/>
        <v>177.19238447679797</v>
      </c>
      <c r="E98" s="82">
        <f t="shared" si="9"/>
        <v>822.807615523202</v>
      </c>
      <c r="F98" s="82">
        <f t="shared" si="6"/>
        <v>1436.1069357112799</v>
      </c>
      <c r="G98" s="82">
        <f>SUM(F98:$F$119)</f>
        <v>5884.7321977434922</v>
      </c>
      <c r="H98" s="82">
        <f>SUM($G98:G$119)</f>
        <v>20821.568728678856</v>
      </c>
      <c r="I98" s="82">
        <f t="shared" si="7"/>
        <v>247.05554592461044</v>
      </c>
      <c r="J98" s="82">
        <f>SUM($I98:I$119)*(1+$B$2)^0.5</f>
        <v>1283.5373887832789</v>
      </c>
      <c r="K98" s="82">
        <f>SUM($J98:J$119)</f>
        <v>5356.8678578802201</v>
      </c>
      <c r="L98" s="88"/>
    </row>
    <row r="99" spans="1:12" x14ac:dyDescent="0.15">
      <c r="A99">
        <v>91</v>
      </c>
      <c r="B99" s="87">
        <v>16898</v>
      </c>
      <c r="C99" s="82">
        <f t="shared" si="5"/>
        <v>3211</v>
      </c>
      <c r="D99" s="82">
        <f t="shared" si="8"/>
        <v>190.0224878683868</v>
      </c>
      <c r="E99" s="82">
        <f t="shared" si="9"/>
        <v>809.97751213161314</v>
      </c>
      <c r="F99" s="82">
        <f t="shared" si="6"/>
        <v>1147.2230324358552</v>
      </c>
      <c r="G99" s="82">
        <f>SUM(F99:$F$119)</f>
        <v>4448.625262032212</v>
      </c>
      <c r="H99" s="82">
        <f>SUM($G99:G$119)</f>
        <v>14936.836530935358</v>
      </c>
      <c r="I99" s="82">
        <f t="shared" si="7"/>
        <v>211.6487133625007</v>
      </c>
      <c r="J99" s="82">
        <f>SUM($I99:I$119)*(1+$B$2)^0.5</f>
        <v>1032.8033941689253</v>
      </c>
      <c r="K99" s="82">
        <f>SUM($J99:J$119)</f>
        <v>4073.3304690969449</v>
      </c>
      <c r="L99" s="88"/>
    </row>
    <row r="100" spans="1:12" x14ac:dyDescent="0.15">
      <c r="A100">
        <v>92</v>
      </c>
      <c r="B100" s="87">
        <v>13687</v>
      </c>
      <c r="C100" s="82">
        <f t="shared" si="5"/>
        <v>2715</v>
      </c>
      <c r="D100" s="82">
        <f t="shared" si="8"/>
        <v>198.36341053554469</v>
      </c>
      <c r="E100" s="82">
        <f t="shared" si="9"/>
        <v>801.63658946445537</v>
      </c>
      <c r="F100" s="82">
        <f t="shared" si="6"/>
        <v>902.16005599269795</v>
      </c>
      <c r="G100" s="82">
        <f>SUM(F100:$F$119)</f>
        <v>3301.4022295963587</v>
      </c>
      <c r="H100" s="82">
        <f>SUM($G100:G$119)</f>
        <v>10488.211268903146</v>
      </c>
      <c r="I100" s="82">
        <f t="shared" si="7"/>
        <v>173.7432481122807</v>
      </c>
      <c r="J100" s="82">
        <f>SUM($I100:I$119)*(1+$B$2)^0.5</f>
        <v>818.00340998819468</v>
      </c>
      <c r="K100" s="82">
        <f>SUM($J100:J$119)</f>
        <v>3040.5270749280194</v>
      </c>
      <c r="L100" s="88"/>
    </row>
    <row r="101" spans="1:12" x14ac:dyDescent="0.15">
      <c r="A101">
        <v>93</v>
      </c>
      <c r="B101" s="87">
        <v>10972</v>
      </c>
      <c r="C101" s="82">
        <f t="shared" si="5"/>
        <v>2363</v>
      </c>
      <c r="D101" s="82">
        <f t="shared" si="8"/>
        <v>215.36638716733503</v>
      </c>
      <c r="E101" s="82">
        <f t="shared" si="9"/>
        <v>784.63361283266499</v>
      </c>
      <c r="F101" s="82">
        <f t="shared" si="6"/>
        <v>702.14030139519275</v>
      </c>
      <c r="G101" s="82">
        <f>SUM(F101:$F$119)</f>
        <v>2399.2421736036608</v>
      </c>
      <c r="H101" s="82">
        <f>SUM($G101:G$119)</f>
        <v>7186.8090393067832</v>
      </c>
      <c r="I101" s="82">
        <f t="shared" si="7"/>
        <v>146.81302912239423</v>
      </c>
      <c r="J101" s="82">
        <f>SUM($I101:I$119)*(1+$B$2)^0.5</f>
        <v>641.6732714623497</v>
      </c>
      <c r="K101" s="82">
        <f>SUM($J101:J$119)</f>
        <v>2222.5236649398244</v>
      </c>
      <c r="L101" s="88"/>
    </row>
    <row r="102" spans="1:12" x14ac:dyDescent="0.15">
      <c r="A102">
        <v>94</v>
      </c>
      <c r="B102" s="87">
        <v>8609</v>
      </c>
      <c r="C102" s="82">
        <f t="shared" si="5"/>
        <v>2019</v>
      </c>
      <c r="D102" s="82">
        <f t="shared" si="8"/>
        <v>234.52201184806597</v>
      </c>
      <c r="E102" s="82">
        <f t="shared" si="9"/>
        <v>765.47798815193403</v>
      </c>
      <c r="F102" s="82">
        <f t="shared" si="6"/>
        <v>534.87658388264686</v>
      </c>
      <c r="G102" s="82">
        <f>SUM(F102:$F$119)</f>
        <v>1697.1018722084686</v>
      </c>
      <c r="H102" s="82">
        <f>SUM($G102:G$119)</f>
        <v>4787.5668657031229</v>
      </c>
      <c r="I102" s="82">
        <f t="shared" si="7"/>
        <v>121.78673062386299</v>
      </c>
      <c r="J102" s="82">
        <f>SUM($I102:I$119)*(1+$B$2)^0.5</f>
        <v>492.67432017175923</v>
      </c>
      <c r="K102" s="82">
        <f>SUM($J102:J$119)</f>
        <v>1580.8503934774733</v>
      </c>
      <c r="L102" s="88"/>
    </row>
    <row r="103" spans="1:12" x14ac:dyDescent="0.15">
      <c r="A103">
        <v>95</v>
      </c>
      <c r="B103" s="87">
        <v>6590</v>
      </c>
      <c r="C103" s="82">
        <f t="shared" si="5"/>
        <v>1807</v>
      </c>
      <c r="D103" s="82">
        <f t="shared" si="8"/>
        <v>274.20333839150231</v>
      </c>
      <c r="E103" s="82">
        <f t="shared" si="9"/>
        <v>725.79666160849774</v>
      </c>
      <c r="F103" s="82">
        <f t="shared" si="6"/>
        <v>397.51092363113372</v>
      </c>
      <c r="G103" s="82">
        <f>SUM(F103:$F$119)</f>
        <v>1162.2252883258218</v>
      </c>
      <c r="H103" s="82">
        <f>SUM($G103:G$119)</f>
        <v>3090.4649934946565</v>
      </c>
      <c r="I103" s="82">
        <f t="shared" si="7"/>
        <v>105.82409932693798</v>
      </c>
      <c r="J103" s="82">
        <f>SUM($I103:I$119)*(1+$B$2)^0.5</f>
        <v>369.07428785489111</v>
      </c>
      <c r="K103" s="82">
        <f>SUM($J103:J$119)</f>
        <v>1088.1760733057142</v>
      </c>
      <c r="L103" s="88"/>
    </row>
    <row r="104" spans="1:12" x14ac:dyDescent="0.15">
      <c r="A104">
        <v>96</v>
      </c>
      <c r="B104" s="87">
        <v>4783</v>
      </c>
      <c r="C104" s="82">
        <f t="shared" si="5"/>
        <v>1494</v>
      </c>
      <c r="D104" s="82">
        <f t="shared" si="8"/>
        <v>312.35626176040142</v>
      </c>
      <c r="E104" s="82">
        <f t="shared" si="9"/>
        <v>687.64373823959852</v>
      </c>
      <c r="F104" s="82">
        <f t="shared" si="6"/>
        <v>280.10883623726932</v>
      </c>
      <c r="G104" s="82">
        <f>SUM(F104:$F$119)</f>
        <v>764.71436469468802</v>
      </c>
      <c r="H104" s="82">
        <f>SUM($G104:G$119)</f>
        <v>1928.2397051688342</v>
      </c>
      <c r="I104" s="82">
        <f t="shared" si="7"/>
        <v>84.945387352553084</v>
      </c>
      <c r="J104" s="82">
        <f>SUM($I104:I$119)*(1+$B$2)^0.5</f>
        <v>261.67455695062688</v>
      </c>
      <c r="K104" s="82">
        <f>SUM($J104:J$119)</f>
        <v>719.1017854508234</v>
      </c>
      <c r="L104" s="88"/>
    </row>
    <row r="105" spans="1:12" x14ac:dyDescent="0.15">
      <c r="A105">
        <v>97</v>
      </c>
      <c r="B105" s="87">
        <v>3289</v>
      </c>
      <c r="C105" s="82">
        <f t="shared" si="5"/>
        <v>1101</v>
      </c>
      <c r="D105" s="82">
        <f t="shared" si="8"/>
        <v>334.75220431742167</v>
      </c>
      <c r="E105" s="82">
        <f t="shared" si="9"/>
        <v>665.24779568257827</v>
      </c>
      <c r="F105" s="82">
        <f t="shared" si="6"/>
        <v>187.00493909139746</v>
      </c>
      <c r="G105" s="82">
        <f>SUM(F105:$F$119)</f>
        <v>484.60552845741859</v>
      </c>
      <c r="H105" s="82">
        <f>SUM($G105:G$119)</f>
        <v>1163.5253404741463</v>
      </c>
      <c r="I105" s="82">
        <f t="shared" si="7"/>
        <v>60.777005416592552</v>
      </c>
      <c r="J105" s="82">
        <f>SUM($I105:I$119)*(1+$B$2)^0.5</f>
        <v>175.46440443104515</v>
      </c>
      <c r="K105" s="82">
        <f>SUM($J105:J$119)</f>
        <v>457.42722850019652</v>
      </c>
      <c r="L105" s="88"/>
    </row>
    <row r="106" spans="1:12" x14ac:dyDescent="0.15">
      <c r="A106">
        <v>98</v>
      </c>
      <c r="B106" s="87">
        <v>2188</v>
      </c>
      <c r="C106" s="82">
        <f t="shared" si="5"/>
        <v>769</v>
      </c>
      <c r="D106" s="82">
        <f t="shared" si="8"/>
        <v>351.46252285191952</v>
      </c>
      <c r="E106" s="82">
        <f t="shared" si="9"/>
        <v>648.53747714808037</v>
      </c>
      <c r="F106" s="82">
        <f t="shared" si="6"/>
        <v>120.78118787602622</v>
      </c>
      <c r="G106" s="82">
        <f>SUM(F106:$F$119)</f>
        <v>297.6005893660211</v>
      </c>
      <c r="H106" s="82">
        <f>SUM($G106:G$119)</f>
        <v>678.91981201672775</v>
      </c>
      <c r="I106" s="82">
        <f t="shared" si="7"/>
        <v>41.213651460155099</v>
      </c>
      <c r="J106" s="82">
        <f>SUM($I106:I$119)*(1+$B$2)^0.5</f>
        <v>113.78248066864313</v>
      </c>
      <c r="K106" s="82">
        <f>SUM($J106:J$119)</f>
        <v>281.96282406915134</v>
      </c>
      <c r="L106" s="88"/>
    </row>
    <row r="107" spans="1:12" x14ac:dyDescent="0.15">
      <c r="A107">
        <v>99</v>
      </c>
      <c r="B107" s="87">
        <v>1419</v>
      </c>
      <c r="C107" s="82">
        <f t="shared" si="5"/>
        <v>525</v>
      </c>
      <c r="D107" s="82">
        <f t="shared" si="8"/>
        <v>369.97885835095138</v>
      </c>
      <c r="E107" s="82">
        <f t="shared" si="9"/>
        <v>630.02114164904867</v>
      </c>
      <c r="F107" s="82">
        <f t="shared" si="6"/>
        <v>76.049637739870235</v>
      </c>
      <c r="G107" s="82">
        <f>SUM(F107:$F$119)</f>
        <v>176.81940148999493</v>
      </c>
      <c r="H107" s="82">
        <f>SUM($G107:G$119)</f>
        <v>381.31922265070671</v>
      </c>
      <c r="I107" s="82">
        <f t="shared" si="7"/>
        <v>27.317240921359758</v>
      </c>
      <c r="J107" s="82">
        <f>SUM($I107:I$119)*(1+$B$2)^0.5</f>
        <v>71.95519270158124</v>
      </c>
      <c r="K107" s="82">
        <f>SUM($J107:J$119)</f>
        <v>168.18034340050826</v>
      </c>
      <c r="L107" s="88"/>
    </row>
    <row r="108" spans="1:12" x14ac:dyDescent="0.15">
      <c r="A108">
        <v>100</v>
      </c>
      <c r="B108" s="87">
        <v>894</v>
      </c>
      <c r="C108" s="82">
        <f t="shared" si="5"/>
        <v>359</v>
      </c>
      <c r="D108" s="82">
        <f t="shared" si="8"/>
        <v>401.56599552572709</v>
      </c>
      <c r="E108" s="82">
        <f t="shared" si="9"/>
        <v>598.43400447427302</v>
      </c>
      <c r="F108" s="82">
        <f t="shared" si="6"/>
        <v>46.517358826087012</v>
      </c>
      <c r="G108" s="82">
        <f>SUM(F108:$F$119)</f>
        <v>100.76976375012468</v>
      </c>
      <c r="H108" s="82">
        <f>SUM($G108:G$119)</f>
        <v>204.49982116071175</v>
      </c>
      <c r="I108" s="82">
        <f t="shared" si="7"/>
        <v>18.135717967208787</v>
      </c>
      <c r="J108" s="82">
        <f>SUM($I108:I$119)*(1+$B$2)^0.5</f>
        <v>44.231221104743248</v>
      </c>
      <c r="K108" s="82">
        <f>SUM($J108:J$119)</f>
        <v>96.225150698926996</v>
      </c>
      <c r="L108" s="88"/>
    </row>
    <row r="109" spans="1:12" x14ac:dyDescent="0.15">
      <c r="A109">
        <v>101</v>
      </c>
      <c r="B109" s="87">
        <v>535</v>
      </c>
      <c r="C109" s="82">
        <f t="shared" si="5"/>
        <v>242</v>
      </c>
      <c r="D109" s="82">
        <f t="shared" si="8"/>
        <v>452.3364485981308</v>
      </c>
      <c r="E109" s="82">
        <f t="shared" si="9"/>
        <v>547.6635514018692</v>
      </c>
      <c r="F109" s="82">
        <f t="shared" si="6"/>
        <v>27.026766329963028</v>
      </c>
      <c r="G109" s="82">
        <f>SUM(F109:$F$119)</f>
        <v>54.252404924037648</v>
      </c>
      <c r="H109" s="82">
        <f>SUM($G109:G$119)</f>
        <v>103.73005741058704</v>
      </c>
      <c r="I109" s="82">
        <f t="shared" si="7"/>
        <v>11.869117959987362</v>
      </c>
      <c r="J109" s="82">
        <f>SUM($I109:I$119)*(1+$B$2)^0.5</f>
        <v>25.825477594313579</v>
      </c>
      <c r="K109" s="82">
        <f>SUM($J109:J$119)</f>
        <v>51.993929594183768</v>
      </c>
      <c r="L109" s="88"/>
    </row>
    <row r="110" spans="1:12" x14ac:dyDescent="0.15">
      <c r="A110">
        <v>102</v>
      </c>
      <c r="B110" s="87">
        <v>293</v>
      </c>
      <c r="C110" s="82">
        <f t="shared" si="5"/>
        <v>142</v>
      </c>
      <c r="D110" s="82">
        <f t="shared" si="8"/>
        <v>484.64163822525597</v>
      </c>
      <c r="E110" s="82">
        <f t="shared" si="9"/>
        <v>515.35836177474403</v>
      </c>
      <c r="F110" s="82">
        <f t="shared" si="6"/>
        <v>14.370461001141761</v>
      </c>
      <c r="G110" s="82">
        <f>SUM(F110:$F$119)</f>
        <v>27.225638594074621</v>
      </c>
      <c r="H110" s="82">
        <f>SUM($G110:G$119)</f>
        <v>49.47765248654941</v>
      </c>
      <c r="I110" s="82">
        <f t="shared" si="7"/>
        <v>6.7616735549956095</v>
      </c>
      <c r="J110" s="82">
        <f>SUM($I110:I$119)*(1+$B$2)^0.5</f>
        <v>13.779638479393553</v>
      </c>
      <c r="K110" s="82">
        <f>SUM($J110:J$119)</f>
        <v>26.168451999870179</v>
      </c>
      <c r="L110" s="88"/>
    </row>
    <row r="111" spans="1:12" x14ac:dyDescent="0.15">
      <c r="A111">
        <v>103</v>
      </c>
      <c r="B111" s="87">
        <v>151</v>
      </c>
      <c r="C111" s="82">
        <f t="shared" si="5"/>
        <v>79</v>
      </c>
      <c r="D111" s="82">
        <f t="shared" si="8"/>
        <v>523.17880794701989</v>
      </c>
      <c r="E111" s="82">
        <f t="shared" si="9"/>
        <v>476.82119205298011</v>
      </c>
      <c r="F111" s="82">
        <f t="shared" si="6"/>
        <v>7.1902303296080241</v>
      </c>
      <c r="G111" s="82">
        <f>SUM(F111:$F$119)</f>
        <v>12.855177592932863</v>
      </c>
      <c r="H111" s="82">
        <f>SUM($G111:G$119)</f>
        <v>22.252013892474778</v>
      </c>
      <c r="I111" s="82">
        <f t="shared" si="7"/>
        <v>3.6522098375813825</v>
      </c>
      <c r="J111" s="82">
        <f>SUM($I111:I$119)*(1+$B$2)^0.5</f>
        <v>6.917289308573344</v>
      </c>
      <c r="K111" s="82">
        <f>SUM($J111:J$119)</f>
        <v>12.388813520476631</v>
      </c>
      <c r="L111" s="88"/>
    </row>
    <row r="112" spans="1:12" x14ac:dyDescent="0.15">
      <c r="A112">
        <v>104</v>
      </c>
      <c r="B112" s="87">
        <v>72</v>
      </c>
      <c r="C112" s="82">
        <f t="shared" si="5"/>
        <v>40</v>
      </c>
      <c r="D112" s="82">
        <f t="shared" si="8"/>
        <v>555.55555555555554</v>
      </c>
      <c r="E112" s="82">
        <f t="shared" si="9"/>
        <v>444.4444444444444</v>
      </c>
      <c r="F112" s="82">
        <f t="shared" si="6"/>
        <v>3.3285963076691174</v>
      </c>
      <c r="G112" s="82">
        <f>SUM(F112:$F$119)</f>
        <v>5.664947263324839</v>
      </c>
      <c r="H112" s="82">
        <f>SUM($G112:G$119)</f>
        <v>9.3968362995419152</v>
      </c>
      <c r="I112" s="82">
        <f t="shared" si="7"/>
        <v>1.7953593892497888</v>
      </c>
      <c r="J112" s="82">
        <f>SUM($I112:I$119)*(1+$B$2)^0.5</f>
        <v>3.2107011471156923</v>
      </c>
      <c r="K112" s="82">
        <f>SUM($J112:J$119)</f>
        <v>5.4715242119032856</v>
      </c>
      <c r="L112" s="88"/>
    </row>
    <row r="113" spans="1:12" x14ac:dyDescent="0.15">
      <c r="A113">
        <v>105</v>
      </c>
      <c r="B113" s="87">
        <v>32</v>
      </c>
      <c r="C113" s="82">
        <f t="shared" si="5"/>
        <v>19</v>
      </c>
      <c r="D113" s="82">
        <f t="shared" si="8"/>
        <v>593.75</v>
      </c>
      <c r="E113" s="82">
        <f t="shared" si="9"/>
        <v>406.25</v>
      </c>
      <c r="F113" s="82">
        <f t="shared" si="6"/>
        <v>1.4362875113998348</v>
      </c>
      <c r="G113" s="82">
        <f>SUM(F113:$F$119)</f>
        <v>2.3363509556557212</v>
      </c>
      <c r="H113" s="82">
        <f>SUM($G113:G$119)</f>
        <v>3.7318890362170771</v>
      </c>
      <c r="I113" s="82">
        <f t="shared" si="7"/>
        <v>0.82795699989674709</v>
      </c>
      <c r="J113" s="82">
        <f>SUM($I113:I$119)*(1+$B$2)^0.5</f>
        <v>1.3886103709290629</v>
      </c>
      <c r="K113" s="82">
        <f>SUM($J113:J$119)</f>
        <v>2.2608230647875933</v>
      </c>
      <c r="L113" s="88"/>
    </row>
    <row r="114" spans="1:12" x14ac:dyDescent="0.15">
      <c r="A114">
        <v>106</v>
      </c>
      <c r="B114" s="87">
        <v>13</v>
      </c>
      <c r="C114" s="82">
        <f t="shared" si="5"/>
        <v>8</v>
      </c>
      <c r="D114" s="82">
        <f t="shared" si="8"/>
        <v>615.38461538461547</v>
      </c>
      <c r="E114" s="82">
        <f t="shared" si="9"/>
        <v>384.61538461538464</v>
      </c>
      <c r="F114" s="82">
        <f t="shared" si="6"/>
        <v>0.5664968946661969</v>
      </c>
      <c r="G114" s="82">
        <f>SUM(F114:$F$119)</f>
        <v>0.90006344425588647</v>
      </c>
      <c r="H114" s="82">
        <f>SUM($G114:G$119)</f>
        <v>1.3955380805613558</v>
      </c>
      <c r="I114" s="82">
        <f t="shared" si="7"/>
        <v>0.33845968314634528</v>
      </c>
      <c r="J114" s="82">
        <f>SUM($I114:I$119)*(1+$B$2)^0.5</f>
        <v>0.5483257896779471</v>
      </c>
      <c r="K114" s="82">
        <f>SUM($J114:J$119)</f>
        <v>0.87221269385853029</v>
      </c>
      <c r="L114" s="88"/>
    </row>
    <row r="115" spans="1:12" x14ac:dyDescent="0.15">
      <c r="A115">
        <v>107</v>
      </c>
      <c r="B115" s="87">
        <v>5</v>
      </c>
      <c r="C115" s="82">
        <f t="shared" si="5"/>
        <v>3</v>
      </c>
      <c r="D115" s="82">
        <f t="shared" si="8"/>
        <v>600</v>
      </c>
      <c r="E115" s="82">
        <f t="shared" si="9"/>
        <v>400</v>
      </c>
      <c r="F115" s="82">
        <f t="shared" si="6"/>
        <v>0.21153730196646636</v>
      </c>
      <c r="G115" s="82">
        <f>SUM(F115:$F$119)</f>
        <v>0.33356654958968951</v>
      </c>
      <c r="H115" s="82">
        <f>SUM($G115:G$119)</f>
        <v>0.49547463630546923</v>
      </c>
      <c r="I115" s="82">
        <f t="shared" si="7"/>
        <v>0.12322561279599953</v>
      </c>
      <c r="J115" s="82">
        <f>SUM($I115:I$119)*(1+$B$2)^0.5</f>
        <v>0.20482672733717425</v>
      </c>
      <c r="K115" s="82">
        <f>SUM($J115:J$119)</f>
        <v>0.32388690418058319</v>
      </c>
      <c r="L115" s="88"/>
    </row>
    <row r="116" spans="1:12" x14ac:dyDescent="0.15">
      <c r="A116">
        <v>108</v>
      </c>
      <c r="B116" s="87">
        <v>2</v>
      </c>
      <c r="C116" s="82">
        <f t="shared" si="5"/>
        <v>1</v>
      </c>
      <c r="D116" s="82">
        <f t="shared" si="8"/>
        <v>500</v>
      </c>
      <c r="E116" s="82">
        <f t="shared" si="9"/>
        <v>500</v>
      </c>
      <c r="F116" s="82">
        <f t="shared" si="6"/>
        <v>8.2150408530666574E-2</v>
      </c>
      <c r="G116" s="82">
        <f>SUM(F116:$F$119)</f>
        <v>0.12202924762322316</v>
      </c>
      <c r="H116" s="82">
        <f>SUM($G116:G$119)</f>
        <v>0.16190808671577975</v>
      </c>
      <c r="I116" s="82">
        <f t="shared" si="7"/>
        <v>3.9878839092556476E-2</v>
      </c>
      <c r="J116" s="82">
        <f>SUM($I116:I$119)*(1+$B$2)^0.5</f>
        <v>7.9766389106310287E-2</v>
      </c>
      <c r="K116" s="82">
        <f>SUM($J116:J$119)</f>
        <v>0.11906017684340896</v>
      </c>
      <c r="L116" s="88"/>
    </row>
    <row r="117" spans="1:12" x14ac:dyDescent="0.15">
      <c r="A117">
        <v>109</v>
      </c>
      <c r="B117" s="87">
        <v>1</v>
      </c>
      <c r="C117" s="82">
        <f t="shared" si="5"/>
        <v>1</v>
      </c>
      <c r="D117" s="82">
        <f t="shared" si="8"/>
        <v>1000</v>
      </c>
      <c r="E117" s="82">
        <f t="shared" si="9"/>
        <v>0</v>
      </c>
      <c r="F117" s="82">
        <f t="shared" si="6"/>
        <v>3.9878839092556587E-2</v>
      </c>
      <c r="G117" s="82">
        <f>SUM(F117:$F$119)</f>
        <v>3.9878839092556587E-2</v>
      </c>
      <c r="H117" s="82">
        <f>SUM($G117:G$119)</f>
        <v>3.9878839092556587E-2</v>
      </c>
      <c r="I117" s="82">
        <f t="shared" si="7"/>
        <v>3.8717319507336388E-2</v>
      </c>
      <c r="J117" s="82">
        <f>SUM($I117:I$119)*(1+$B$2)^0.5</f>
        <v>3.929378773709867E-2</v>
      </c>
      <c r="K117" s="82">
        <f>SUM($J117:J$119)</f>
        <v>3.929378773709867E-2</v>
      </c>
      <c r="L117" s="88"/>
    </row>
    <row r="118" spans="1:12" x14ac:dyDescent="0.15">
      <c r="A118">
        <v>110</v>
      </c>
      <c r="B118" s="89"/>
      <c r="C118" s="82"/>
      <c r="D118" s="82"/>
      <c r="E118" s="82"/>
      <c r="F118" s="82"/>
      <c r="G118" s="82"/>
      <c r="H118" s="82"/>
      <c r="I118" s="82"/>
      <c r="J118" s="82"/>
      <c r="K118" s="82"/>
      <c r="L118" s="88"/>
    </row>
    <row r="119" spans="1:12" x14ac:dyDescent="0.15">
      <c r="A119">
        <v>111</v>
      </c>
      <c r="B119" s="89"/>
      <c r="C119" s="82"/>
      <c r="D119" s="82"/>
      <c r="E119" s="82"/>
      <c r="F119" s="82"/>
      <c r="G119" s="82"/>
      <c r="H119" s="82"/>
      <c r="I119" s="82"/>
      <c r="J119" s="82"/>
      <c r="K119" s="82"/>
      <c r="L119" s="88"/>
    </row>
    <row r="120" spans="1:12" x14ac:dyDescent="0.15">
      <c r="H120" s="9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tabSelected="1" zoomScale="31" zoomScaleNormal="70" workbookViewId="0">
      <selection activeCell="L120" sqref="L120"/>
    </sheetView>
  </sheetViews>
  <sheetFormatPr baseColWidth="10" defaultColWidth="12.6640625" defaultRowHeight="15" customHeight="1" x14ac:dyDescent="0.15"/>
  <cols>
    <col min="1" max="1" width="34.6640625" customWidth="1"/>
    <col min="2" max="2" width="28.6640625" customWidth="1"/>
    <col min="3" max="5" width="10.33203125" customWidth="1"/>
    <col min="6" max="6" width="16" customWidth="1"/>
    <col min="7" max="7" width="10.6640625" customWidth="1"/>
    <col min="8" max="8" width="11.6640625" customWidth="1"/>
    <col min="9" max="10" width="8" customWidth="1"/>
    <col min="11" max="11" width="39.6640625" customWidth="1"/>
    <col min="12" max="12" width="32.33203125" customWidth="1"/>
    <col min="13" max="13" width="33" customWidth="1"/>
    <col min="14" max="14" width="13.1640625" customWidth="1"/>
    <col min="15" max="15" width="19.33203125" customWidth="1"/>
    <col min="16" max="16" width="50.6640625" customWidth="1"/>
    <col min="17" max="17" width="29.1640625" customWidth="1"/>
    <col min="18" max="18" width="30.1640625" customWidth="1"/>
    <col min="19" max="19" width="41.33203125" customWidth="1"/>
    <col min="20" max="20" width="46.6640625" customWidth="1"/>
    <col min="21" max="21" width="15.6640625" customWidth="1"/>
    <col min="22" max="22" width="29" customWidth="1"/>
    <col min="23" max="23" width="25" customWidth="1"/>
    <col min="24" max="24" width="14.6640625" customWidth="1"/>
    <col min="25" max="25" width="16.5" customWidth="1"/>
    <col min="26" max="26" width="9.6640625" customWidth="1"/>
    <col min="27" max="27" width="14.6640625" customWidth="1"/>
    <col min="28" max="28" width="10.6640625" customWidth="1"/>
    <col min="29" max="33" width="8" customWidth="1"/>
  </cols>
  <sheetData>
    <row r="1" spans="1:33" ht="14.25" customHeight="1" x14ac:dyDescent="0.2">
      <c r="A1" s="167" t="s">
        <v>14</v>
      </c>
      <c r="B1" s="168"/>
      <c r="C1" s="3"/>
      <c r="D1" s="3"/>
      <c r="E1" s="3"/>
      <c r="F1" s="3"/>
      <c r="G1" s="3"/>
      <c r="H1" s="3"/>
      <c r="I1" s="4"/>
      <c r="J1" s="3"/>
      <c r="K1" s="171" t="s">
        <v>15</v>
      </c>
      <c r="L1" s="5"/>
      <c r="M1" s="5"/>
      <c r="N1" s="3"/>
      <c r="O1" s="3"/>
      <c r="P1" s="4"/>
      <c r="U1" s="6" t="s">
        <v>16</v>
      </c>
      <c r="V1" s="7"/>
      <c r="W1" s="3"/>
      <c r="X1" s="3"/>
      <c r="Y1" s="3"/>
      <c r="Z1" s="3"/>
      <c r="AA1" s="3"/>
      <c r="AB1" s="3"/>
      <c r="AC1" s="3"/>
      <c r="AD1" s="3"/>
      <c r="AE1" s="3"/>
      <c r="AF1" s="3"/>
      <c r="AG1" s="4"/>
    </row>
    <row r="2" spans="1:33" ht="12.75" customHeight="1" x14ac:dyDescent="0.15">
      <c r="A2" s="8" t="s">
        <v>17</v>
      </c>
      <c r="B2" s="51" t="s">
        <v>18</v>
      </c>
      <c r="I2" s="9"/>
      <c r="K2" s="124"/>
      <c r="L2" s="10" t="s">
        <v>19</v>
      </c>
      <c r="M2" s="2" t="s">
        <v>20</v>
      </c>
      <c r="P2" s="9"/>
      <c r="U2" s="11"/>
      <c r="V2" s="12" t="s">
        <v>21</v>
      </c>
      <c r="AG2" s="9"/>
    </row>
    <row r="3" spans="1:33" ht="12.75" customHeight="1" x14ac:dyDescent="0.15">
      <c r="A3" s="125" t="s">
        <v>22</v>
      </c>
      <c r="B3" s="13">
        <v>0</v>
      </c>
      <c r="C3" s="13">
        <v>1</v>
      </c>
      <c r="D3" s="13">
        <v>2</v>
      </c>
      <c r="E3" s="13">
        <v>3</v>
      </c>
      <c r="F3" s="13" t="s">
        <v>23</v>
      </c>
      <c r="G3" s="14" t="s">
        <v>24</v>
      </c>
      <c r="I3" s="9"/>
      <c r="K3" s="8" t="s">
        <v>25</v>
      </c>
      <c r="L3" s="159">
        <v>3890</v>
      </c>
      <c r="M3" s="136"/>
      <c r="P3" s="9"/>
      <c r="U3" s="11"/>
      <c r="V3" s="16" t="s">
        <v>26</v>
      </c>
      <c r="W3" s="16">
        <v>1</v>
      </c>
      <c r="X3" s="16">
        <f t="shared" ref="X3:AA3" si="0">1+W3</f>
        <v>2</v>
      </c>
      <c r="Y3" s="16">
        <f t="shared" si="0"/>
        <v>3</v>
      </c>
      <c r="Z3" s="16">
        <f t="shared" si="0"/>
        <v>4</v>
      </c>
      <c r="AA3" s="16">
        <f t="shared" si="0"/>
        <v>5</v>
      </c>
      <c r="AG3" s="9"/>
    </row>
    <row r="4" spans="1:33" ht="12.75" customHeight="1" x14ac:dyDescent="0.15">
      <c r="A4" s="17">
        <v>0</v>
      </c>
      <c r="B4" s="18">
        <v>1105890</v>
      </c>
      <c r="C4" s="18">
        <v>1427051</v>
      </c>
      <c r="D4" s="18">
        <v>1680953</v>
      </c>
      <c r="E4" s="19">
        <v>1780483</v>
      </c>
      <c r="F4" s="18">
        <v>1846836</v>
      </c>
      <c r="G4" s="20">
        <f>F4-E4</f>
        <v>66353</v>
      </c>
      <c r="I4" s="9"/>
      <c r="K4" s="8" t="s">
        <v>27</v>
      </c>
      <c r="L4" s="137">
        <v>12630</v>
      </c>
      <c r="M4" s="159"/>
      <c r="P4" s="9"/>
      <c r="U4" s="11"/>
      <c r="V4" s="16" t="s">
        <v>28</v>
      </c>
      <c r="W4" s="21">
        <v>0.04</v>
      </c>
      <c r="X4" s="21">
        <v>3.5000000000000003E-2</v>
      </c>
      <c r="Y4" s="21">
        <v>0.03</v>
      </c>
      <c r="Z4" s="21">
        <v>3.6999999999999998E-2</v>
      </c>
      <c r="AA4" s="21">
        <v>0.04</v>
      </c>
      <c r="AG4" s="9"/>
    </row>
    <row r="5" spans="1:33" ht="12.75" customHeight="1" x14ac:dyDescent="0.15">
      <c r="A5" s="17">
        <v>1</v>
      </c>
      <c r="B5" s="18">
        <v>1069878</v>
      </c>
      <c r="C5" s="18">
        <v>1358745</v>
      </c>
      <c r="D5" s="19">
        <v>1583419</v>
      </c>
      <c r="E5" s="18">
        <f>D5*B24</f>
        <v>1677173.9670157344</v>
      </c>
      <c r="F5" s="18">
        <f>E5*B25</f>
        <v>1739676.9643672367</v>
      </c>
      <c r="G5" s="20">
        <f>F5-D5</f>
        <v>156257.96436723671</v>
      </c>
      <c r="I5" s="9"/>
      <c r="K5" s="8" t="s">
        <v>29</v>
      </c>
      <c r="L5" s="159"/>
      <c r="M5" s="160">
        <f>L4+L3-L19</f>
        <v>5520</v>
      </c>
      <c r="P5" s="9"/>
      <c r="U5" s="11"/>
      <c r="AG5" s="9"/>
    </row>
    <row r="6" spans="1:33" ht="12.75" customHeight="1" x14ac:dyDescent="0.15">
      <c r="A6" s="17">
        <v>2</v>
      </c>
      <c r="B6" s="18">
        <v>1250633</v>
      </c>
      <c r="C6" s="19">
        <v>1525772</v>
      </c>
      <c r="D6" s="18">
        <f>C6*B23</f>
        <v>1787886.6202636519</v>
      </c>
      <c r="E6" s="18">
        <f>D6*B24</f>
        <v>1893748.2090854936</v>
      </c>
      <c r="F6" s="18">
        <f>E6*B25</f>
        <v>1964322.2470950952</v>
      </c>
      <c r="G6" s="20">
        <f>F6-C6</f>
        <v>438550.24709509523</v>
      </c>
      <c r="I6" s="9"/>
      <c r="K6" s="8"/>
      <c r="L6" s="159"/>
      <c r="M6" s="159"/>
      <c r="P6" s="9"/>
      <c r="U6" s="11"/>
      <c r="V6" s="1" t="s">
        <v>30</v>
      </c>
      <c r="AG6" s="9"/>
    </row>
    <row r="7" spans="1:33" ht="12.75" customHeight="1" x14ac:dyDescent="0.15">
      <c r="A7" s="17">
        <v>3</v>
      </c>
      <c r="B7" s="19">
        <v>1168753</v>
      </c>
      <c r="C7" s="18">
        <f>B7*B22</f>
        <v>1470685.4319456478</v>
      </c>
      <c r="D7" s="18">
        <f>C7*B23</f>
        <v>1723336.6495074581</v>
      </c>
      <c r="E7" s="18">
        <f>D7*B24</f>
        <v>1825376.204881985</v>
      </c>
      <c r="F7" s="18">
        <f>E7*B25</f>
        <v>1893402.2333936496</v>
      </c>
      <c r="G7" s="20">
        <f>F7-B7</f>
        <v>724649.23339364957</v>
      </c>
      <c r="I7" s="9"/>
      <c r="K7" s="8" t="s">
        <v>141</v>
      </c>
      <c r="L7" s="159">
        <v>3750</v>
      </c>
      <c r="M7" s="159"/>
      <c r="P7" s="9"/>
      <c r="U7" s="11"/>
      <c r="V7" s="1" t="s">
        <v>31</v>
      </c>
      <c r="W7" s="1">
        <v>20000</v>
      </c>
      <c r="Y7" s="1" t="s">
        <v>32</v>
      </c>
      <c r="Z7" s="1">
        <f>W7-W9*(W7-W8)-W8</f>
        <v>19303</v>
      </c>
      <c r="AA7" s="1" t="s">
        <v>33</v>
      </c>
      <c r="AB7" s="74">
        <f>Z7</f>
        <v>19303</v>
      </c>
      <c r="AG7" s="9"/>
    </row>
    <row r="8" spans="1:33" ht="12.75" customHeight="1" x14ac:dyDescent="0.15">
      <c r="A8" s="11"/>
      <c r="G8" s="22">
        <f>SUM(G4:G7)</f>
        <v>1385810.4448559815</v>
      </c>
      <c r="I8" s="9"/>
      <c r="K8" s="8" t="s">
        <v>142</v>
      </c>
      <c r="L8" s="159"/>
      <c r="M8" s="159">
        <v>6600</v>
      </c>
      <c r="P8" s="9"/>
      <c r="U8" s="11"/>
      <c r="V8" s="1" t="s">
        <v>34</v>
      </c>
      <c r="W8" s="1">
        <v>100</v>
      </c>
      <c r="AG8" s="9"/>
    </row>
    <row r="9" spans="1:33" ht="12.75" customHeight="1" x14ac:dyDescent="0.15">
      <c r="A9" s="11"/>
      <c r="I9" s="9"/>
      <c r="K9" s="8" t="s">
        <v>143</v>
      </c>
      <c r="L9" s="136"/>
      <c r="M9" s="159">
        <v>2900</v>
      </c>
      <c r="P9" s="9"/>
      <c r="U9" s="11"/>
      <c r="V9" s="1" t="s">
        <v>35</v>
      </c>
      <c r="W9" s="23">
        <v>0.03</v>
      </c>
      <c r="AG9" s="9"/>
    </row>
    <row r="10" spans="1:33" ht="12.75" customHeight="1" x14ac:dyDescent="0.15">
      <c r="A10" s="11"/>
      <c r="I10" s="9"/>
      <c r="K10" s="8"/>
      <c r="L10" s="136"/>
      <c r="M10" s="159"/>
      <c r="P10" s="9"/>
      <c r="U10" s="11"/>
      <c r="AG10" s="9"/>
    </row>
    <row r="11" spans="1:33" ht="12.75" customHeight="1" x14ac:dyDescent="0.15">
      <c r="A11" s="124" t="s">
        <v>36</v>
      </c>
      <c r="B11" s="123" t="s">
        <v>37</v>
      </c>
      <c r="I11" s="9"/>
      <c r="K11" s="8" t="s">
        <v>38</v>
      </c>
      <c r="L11" s="136"/>
      <c r="M11" s="159"/>
      <c r="P11" s="9"/>
      <c r="U11" s="11"/>
      <c r="AG11" s="9"/>
    </row>
    <row r="12" spans="1:33" ht="12.75" customHeight="1" x14ac:dyDescent="0.15">
      <c r="A12" s="17">
        <v>0</v>
      </c>
      <c r="B12" s="18">
        <v>925</v>
      </c>
      <c r="I12" s="9"/>
      <c r="K12" s="8" t="s">
        <v>39</v>
      </c>
      <c r="L12" s="136"/>
      <c r="M12" s="159">
        <v>2100</v>
      </c>
      <c r="P12" s="9"/>
      <c r="U12" s="11"/>
      <c r="V12" s="1" t="s">
        <v>40</v>
      </c>
      <c r="W12" s="23">
        <v>0.85</v>
      </c>
      <c r="AG12" s="9"/>
    </row>
    <row r="13" spans="1:33" ht="12.75" customHeight="1" x14ac:dyDescent="0.15">
      <c r="A13" s="17">
        <v>1</v>
      </c>
      <c r="B13" s="18">
        <v>885</v>
      </c>
      <c r="I13" s="9"/>
      <c r="K13" s="8"/>
      <c r="L13" s="136"/>
      <c r="M13" s="161"/>
      <c r="P13" s="9"/>
      <c r="U13" s="11"/>
      <c r="V13" s="1" t="s">
        <v>41</v>
      </c>
      <c r="W13" s="23">
        <v>0.03</v>
      </c>
      <c r="AG13" s="9"/>
    </row>
    <row r="14" spans="1:33" ht="12.75" customHeight="1" x14ac:dyDescent="0.15">
      <c r="A14" s="17">
        <v>2</v>
      </c>
      <c r="B14" s="18">
        <v>995</v>
      </c>
      <c r="I14" s="9"/>
      <c r="K14" s="8" t="s">
        <v>38</v>
      </c>
      <c r="L14" s="136"/>
      <c r="M14" s="161"/>
      <c r="P14" s="9"/>
      <c r="U14" s="11"/>
      <c r="AG14" s="9"/>
    </row>
    <row r="15" spans="1:33" ht="12.75" customHeight="1" x14ac:dyDescent="0.15">
      <c r="A15" s="17">
        <v>3</v>
      </c>
      <c r="B15" s="18">
        <v>1192</v>
      </c>
      <c r="I15" s="9"/>
      <c r="K15" s="8" t="s">
        <v>42</v>
      </c>
      <c r="L15" s="136"/>
      <c r="M15" s="160">
        <f>-M8-M9-M12+L7+L23*L19</f>
        <v>950</v>
      </c>
      <c r="P15" s="9"/>
      <c r="U15" s="11"/>
      <c r="AG15" s="9"/>
    </row>
    <row r="16" spans="1:33" ht="12.75" customHeight="1" x14ac:dyDescent="0.15">
      <c r="A16" s="11"/>
      <c r="I16" s="9"/>
      <c r="K16" s="124" t="s">
        <v>43</v>
      </c>
      <c r="L16" s="138"/>
      <c r="M16" s="162">
        <v>1450</v>
      </c>
      <c r="P16" s="9"/>
      <c r="U16" s="11"/>
      <c r="AG16" s="9"/>
    </row>
    <row r="17" spans="1:33" ht="12.75" customHeight="1" x14ac:dyDescent="0.15">
      <c r="A17" s="11"/>
      <c r="I17" s="9"/>
      <c r="K17" s="8"/>
      <c r="L17" s="15"/>
      <c r="M17" s="15"/>
      <c r="P17" s="9"/>
      <c r="U17" s="11"/>
      <c r="V17" s="24" t="s">
        <v>44</v>
      </c>
      <c r="W17" s="1" t="s">
        <v>28</v>
      </c>
      <c r="X17" s="1" t="s">
        <v>45</v>
      </c>
      <c r="Y17" s="1" t="s">
        <v>33</v>
      </c>
      <c r="AA17" s="1" t="s">
        <v>46</v>
      </c>
      <c r="AB17" s="57" t="s">
        <v>33</v>
      </c>
      <c r="AG17" s="9"/>
    </row>
    <row r="18" spans="1:33" ht="12.75" customHeight="1" x14ac:dyDescent="0.15">
      <c r="A18" s="8" t="s">
        <v>47</v>
      </c>
      <c r="B18" s="20">
        <f>SUM(B4:B6)</f>
        <v>3426401</v>
      </c>
      <c r="C18" s="20">
        <f>SUM(C4:C5)</f>
        <v>2785796</v>
      </c>
      <c r="D18" s="20">
        <f>SUM(D4)</f>
        <v>1680953</v>
      </c>
      <c r="I18" s="9"/>
      <c r="K18" s="8"/>
      <c r="L18" s="163"/>
      <c r="M18" s="15"/>
      <c r="P18" s="9"/>
      <c r="U18" s="11"/>
      <c r="V18" s="1">
        <v>1</v>
      </c>
      <c r="W18" s="25">
        <v>0.04</v>
      </c>
      <c r="X18" s="23">
        <f t="shared" ref="X18:X22" si="1">$W$12*W18</f>
        <v>3.4000000000000002E-2</v>
      </c>
      <c r="Y18" s="166">
        <f>Z7*(1+X18)</f>
        <v>19959.302</v>
      </c>
      <c r="AA18" s="23">
        <f t="shared" ref="AA18:AA22" si="2">MAX(X18,$W$13)</f>
        <v>3.4000000000000002E-2</v>
      </c>
      <c r="AB18" s="57">
        <f>Z7*(1+AA18)</f>
        <v>19959.302</v>
      </c>
      <c r="AC18" s="99"/>
      <c r="AG18" s="9"/>
    </row>
    <row r="19" spans="1:33" ht="12.75" customHeight="1" x14ac:dyDescent="0.15">
      <c r="A19" s="11"/>
      <c r="C19" s="20">
        <f>SUM(C4:C6)</f>
        <v>4311568</v>
      </c>
      <c r="D19" s="20">
        <f>SUM(D4:D5)</f>
        <v>3264372</v>
      </c>
      <c r="E19" s="20">
        <f t="shared" ref="E19:F19" si="3">SUM(E4)</f>
        <v>1780483</v>
      </c>
      <c r="F19" s="20">
        <f t="shared" si="3"/>
        <v>1846836</v>
      </c>
      <c r="I19" s="9"/>
      <c r="K19" s="8" t="s">
        <v>48</v>
      </c>
      <c r="L19" s="163">
        <v>11000</v>
      </c>
      <c r="M19" s="15"/>
      <c r="P19" s="9"/>
      <c r="U19" s="11"/>
      <c r="V19" s="1">
        <v>2</v>
      </c>
      <c r="W19" s="25">
        <v>3.5000000000000003E-2</v>
      </c>
      <c r="X19" s="23">
        <f t="shared" si="1"/>
        <v>2.9750000000000002E-2</v>
      </c>
      <c r="Y19" s="166">
        <f t="shared" ref="Y19:Y22" si="4">Y18*(1+X19)</f>
        <v>20553.0912345</v>
      </c>
      <c r="AA19" s="23">
        <f t="shared" si="2"/>
        <v>0.03</v>
      </c>
      <c r="AB19" s="57">
        <f t="shared" ref="AB19:AB22" si="5">AB18*(AA19+1)</f>
        <v>20558.08106</v>
      </c>
      <c r="AC19" s="99"/>
      <c r="AG19" s="9"/>
    </row>
    <row r="20" spans="1:33" ht="12.75" customHeight="1" x14ac:dyDescent="0.15">
      <c r="A20" s="11"/>
      <c r="I20" s="9"/>
      <c r="K20" s="8" t="s">
        <v>49</v>
      </c>
      <c r="L20" s="164">
        <f>M8+M9+M12+M15-L7</f>
        <v>8800</v>
      </c>
      <c r="M20" s="15"/>
      <c r="P20" s="9"/>
      <c r="U20" s="11"/>
      <c r="V20" s="1">
        <v>3</v>
      </c>
      <c r="W20" s="25">
        <v>0.03</v>
      </c>
      <c r="X20" s="23">
        <f t="shared" si="1"/>
        <v>2.5499999999999998E-2</v>
      </c>
      <c r="Y20" s="166">
        <f t="shared" si="4"/>
        <v>21077.19506097975</v>
      </c>
      <c r="AA20" s="23">
        <f t="shared" si="2"/>
        <v>0.03</v>
      </c>
      <c r="AB20" s="57">
        <f t="shared" si="5"/>
        <v>21174.823491800002</v>
      </c>
      <c r="AC20" s="99"/>
      <c r="AG20" s="9"/>
    </row>
    <row r="21" spans="1:33" ht="12.75" customHeight="1" x14ac:dyDescent="0.15">
      <c r="A21" s="11"/>
      <c r="I21" s="9"/>
      <c r="K21" s="8" t="s">
        <v>50</v>
      </c>
      <c r="L21" s="165">
        <f>M16</f>
        <v>1450</v>
      </c>
      <c r="P21" s="9"/>
      <c r="U21" s="11"/>
      <c r="V21" s="1">
        <v>4</v>
      </c>
      <c r="W21" s="25">
        <v>3.6999999999999998E-2</v>
      </c>
      <c r="X21" s="23">
        <f t="shared" si="1"/>
        <v>3.1449999999999999E-2</v>
      </c>
      <c r="Y21" s="166">
        <f t="shared" si="4"/>
        <v>21740.072845647563</v>
      </c>
      <c r="AA21" s="23">
        <f t="shared" si="2"/>
        <v>3.1449999999999999E-2</v>
      </c>
      <c r="AB21" s="57">
        <f t="shared" si="5"/>
        <v>21840.771690617112</v>
      </c>
      <c r="AC21" s="99"/>
      <c r="AG21" s="9"/>
    </row>
    <row r="22" spans="1:33" ht="12.75" customHeight="1" x14ac:dyDescent="0.15">
      <c r="A22" s="8" t="s">
        <v>51</v>
      </c>
      <c r="B22" s="26">
        <f>C19/B18</f>
        <v>1.2583372465744669</v>
      </c>
      <c r="I22" s="9"/>
      <c r="K22" s="8"/>
      <c r="L22" s="75"/>
      <c r="P22" s="9"/>
      <c r="U22" s="11"/>
      <c r="V22" s="1">
        <v>5</v>
      </c>
      <c r="W22" s="25">
        <v>0.04</v>
      </c>
      <c r="X22" s="23">
        <f t="shared" si="1"/>
        <v>3.4000000000000002E-2</v>
      </c>
      <c r="Y22" s="166">
        <f t="shared" si="4"/>
        <v>22479.235322399581</v>
      </c>
      <c r="AA22" s="23">
        <f t="shared" si="2"/>
        <v>3.4000000000000002E-2</v>
      </c>
      <c r="AB22" s="57">
        <f t="shared" si="5"/>
        <v>22583.357928098096</v>
      </c>
      <c r="AC22" s="99"/>
      <c r="AG22" s="9"/>
    </row>
    <row r="23" spans="1:33" ht="12.75" customHeight="1" x14ac:dyDescent="0.15">
      <c r="A23" s="8" t="s">
        <v>52</v>
      </c>
      <c r="B23" s="26">
        <f>D19/C18</f>
        <v>1.1717914736039539</v>
      </c>
      <c r="I23" s="9"/>
      <c r="K23" s="8" t="s">
        <v>53</v>
      </c>
      <c r="L23" s="72">
        <v>0.8</v>
      </c>
      <c r="P23" s="9"/>
      <c r="U23" s="11"/>
      <c r="V23" s="1"/>
      <c r="W23" s="25"/>
      <c r="X23" s="23"/>
      <c r="Y23" s="26"/>
      <c r="AA23" s="23"/>
      <c r="AB23" s="57"/>
      <c r="AC23" s="99"/>
      <c r="AG23" s="9"/>
    </row>
    <row r="24" spans="1:33" ht="12.75" customHeight="1" x14ac:dyDescent="0.15">
      <c r="A24" s="8" t="s">
        <v>54</v>
      </c>
      <c r="B24" s="26">
        <f>E19/D18</f>
        <v>1.0592104597808505</v>
      </c>
      <c r="I24" s="9"/>
      <c r="K24" s="8" t="s">
        <v>55</v>
      </c>
      <c r="L24" s="27">
        <f>L21/L19</f>
        <v>0.13181818181818181</v>
      </c>
      <c r="P24" s="9"/>
      <c r="U24" s="11"/>
      <c r="V24" s="1"/>
      <c r="W24" s="25"/>
      <c r="X24" s="23"/>
      <c r="Y24" s="26"/>
      <c r="AA24" s="23"/>
      <c r="AB24" s="47"/>
      <c r="AC24" s="99"/>
      <c r="AG24" s="9"/>
    </row>
    <row r="25" spans="1:33" ht="12.75" customHeight="1" x14ac:dyDescent="0.15">
      <c r="A25" s="8" t="s">
        <v>56</v>
      </c>
      <c r="B25" s="26">
        <f>F19/E19</f>
        <v>1.0372668539941128</v>
      </c>
      <c r="I25" s="9"/>
      <c r="K25" s="8" t="s">
        <v>57</v>
      </c>
      <c r="L25" s="127">
        <f>L23+L24</f>
        <v>0.93181818181818188</v>
      </c>
      <c r="P25" s="9"/>
      <c r="U25" s="11"/>
      <c r="V25" s="1"/>
      <c r="W25" s="25"/>
      <c r="X25" s="23"/>
      <c r="Y25" s="26"/>
      <c r="AA25" s="23"/>
      <c r="AB25" s="26"/>
      <c r="AG25" s="9"/>
    </row>
    <row r="26" spans="1:33" ht="12.75" customHeight="1" x14ac:dyDescent="0.15">
      <c r="A26" s="8"/>
      <c r="I26" s="9"/>
      <c r="K26" s="8"/>
      <c r="L26" s="28"/>
      <c r="P26" s="9"/>
      <c r="U26" s="11"/>
      <c r="V26" s="1"/>
      <c r="W26" s="25"/>
      <c r="X26" s="23"/>
      <c r="Y26" s="26"/>
      <c r="AA26" s="23"/>
      <c r="AB26" s="26"/>
      <c r="AG26" s="9"/>
    </row>
    <row r="27" spans="1:33" ht="12.75" customHeight="1" x14ac:dyDescent="0.15">
      <c r="A27" s="170" t="s">
        <v>140</v>
      </c>
      <c r="B27" s="169"/>
      <c r="I27" s="9"/>
      <c r="K27" s="11"/>
      <c r="P27" s="9"/>
      <c r="U27" s="11"/>
      <c r="V27" s="1"/>
      <c r="W27" s="25"/>
      <c r="X27" s="57"/>
      <c r="Y27" s="57"/>
      <c r="Z27" s="130"/>
      <c r="AA27" s="57"/>
      <c r="AB27" s="57"/>
      <c r="AC27" s="130"/>
      <c r="AG27" s="9"/>
    </row>
    <row r="28" spans="1:33" ht="12.75" customHeight="1" x14ac:dyDescent="0.15">
      <c r="A28" s="11"/>
      <c r="I28" s="9"/>
      <c r="K28" s="8" t="s">
        <v>145</v>
      </c>
      <c r="L28" s="139">
        <f>L20</f>
        <v>8800</v>
      </c>
      <c r="M28" s="74"/>
      <c r="P28" s="9"/>
      <c r="U28" s="11"/>
      <c r="X28" s="130"/>
      <c r="Y28" s="130"/>
      <c r="Z28" s="130"/>
      <c r="AA28" s="130"/>
      <c r="AB28" s="130"/>
      <c r="AC28" s="130"/>
      <c r="AG28" s="9"/>
    </row>
    <row r="29" spans="1:33" ht="12.75" customHeight="1" x14ac:dyDescent="0.15">
      <c r="A29" s="11"/>
      <c r="I29" s="9"/>
      <c r="K29" s="8" t="s">
        <v>144</v>
      </c>
      <c r="L29" s="140">
        <f>M8+M12</f>
        <v>8700</v>
      </c>
      <c r="M29" s="75"/>
      <c r="N29" s="75"/>
      <c r="P29" s="9"/>
      <c r="U29" s="11"/>
      <c r="X29" s="130"/>
      <c r="Y29" s="130"/>
      <c r="Z29" s="130"/>
      <c r="AA29" s="130"/>
      <c r="AB29" s="130"/>
      <c r="AC29" s="130"/>
      <c r="AG29" s="9"/>
    </row>
    <row r="30" spans="1:33" ht="12.75" customHeight="1" x14ac:dyDescent="0.15">
      <c r="A30" s="8" t="s">
        <v>58</v>
      </c>
      <c r="I30" s="9"/>
      <c r="K30" s="172" t="s">
        <v>122</v>
      </c>
      <c r="L30" s="139">
        <f>-L7+M9+M15</f>
        <v>100</v>
      </c>
      <c r="M30" s="75"/>
      <c r="N30" s="75"/>
      <c r="O30" s="75"/>
      <c r="P30" s="75"/>
      <c r="U30" s="11"/>
      <c r="X30" s="57" t="s">
        <v>59</v>
      </c>
      <c r="Y30" s="57">
        <f>Z7*(1+W13)^5</f>
        <v>22377.467456212897</v>
      </c>
      <c r="Z30" s="130"/>
      <c r="AA30" s="130"/>
      <c r="AB30" s="130"/>
      <c r="AC30" s="130"/>
      <c r="AG30" s="9"/>
    </row>
    <row r="31" spans="1:33" ht="12.75" customHeight="1" x14ac:dyDescent="0.15">
      <c r="A31" s="11"/>
      <c r="C31" s="12" t="s">
        <v>18</v>
      </c>
      <c r="D31" s="31"/>
      <c r="E31" s="31"/>
      <c r="F31" s="31"/>
      <c r="G31" s="31"/>
      <c r="I31" s="9"/>
      <c r="K31" s="11"/>
      <c r="L31" s="141"/>
      <c r="P31" s="9"/>
      <c r="U31" s="11"/>
      <c r="W31" s="1" t="s">
        <v>60</v>
      </c>
      <c r="X31" s="142" t="s">
        <v>61</v>
      </c>
      <c r="Y31" s="142">
        <f>MAX(Y30,Y22)</f>
        <v>22479.235322399581</v>
      </c>
      <c r="Z31" s="142"/>
      <c r="AA31" s="142" t="s">
        <v>46</v>
      </c>
      <c r="AB31" s="142">
        <f>AB22</f>
        <v>22583.357928098096</v>
      </c>
      <c r="AC31" s="130"/>
      <c r="AG31" s="9"/>
    </row>
    <row r="32" spans="1:33" ht="12.75" customHeight="1" x14ac:dyDescent="0.15">
      <c r="A32" s="124" t="s">
        <v>37</v>
      </c>
      <c r="B32" s="123" t="s">
        <v>36</v>
      </c>
      <c r="C32" s="32">
        <v>0</v>
      </c>
      <c r="D32" s="32">
        <v>1</v>
      </c>
      <c r="E32" s="32">
        <v>2</v>
      </c>
      <c r="F32" s="32">
        <v>3</v>
      </c>
      <c r="G32" s="32" t="s">
        <v>23</v>
      </c>
      <c r="I32" s="9"/>
      <c r="K32" s="11"/>
      <c r="L32" s="141"/>
      <c r="P32" s="9"/>
      <c r="U32" s="11"/>
      <c r="X32" s="130"/>
      <c r="Y32" s="130"/>
      <c r="Z32" s="130"/>
      <c r="AA32" s="130"/>
      <c r="AB32" s="130"/>
      <c r="AC32" s="130"/>
      <c r="AG32" s="9"/>
    </row>
    <row r="33" spans="1:33" ht="12.75" customHeight="1" x14ac:dyDescent="0.15">
      <c r="A33" s="33">
        <v>925</v>
      </c>
      <c r="B33" s="34">
        <v>0</v>
      </c>
      <c r="C33" s="121">
        <f>B4</f>
        <v>1105890</v>
      </c>
      <c r="D33" s="121">
        <f t="shared" ref="D33:G33" si="6">C4-B4</f>
        <v>321161</v>
      </c>
      <c r="E33" s="121">
        <f t="shared" si="6"/>
        <v>253902</v>
      </c>
      <c r="F33" s="122">
        <f t="shared" si="6"/>
        <v>99530</v>
      </c>
      <c r="G33" s="121">
        <f t="shared" si="6"/>
        <v>66353</v>
      </c>
      <c r="I33" s="9"/>
      <c r="K33" s="36"/>
      <c r="L33" s="37"/>
      <c r="M33" s="37"/>
      <c r="N33" s="37"/>
      <c r="O33" s="37"/>
      <c r="P33" s="38"/>
      <c r="U33" s="36"/>
      <c r="V33" s="37"/>
      <c r="W33" s="37"/>
      <c r="X33" s="37"/>
      <c r="Y33" s="37"/>
      <c r="Z33" s="37"/>
      <c r="AA33" s="39"/>
      <c r="AB33" s="37"/>
      <c r="AC33" s="37"/>
      <c r="AD33" s="37"/>
      <c r="AE33" s="37"/>
      <c r="AF33" s="37"/>
      <c r="AG33" s="38"/>
    </row>
    <row r="34" spans="1:33" ht="12.75" customHeight="1" x14ac:dyDescent="0.15">
      <c r="A34" s="33">
        <v>885</v>
      </c>
      <c r="B34" s="34">
        <v>1</v>
      </c>
      <c r="C34" s="121">
        <f>B5</f>
        <v>1069878</v>
      </c>
      <c r="D34" s="121">
        <f t="shared" ref="D34:E34" si="7">C5-B5</f>
        <v>288867</v>
      </c>
      <c r="E34" s="122">
        <f t="shared" si="7"/>
        <v>224674</v>
      </c>
      <c r="F34" s="35"/>
      <c r="G34" s="35"/>
      <c r="I34" s="9"/>
    </row>
    <row r="35" spans="1:33" ht="12.75" customHeight="1" x14ac:dyDescent="0.15">
      <c r="A35" s="33">
        <v>995</v>
      </c>
      <c r="B35" s="34">
        <v>2</v>
      </c>
      <c r="C35" s="121">
        <f t="shared" ref="C35:C36" si="8">B6</f>
        <v>1250633</v>
      </c>
      <c r="D35" s="122">
        <f>C6-B6</f>
        <v>275139</v>
      </c>
      <c r="E35" s="121"/>
      <c r="F35" s="35"/>
      <c r="G35" s="35"/>
      <c r="I35" s="9"/>
    </row>
    <row r="36" spans="1:33" ht="12.75" customHeight="1" x14ac:dyDescent="0.15">
      <c r="A36" s="33">
        <v>1192</v>
      </c>
      <c r="B36" s="34">
        <v>3</v>
      </c>
      <c r="C36" s="122">
        <f t="shared" si="8"/>
        <v>1168753</v>
      </c>
      <c r="D36" s="35"/>
      <c r="E36" s="35"/>
      <c r="F36" s="35"/>
      <c r="G36" s="35"/>
      <c r="I36" s="9"/>
    </row>
    <row r="37" spans="1:33" ht="12.75" customHeight="1" x14ac:dyDescent="0.15">
      <c r="A37" s="11"/>
      <c r="I37" s="9"/>
    </row>
    <row r="38" spans="1:33" ht="12.75" customHeight="1" x14ac:dyDescent="0.2">
      <c r="A38" s="11"/>
      <c r="I38" s="9"/>
      <c r="K38" s="40" t="s">
        <v>62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4"/>
    </row>
    <row r="39" spans="1:33" ht="12.75" customHeight="1" x14ac:dyDescent="0.15">
      <c r="A39" s="8" t="s">
        <v>63</v>
      </c>
      <c r="I39" s="9"/>
      <c r="K39" s="181" t="s">
        <v>64</v>
      </c>
      <c r="AA39" s="9"/>
    </row>
    <row r="40" spans="1:33" ht="12.75" customHeight="1" x14ac:dyDescent="0.15">
      <c r="A40" s="11"/>
      <c r="C40" s="51" t="s">
        <v>18</v>
      </c>
      <c r="I40" s="9"/>
      <c r="K40" s="182"/>
      <c r="N40" s="32" t="s">
        <v>1</v>
      </c>
      <c r="O40" s="32" t="s">
        <v>65</v>
      </c>
      <c r="P40" s="32" t="s">
        <v>66</v>
      </c>
      <c r="Q40" s="32" t="s">
        <v>4</v>
      </c>
      <c r="R40" s="32" t="s">
        <v>5</v>
      </c>
      <c r="S40" s="37" t="s">
        <v>6</v>
      </c>
      <c r="T40" s="37" t="s">
        <v>7</v>
      </c>
      <c r="W40" s="1" t="s">
        <v>8</v>
      </c>
      <c r="X40" s="41">
        <v>0.03</v>
      </c>
      <c r="AA40" s="9"/>
    </row>
    <row r="41" spans="1:33" ht="12.75" customHeight="1" x14ac:dyDescent="0.15">
      <c r="A41" s="11"/>
      <c r="B41" s="123" t="s">
        <v>36</v>
      </c>
      <c r="C41" s="32">
        <v>0</v>
      </c>
      <c r="D41" s="32">
        <v>1</v>
      </c>
      <c r="E41" s="32">
        <v>2</v>
      </c>
      <c r="F41" s="32">
        <v>3</v>
      </c>
      <c r="G41" s="32"/>
      <c r="I41" s="9"/>
      <c r="K41" s="11" t="s">
        <v>67</v>
      </c>
      <c r="L41" s="1">
        <v>40</v>
      </c>
      <c r="N41" s="1">
        <v>40</v>
      </c>
      <c r="O41" s="42">
        <f>simboli!F2</f>
        <v>30079.35721672593</v>
      </c>
      <c r="P41" s="42">
        <f>simboli!G2</f>
        <v>709837.05776973977</v>
      </c>
      <c r="Q41" s="42">
        <f>simboli!H2</f>
        <v>12407238.241413511</v>
      </c>
      <c r="R41" s="42">
        <f>simboli!I2</f>
        <v>29.46517207437558</v>
      </c>
      <c r="S41" s="42">
        <f>simboli!J2</f>
        <v>9544.5164016268445</v>
      </c>
      <c r="T41" s="42">
        <f>simboli!K2</f>
        <v>353649.47980618681</v>
      </c>
      <c r="W41" s="1" t="s">
        <v>68</v>
      </c>
      <c r="X41" s="43">
        <f>(1+X40)^-1</f>
        <v>0.970873786407767</v>
      </c>
      <c r="Y41" s="1" t="s">
        <v>69</v>
      </c>
      <c r="AA41" s="9"/>
    </row>
    <row r="42" spans="1:33" ht="12.75" customHeight="1" x14ac:dyDescent="0.15">
      <c r="A42" s="11"/>
      <c r="B42" s="34">
        <v>0</v>
      </c>
      <c r="C42" s="133">
        <f t="shared" ref="C42:C45" si="9">C33/A33</f>
        <v>1195.5567567567568</v>
      </c>
      <c r="D42" s="134">
        <f t="shared" ref="D42:D44" si="10">D33/A33</f>
        <v>347.2010810810811</v>
      </c>
      <c r="E42" s="135">
        <f t="shared" ref="E42:E43" si="11">E33/A33</f>
        <v>274.48864864864862</v>
      </c>
      <c r="F42" s="131">
        <f>F33/A33</f>
        <v>107.6</v>
      </c>
      <c r="G42" s="130"/>
      <c r="I42" s="9"/>
      <c r="K42" s="11" t="s">
        <v>70</v>
      </c>
      <c r="L42" s="1">
        <v>8</v>
      </c>
      <c r="N42" s="1">
        <v>48</v>
      </c>
      <c r="O42" s="42">
        <f>simboli!F3</f>
        <v>23471.463704038659</v>
      </c>
      <c r="P42" s="42">
        <f>simboli!G3</f>
        <v>493244.94581254391</v>
      </c>
      <c r="Q42" s="42">
        <f>simboli!H3</f>
        <v>7521725.3780665323</v>
      </c>
      <c r="R42" s="42">
        <f>simboli!I3</f>
        <v>49.809461942890621</v>
      </c>
      <c r="S42" s="42">
        <f>simboli!J3</f>
        <v>9240.6734081588111</v>
      </c>
      <c r="T42" s="42">
        <f>simboli!K3</f>
        <v>278247.65988851857</v>
      </c>
      <c r="W42" s="1" t="s">
        <v>71</v>
      </c>
      <c r="X42" s="43">
        <f>(1+X40)^-0.5</f>
        <v>0.98532927816429317</v>
      </c>
      <c r="Y42" s="1" t="s">
        <v>135</v>
      </c>
      <c r="AA42" s="9"/>
    </row>
    <row r="43" spans="1:33" ht="12.75" customHeight="1" x14ac:dyDescent="0.15">
      <c r="A43" s="11"/>
      <c r="B43" s="34">
        <v>1</v>
      </c>
      <c r="C43" s="134">
        <f t="shared" si="9"/>
        <v>1208.9016949152542</v>
      </c>
      <c r="D43" s="135">
        <f t="shared" si="10"/>
        <v>326.4033898305085</v>
      </c>
      <c r="E43" s="131">
        <f t="shared" si="11"/>
        <v>253.86892655367231</v>
      </c>
      <c r="F43" s="57">
        <f>D54*C61</f>
        <v>101.86786363715539</v>
      </c>
      <c r="G43" s="130"/>
      <c r="I43" s="9"/>
      <c r="K43" s="11" t="s">
        <v>33</v>
      </c>
      <c r="L43" s="57">
        <v>100000</v>
      </c>
      <c r="AA43" s="9"/>
    </row>
    <row r="44" spans="1:33" ht="12.75" customHeight="1" x14ac:dyDescent="0.15">
      <c r="A44" s="11"/>
      <c r="B44" s="34">
        <v>2</v>
      </c>
      <c r="C44" s="135">
        <f t="shared" si="9"/>
        <v>1256.9175879396985</v>
      </c>
      <c r="D44" s="131">
        <f t="shared" si="10"/>
        <v>276.52160804020099</v>
      </c>
      <c r="E44" s="57">
        <f>D55*C61</f>
        <v>224.34846866119202</v>
      </c>
      <c r="F44" s="57">
        <f>D54*C62</f>
        <v>96.441093327119759</v>
      </c>
      <c r="G44" s="130"/>
      <c r="I44" s="9"/>
      <c r="K44" s="11"/>
      <c r="AA44" s="9"/>
    </row>
    <row r="45" spans="1:33" ht="12.75" customHeight="1" x14ac:dyDescent="0.15">
      <c r="A45" s="11"/>
      <c r="B45" s="34">
        <v>3</v>
      </c>
      <c r="C45" s="131">
        <f t="shared" si="9"/>
        <v>980.4974832214765</v>
      </c>
      <c r="D45" s="57">
        <f>D56*C61</f>
        <v>260.6425516970956</v>
      </c>
      <c r="E45" s="57">
        <f>D55*C62</f>
        <v>212.39683283255519</v>
      </c>
      <c r="F45" s="57">
        <f>D54*C63</f>
        <v>91.303421413245474</v>
      </c>
      <c r="G45" s="130"/>
      <c r="I45" s="9"/>
      <c r="K45" s="11"/>
      <c r="AA45" s="9"/>
    </row>
    <row r="46" spans="1:33" ht="12.75" customHeight="1" x14ac:dyDescent="0.15">
      <c r="A46" s="11"/>
      <c r="C46" s="130"/>
      <c r="D46" s="130"/>
      <c r="E46" s="130"/>
      <c r="F46" s="130"/>
      <c r="G46" s="130"/>
      <c r="I46" s="9"/>
      <c r="K46" s="11"/>
      <c r="AA46" s="9"/>
    </row>
    <row r="47" spans="1:33" ht="12.75" customHeight="1" x14ac:dyDescent="0.15">
      <c r="A47" s="11"/>
      <c r="I47" s="9"/>
      <c r="K47" s="11"/>
      <c r="AA47" s="9"/>
    </row>
    <row r="48" spans="1:33" ht="12.75" customHeight="1" x14ac:dyDescent="0.2">
      <c r="A48" s="11"/>
      <c r="I48" s="9"/>
      <c r="K48" s="11"/>
      <c r="L48" s="44" t="s">
        <v>72</v>
      </c>
      <c r="M48" s="44" t="s">
        <v>73</v>
      </c>
      <c r="AA48" s="9"/>
    </row>
    <row r="49" spans="1:27" ht="12.75" customHeight="1" x14ac:dyDescent="0.15">
      <c r="A49" s="11"/>
      <c r="I49" s="9"/>
      <c r="K49" s="11"/>
      <c r="AA49" s="9"/>
    </row>
    <row r="50" spans="1:27" ht="12.75" customHeight="1" x14ac:dyDescent="0.15">
      <c r="A50" s="11"/>
      <c r="I50" s="9"/>
      <c r="K50" s="11" t="s">
        <v>74</v>
      </c>
      <c r="L50" s="45">
        <f>(S41-S42)/O41</f>
        <v>1.0101379204309542E-2</v>
      </c>
      <c r="M50" s="46">
        <f>L50*$L$43</f>
        <v>1010.1379204309542</v>
      </c>
      <c r="AA50" s="9"/>
    </row>
    <row r="51" spans="1:27" ht="12.75" customHeight="1" x14ac:dyDescent="0.15">
      <c r="A51" s="11" t="s">
        <v>75</v>
      </c>
      <c r="I51" s="9"/>
      <c r="K51" s="11" t="s">
        <v>76</v>
      </c>
      <c r="L51" s="45">
        <f>O42/O41</f>
        <v>0.7803179946607075</v>
      </c>
      <c r="M51" s="46">
        <f>L51*$L$43</f>
        <v>78031.799466070748</v>
      </c>
      <c r="AA51" s="9"/>
    </row>
    <row r="52" spans="1:27" ht="12.75" customHeight="1" x14ac:dyDescent="0.15">
      <c r="A52" s="11"/>
      <c r="I52" s="9"/>
      <c r="K52" s="11" t="s">
        <v>77</v>
      </c>
      <c r="L52" s="45">
        <f>L51+L50</f>
        <v>0.79041937386501704</v>
      </c>
      <c r="M52" s="46">
        <f>L52*$L$43</f>
        <v>79041.937386501697</v>
      </c>
      <c r="AA52" s="9"/>
    </row>
    <row r="53" spans="1:27" ht="12.75" customHeight="1" x14ac:dyDescent="0.15">
      <c r="A53" s="11"/>
      <c r="B53" s="130"/>
      <c r="F53" s="100"/>
      <c r="I53" s="9"/>
      <c r="K53" s="11"/>
      <c r="AA53" s="9"/>
    </row>
    <row r="54" spans="1:27" ht="12.75" customHeight="1" x14ac:dyDescent="0.15">
      <c r="A54" s="11">
        <v>3</v>
      </c>
      <c r="B54" s="57">
        <f>F42+E43+D44+C45</f>
        <v>1618.4880178153498</v>
      </c>
      <c r="D54" s="26">
        <f>F42/B54</f>
        <v>6.6481802037212157E-2</v>
      </c>
      <c r="F54" s="52">
        <f t="shared" ref="F54:F56" si="12">B54/B55</f>
        <v>0.81326310098186017</v>
      </c>
      <c r="I54" s="9"/>
      <c r="K54" s="48" t="s">
        <v>133</v>
      </c>
      <c r="L54" s="49">
        <f>(P41-P42)/O41</f>
        <v>7.2006895093076535</v>
      </c>
      <c r="M54" s="49"/>
      <c r="AA54" s="9"/>
    </row>
    <row r="55" spans="1:27" ht="12.75" customHeight="1" x14ac:dyDescent="0.15">
      <c r="A55" s="11">
        <v>2</v>
      </c>
      <c r="B55" s="57">
        <f>(E42+D43+C44)/(1-D54)</f>
        <v>1990.1161332185538</v>
      </c>
      <c r="D55" s="26">
        <f>(E43+E42)/(B54+B55)</f>
        <v>0.146416052603315</v>
      </c>
      <c r="F55" s="52">
        <f t="shared" si="12"/>
        <v>1.0066331749635737</v>
      </c>
      <c r="I55" s="9"/>
      <c r="K55" s="11"/>
      <c r="AA55" s="9"/>
    </row>
    <row r="56" spans="1:27" ht="12.75" customHeight="1" x14ac:dyDescent="0.15">
      <c r="A56" s="11">
        <v>1</v>
      </c>
      <c r="B56" s="57">
        <f>(D42+C43)/(1-D54-D55)</f>
        <v>1977.002330854602</v>
      </c>
      <c r="D56" s="26">
        <f>(D42+D43+D44)/(B54+B55+B56)</f>
        <v>0.17010258098786629</v>
      </c>
      <c r="F56" s="52">
        <f t="shared" si="12"/>
        <v>1.0202857957224674</v>
      </c>
      <c r="I56" s="9"/>
      <c r="K56" s="11"/>
      <c r="AA56" s="9"/>
    </row>
    <row r="57" spans="1:27" ht="12.75" customHeight="1" x14ac:dyDescent="0.15">
      <c r="A57" s="11">
        <v>0</v>
      </c>
      <c r="B57" s="57">
        <f>C42/(1-D54-D55-D56)</f>
        <v>1937.6946529522945</v>
      </c>
      <c r="D57" s="26">
        <f>(C42+C43+C44+C45)/(B54+B55+B56+B57)</f>
        <v>0.61699956437160641</v>
      </c>
      <c r="I57" s="9"/>
      <c r="K57" s="11"/>
      <c r="M57" s="130"/>
      <c r="AA57" s="9"/>
    </row>
    <row r="58" spans="1:27" ht="12.75" customHeight="1" x14ac:dyDescent="0.2">
      <c r="A58" s="11"/>
      <c r="F58" s="51" t="s">
        <v>78</v>
      </c>
      <c r="G58" s="47">
        <f>AVERAGE(F54:F56)</f>
        <v>0.94672735722263379</v>
      </c>
      <c r="I58" s="9"/>
      <c r="K58" s="11"/>
      <c r="L58" s="44" t="s">
        <v>79</v>
      </c>
      <c r="M58" s="174" t="s">
        <v>80</v>
      </c>
      <c r="AA58" s="9"/>
    </row>
    <row r="59" spans="1:27" ht="12.75" customHeight="1" x14ac:dyDescent="0.15">
      <c r="A59" s="11"/>
      <c r="I59" s="9"/>
      <c r="K59" s="48" t="s">
        <v>81</v>
      </c>
      <c r="L59" s="45">
        <f>L50/L54</f>
        <v>1.4028349911841692E-3</v>
      </c>
      <c r="M59" s="142">
        <f t="shared" ref="M59:M61" si="13">L59*$L$43</f>
        <v>140.28349911841693</v>
      </c>
      <c r="AA59" s="9"/>
    </row>
    <row r="60" spans="1:27" ht="12.75" customHeight="1" x14ac:dyDescent="0.15">
      <c r="A60" s="11" t="s">
        <v>75</v>
      </c>
      <c r="B60" s="51" t="s">
        <v>82</v>
      </c>
      <c r="I60" s="9"/>
      <c r="K60" s="48" t="s">
        <v>83</v>
      </c>
      <c r="L60" s="1">
        <f>L51/L54</f>
        <v>0.10836712146136337</v>
      </c>
      <c r="M60" s="142">
        <f t="shared" si="13"/>
        <v>10836.712146136337</v>
      </c>
      <c r="AA60" s="9"/>
    </row>
    <row r="61" spans="1:27" ht="12.75" customHeight="1" x14ac:dyDescent="0.15">
      <c r="A61" s="11">
        <v>4</v>
      </c>
      <c r="B61" s="47">
        <f>G58</f>
        <v>0.94672735722263379</v>
      </c>
      <c r="C61" s="57">
        <f>B54*B61</f>
        <v>1532.2668838028253</v>
      </c>
      <c r="I61" s="9"/>
      <c r="K61" s="48" t="s">
        <v>77</v>
      </c>
      <c r="L61" s="1">
        <f>L52/L54</f>
        <v>0.10976995645254754</v>
      </c>
      <c r="M61" s="142">
        <f t="shared" si="13"/>
        <v>10976.995645254754</v>
      </c>
      <c r="AA61" s="9"/>
    </row>
    <row r="62" spans="1:27" ht="12.75" customHeight="1" x14ac:dyDescent="0.15">
      <c r="A62" s="11">
        <v>5</v>
      </c>
      <c r="B62" s="47">
        <f>G58</f>
        <v>0.94672735722263379</v>
      </c>
      <c r="C62" s="57">
        <f t="shared" ref="C62:C63" si="14">C61*B62</f>
        <v>1450.6389774624092</v>
      </c>
      <c r="I62" s="9"/>
      <c r="K62" s="11"/>
      <c r="M62" s="99"/>
      <c r="AA62" s="9"/>
    </row>
    <row r="63" spans="1:27" ht="12.75" customHeight="1" x14ac:dyDescent="0.15">
      <c r="A63" s="11">
        <v>6</v>
      </c>
      <c r="B63" s="47">
        <f>G58</f>
        <v>0.94672735722263379</v>
      </c>
      <c r="C63" s="57">
        <f t="shared" si="14"/>
        <v>1373.3596054171305</v>
      </c>
      <c r="I63" s="9"/>
      <c r="K63" s="11"/>
      <c r="AA63" s="9"/>
    </row>
    <row r="64" spans="1:27" ht="12.75" customHeight="1" x14ac:dyDescent="0.15">
      <c r="A64" s="11"/>
      <c r="I64" s="9"/>
      <c r="K64" s="183" t="s">
        <v>84</v>
      </c>
      <c r="AA64" s="9"/>
    </row>
    <row r="65" spans="1:27" ht="12.75" customHeight="1" x14ac:dyDescent="0.15">
      <c r="A65" s="11"/>
      <c r="I65" s="9"/>
      <c r="K65" s="183"/>
      <c r="T65" s="130"/>
      <c r="U65" s="130"/>
      <c r="V65" s="130"/>
      <c r="AA65" s="9"/>
    </row>
    <row r="66" spans="1:27" ht="12.75" customHeight="1" x14ac:dyDescent="0.15">
      <c r="A66" s="11"/>
      <c r="I66" s="9"/>
      <c r="K66" s="11"/>
      <c r="P66" s="90"/>
      <c r="T66" s="130"/>
      <c r="U66" s="130"/>
      <c r="V66" s="130"/>
      <c r="AA66" s="9"/>
    </row>
    <row r="67" spans="1:27" ht="12.75" customHeight="1" x14ac:dyDescent="0.15">
      <c r="A67" s="11"/>
      <c r="I67" s="9"/>
      <c r="K67" s="11" t="s">
        <v>85</v>
      </c>
      <c r="L67" s="1" t="s">
        <v>86</v>
      </c>
      <c r="M67" s="47" t="s">
        <v>87</v>
      </c>
      <c r="N67" s="47" t="s">
        <v>88</v>
      </c>
      <c r="O67" s="47" t="s">
        <v>89</v>
      </c>
      <c r="P67" s="175" t="s">
        <v>90</v>
      </c>
      <c r="Q67" s="176"/>
      <c r="S67" s="1" t="s">
        <v>91</v>
      </c>
      <c r="T67" s="177" t="s">
        <v>92</v>
      </c>
      <c r="U67" s="142" t="s">
        <v>93</v>
      </c>
      <c r="V67" s="130"/>
      <c r="AA67" s="9"/>
    </row>
    <row r="68" spans="1:27" ht="12.75" customHeight="1" x14ac:dyDescent="0.15">
      <c r="A68" s="11"/>
      <c r="C68" s="51" t="s">
        <v>18</v>
      </c>
      <c r="H68" s="30"/>
      <c r="I68" s="9"/>
      <c r="K68" s="11">
        <v>40</v>
      </c>
      <c r="L68" s="1">
        <v>0</v>
      </c>
      <c r="M68" s="57">
        <f>VLOOKUP(K68,simboli!$A$7:$J$117,10,FALSE)</f>
        <v>9544.5164016268445</v>
      </c>
      <c r="N68" s="57">
        <f>VLOOKUP(K68,simboli!$A$7:$J$117,6,FALSE)</f>
        <v>30079.35721672593</v>
      </c>
      <c r="O68" s="57">
        <f>VLOOKUP(K68,simboli!$A$7:$J$117,7,FALSE)</f>
        <v>709837.05776973977</v>
      </c>
      <c r="P68" s="57">
        <f>((M68-$S$42+$O$42)/N68)*L43</f>
        <v>79041.937386501697</v>
      </c>
      <c r="Q68" s="57"/>
      <c r="S68" s="47">
        <f t="shared" ref="S68:S71" si="15">(O68-$P$42)/N68</f>
        <v>7.2006895093076535</v>
      </c>
      <c r="T68" s="57">
        <f t="shared" ref="T68:T76" si="16">S68*$M$61</f>
        <v>79041.937386501697</v>
      </c>
      <c r="U68" s="142">
        <f t="shared" ref="U68:U76" si="17">P68-T68</f>
        <v>0</v>
      </c>
      <c r="V68" s="130"/>
      <c r="AA68" s="9"/>
    </row>
    <row r="69" spans="1:27" ht="12.75" customHeight="1" x14ac:dyDescent="0.15">
      <c r="A69" s="11"/>
      <c r="B69" s="123" t="s">
        <v>36</v>
      </c>
      <c r="C69" s="32">
        <v>0</v>
      </c>
      <c r="D69" s="32">
        <v>1</v>
      </c>
      <c r="E69" s="32">
        <v>2</v>
      </c>
      <c r="F69" s="32">
        <v>3</v>
      </c>
      <c r="G69" s="32"/>
      <c r="H69" s="53"/>
      <c r="I69" s="9"/>
      <c r="K69" s="11">
        <v>41</v>
      </c>
      <c r="L69" s="1">
        <v>1</v>
      </c>
      <c r="M69" s="57">
        <f>VLOOKUP(K69,simboli!$A$7:$J$117,10,FALSE)</f>
        <v>9514.6125179938845</v>
      </c>
      <c r="N69" s="57">
        <f>VLOOKUP(K69,simboli!$A$7:$J$117,6,FALSE)</f>
        <v>29173.794261640116</v>
      </c>
      <c r="O69" s="57">
        <f>VLOOKUP(K69,simboli!$A$7:$J$117,7,FALSE)</f>
        <v>679757.70055301371</v>
      </c>
      <c r="P69" s="57">
        <f>((M69-$S$42+$O$42)/N69)*L43</f>
        <v>81392.919278573099</v>
      </c>
      <c r="Q69" s="57"/>
      <c r="S69" s="47">
        <f t="shared" si="15"/>
        <v>6.3931606930439866</v>
      </c>
      <c r="T69" s="57">
        <f t="shared" si="16"/>
        <v>70177.697086957705</v>
      </c>
      <c r="U69" s="142">
        <f t="shared" si="17"/>
        <v>11215.222191615394</v>
      </c>
      <c r="V69" s="130"/>
      <c r="AA69" s="9"/>
    </row>
    <row r="70" spans="1:27" ht="12.75" customHeight="1" x14ac:dyDescent="0.15">
      <c r="A70" s="33">
        <v>925</v>
      </c>
      <c r="B70" s="34">
        <v>0</v>
      </c>
      <c r="D70" s="130"/>
      <c r="E70" s="130"/>
      <c r="F70" s="131"/>
      <c r="G70" s="57">
        <f>G33</f>
        <v>66353</v>
      </c>
      <c r="H70" s="132">
        <f>G70</f>
        <v>66353</v>
      </c>
      <c r="I70" s="9"/>
      <c r="K70" s="11">
        <v>42</v>
      </c>
      <c r="L70" s="1">
        <v>2</v>
      </c>
      <c r="M70" s="57">
        <f>VLOOKUP(K70,simboli!$A$7:$J$117,10,FALSE)</f>
        <v>9482.9402670145773</v>
      </c>
      <c r="N70" s="57">
        <f>VLOOKUP(K70,simboli!$A$7:$J$117,6,FALSE)</f>
        <v>28292.864502484445</v>
      </c>
      <c r="O70" s="57">
        <f>VLOOKUP(K70,simboli!$A$7:$J$117,7,FALSE)</f>
        <v>650583.90629137354</v>
      </c>
      <c r="P70" s="57">
        <f>((M70-$S$42+$O$42)/N70)*L43</f>
        <v>83815.233911052317</v>
      </c>
      <c r="Q70" s="57"/>
      <c r="S70" s="47">
        <f t="shared" si="15"/>
        <v>5.5610827410216253</v>
      </c>
      <c r="T70" s="57">
        <f t="shared" si="16"/>
        <v>61043.981031095755</v>
      </c>
      <c r="U70" s="142">
        <f t="shared" si="17"/>
        <v>22771.252879956563</v>
      </c>
      <c r="V70" s="130"/>
      <c r="AA70" s="9"/>
    </row>
    <row r="71" spans="1:27" ht="12.75" customHeight="1" x14ac:dyDescent="0.15">
      <c r="A71" s="33">
        <v>885</v>
      </c>
      <c r="B71" s="34">
        <v>1</v>
      </c>
      <c r="D71" s="130"/>
      <c r="E71" s="131"/>
      <c r="F71" s="57">
        <f t="shared" ref="F71:F73" si="18">F43*A71</f>
        <v>90153.05931888253</v>
      </c>
      <c r="G71" s="57">
        <f>G70*G58*A71/A70</f>
        <v>60101.737616656406</v>
      </c>
      <c r="H71" s="132">
        <f>G71+F71</f>
        <v>150254.79693553894</v>
      </c>
      <c r="I71" s="9"/>
      <c r="K71" s="11">
        <v>43</v>
      </c>
      <c r="L71" s="1">
        <v>3</v>
      </c>
      <c r="M71" s="57">
        <f>VLOOKUP(K71,simboli!$A$7:$J$117,10,FALSE)</f>
        <v>9449.343308945914</v>
      </c>
      <c r="N71" s="57">
        <f>VLOOKUP(K71,simboli!$A$7:$J$117,6,FALSE)</f>
        <v>27435.696421406665</v>
      </c>
      <c r="O71" s="57">
        <f>VLOOKUP(K71,simboli!$A$7:$J$117,7,FALSE)</f>
        <v>622291.04178888921</v>
      </c>
      <c r="P71" s="57">
        <f>((M71-$S$42+$O$42)/N71)*L43</f>
        <v>86311.399722113012</v>
      </c>
      <c r="Q71" s="57"/>
      <c r="S71" s="47">
        <f t="shared" si="15"/>
        <v>4.703583754325888</v>
      </c>
      <c r="T71" s="57">
        <f t="shared" si="16"/>
        <v>51631.218388326277</v>
      </c>
      <c r="U71" s="142">
        <f t="shared" si="17"/>
        <v>34680.181333786735</v>
      </c>
      <c r="V71" s="130"/>
      <c r="AA71" s="9"/>
    </row>
    <row r="72" spans="1:27" ht="12.75" customHeight="1" x14ac:dyDescent="0.15">
      <c r="A72" s="33">
        <v>995</v>
      </c>
      <c r="B72" s="34">
        <v>2</v>
      </c>
      <c r="D72" s="131"/>
      <c r="E72" s="57">
        <f t="shared" ref="E72:E73" si="19">E44*A72</f>
        <v>223226.72631788606</v>
      </c>
      <c r="F72" s="57">
        <f t="shared" si="18"/>
        <v>95958.887860484159</v>
      </c>
      <c r="G72" s="57">
        <f>G71*G58*A72/A71</f>
        <v>63972.270533574854</v>
      </c>
      <c r="H72" s="132">
        <f>G72+F72+E72</f>
        <v>383157.88471194508</v>
      </c>
      <c r="I72" s="9"/>
      <c r="K72" s="11">
        <v>44</v>
      </c>
      <c r="L72" s="1">
        <v>4</v>
      </c>
      <c r="M72" s="57">
        <f>VLOOKUP(K72,simboli!$A$7:$J$117,10,FALSE)</f>
        <v>9413.9606313682525</v>
      </c>
      <c r="N72" s="57">
        <f>VLOOKUP(K72,simboli!$A$7:$J$117,6,FALSE)</f>
        <v>26601.734879227995</v>
      </c>
      <c r="O72" s="57">
        <f>VLOOKUP(K72,simboli!$A$7:$J$117,7,FALSE)</f>
        <v>594855.34536748251</v>
      </c>
      <c r="P72" s="57">
        <f>((M72-$S$42+$O$42)/N72)*L43</f>
        <v>88884.243958506398</v>
      </c>
      <c r="Q72" s="57"/>
      <c r="S72" s="47">
        <f>(O72-$P$42)/N72</f>
        <v>3.8196907087545346</v>
      </c>
      <c r="T72" s="57">
        <f t="shared" si="16"/>
        <v>41928.728276218571</v>
      </c>
      <c r="U72" s="142">
        <f t="shared" si="17"/>
        <v>46955.515682287827</v>
      </c>
      <c r="V72" s="130"/>
      <c r="AA72" s="9"/>
    </row>
    <row r="73" spans="1:27" ht="12.75" customHeight="1" x14ac:dyDescent="0.15">
      <c r="A73" s="33">
        <v>1192</v>
      </c>
      <c r="B73" s="34">
        <v>3</v>
      </c>
      <c r="C73" s="54"/>
      <c r="D73" s="57">
        <f>D45*A73</f>
        <v>310685.92162293795</v>
      </c>
      <c r="E73" s="57">
        <f t="shared" si="19"/>
        <v>253177.02473640579</v>
      </c>
      <c r="F73" s="57">
        <f t="shared" si="18"/>
        <v>108833.6783245886</v>
      </c>
      <c r="G73" s="57">
        <f>G72*G58*A73/A72</f>
        <v>72555.42105768538</v>
      </c>
      <c r="H73" s="132">
        <f>G73+F73+E73+D73</f>
        <v>745252.04574161768</v>
      </c>
      <c r="I73" s="9"/>
      <c r="K73" s="11">
        <v>45</v>
      </c>
      <c r="L73" s="1">
        <v>5</v>
      </c>
      <c r="M73" s="57">
        <f>VLOOKUP(K73,simboli!$A$7:$J$117,10,FALSE)</f>
        <v>9374.7777511624063</v>
      </c>
      <c r="N73" s="57">
        <f>VLOOKUP(K73,simboli!$A$7:$J$117,6,FALSE)</f>
        <v>25788.319028142025</v>
      </c>
      <c r="O73" s="57">
        <f>VLOOKUP(K73,simboli!$A$7:$J$117,7,FALSE)</f>
        <v>568253.61048825469</v>
      </c>
      <c r="P73" s="57">
        <f>((M73-$S$42+$O$42)/N73)*L43</f>
        <v>91535.892747728925</v>
      </c>
      <c r="Q73" s="57"/>
      <c r="S73" s="47">
        <f>(O73-$P$42)/N73</f>
        <v>2.9086294687860832</v>
      </c>
      <c r="T73" s="57">
        <f t="shared" si="16"/>
        <v>31928.013012524483</v>
      </c>
      <c r="U73" s="142">
        <f t="shared" si="17"/>
        <v>59607.879735204442</v>
      </c>
      <c r="V73" s="130"/>
      <c r="AA73" s="9"/>
    </row>
    <row r="74" spans="1:27" ht="12.75" customHeight="1" x14ac:dyDescent="0.15">
      <c r="A74" s="11"/>
      <c r="G74" s="55"/>
      <c r="H74" s="156">
        <f>H70+H71+H72+H73</f>
        <v>1345017.7273891016</v>
      </c>
      <c r="I74" s="9"/>
      <c r="K74" s="11">
        <v>46</v>
      </c>
      <c r="L74" s="1">
        <v>6</v>
      </c>
      <c r="M74" s="130">
        <f>VLOOKUP(K74,simboli!$A$7:$J$117,10,FALSE)</f>
        <v>9333.3488513570501</v>
      </c>
      <c r="N74" s="130">
        <f>VLOOKUP(K74,simboli!$A$7:$J$117,6,FALSE)</f>
        <v>24996.381832003361</v>
      </c>
      <c r="O74" s="130">
        <f>VLOOKUP(K74,simboli!$A$7:$J$117,7,FALSE)</f>
        <v>542465.29146011278</v>
      </c>
      <c r="P74" s="130">
        <f>((M74-$S$42+$O$42)/N74)*L43</f>
        <v>94270.200005775507</v>
      </c>
      <c r="Q74" s="57"/>
      <c r="S74" s="99">
        <f>(O74-$P$42)/N74</f>
        <v>1.9690988071141997</v>
      </c>
      <c r="T74" s="57">
        <f t="shared" si="16"/>
        <v>21614.789030768901</v>
      </c>
      <c r="U74" s="142">
        <f t="shared" si="17"/>
        <v>72655.410975006613</v>
      </c>
      <c r="V74" s="130"/>
      <c r="AA74" s="9"/>
    </row>
    <row r="75" spans="1:27" ht="12.75" customHeight="1" x14ac:dyDescent="0.15">
      <c r="A75" s="11"/>
      <c r="I75" s="9"/>
      <c r="K75" s="11">
        <v>47</v>
      </c>
      <c r="L75" s="1">
        <v>7</v>
      </c>
      <c r="M75" s="130">
        <f>VLOOKUP(K75,simboli!$A$7:$J$117,10,FALSE)</f>
        <v>9288.32018819925</v>
      </c>
      <c r="N75" s="130">
        <f>VLOOKUP(K75,simboli!$A$7:$J$117,6,FALSE)</f>
        <v>24223.963815565432</v>
      </c>
      <c r="O75" s="130">
        <f>VLOOKUP(K75,simboli!$A$7:$J$117,7,FALSE)</f>
        <v>517468.90962810937</v>
      </c>
      <c r="P75" s="130">
        <f>((M75-$S$42+$O$42)/N75)*L43</f>
        <v>97090.264265365928</v>
      </c>
      <c r="Q75" s="57"/>
      <c r="S75" s="99">
        <f>(O75-$P$42)/N75</f>
        <v>1.0000000000000009</v>
      </c>
      <c r="T75" s="57">
        <f t="shared" si="16"/>
        <v>10976.995645254763</v>
      </c>
      <c r="U75" s="142">
        <f t="shared" si="17"/>
        <v>86113.268620111165</v>
      </c>
      <c r="V75" s="130"/>
      <c r="AA75" s="9"/>
    </row>
    <row r="76" spans="1:27" ht="12.75" customHeight="1" x14ac:dyDescent="0.15">
      <c r="A76" s="36"/>
      <c r="B76" s="37"/>
      <c r="C76" s="37"/>
      <c r="D76" s="37"/>
      <c r="E76" s="37"/>
      <c r="F76" s="37"/>
      <c r="G76" s="37"/>
      <c r="H76" s="37"/>
      <c r="I76" s="38"/>
      <c r="K76" s="11">
        <v>48</v>
      </c>
      <c r="L76" s="1">
        <v>8</v>
      </c>
      <c r="M76" s="130">
        <f>VLOOKUP(K76,simboli!$A$7:$J$117,10,FALSE)</f>
        <v>9240.6734081588111</v>
      </c>
      <c r="N76" s="130">
        <f>VLOOKUP(K76,simboli!$A$7:$J$117,6,FALSE)</f>
        <v>23471.463704038659</v>
      </c>
      <c r="O76" s="130">
        <f>VLOOKUP(K76,simboli!$A$7:$J$117,7,FALSE)</f>
        <v>493244.94581254391</v>
      </c>
      <c r="P76" s="130">
        <f>((M76-$S$42+$O$42)/N76)*L43</f>
        <v>100000</v>
      </c>
      <c r="Q76" s="57"/>
      <c r="S76" s="99">
        <f>(O76-$P$42)/N76</f>
        <v>0</v>
      </c>
      <c r="T76" s="57">
        <f t="shared" si="16"/>
        <v>0</v>
      </c>
      <c r="U76" s="142">
        <f t="shared" si="17"/>
        <v>100000</v>
      </c>
      <c r="V76" s="130"/>
      <c r="AA76" s="9"/>
    </row>
    <row r="77" spans="1:27" ht="12.75" customHeight="1" x14ac:dyDescent="0.15">
      <c r="K77" s="183" t="s">
        <v>94</v>
      </c>
      <c r="N77" s="99"/>
      <c r="T77" s="130"/>
      <c r="U77" s="130"/>
      <c r="V77" s="130"/>
      <c r="AA77" s="9"/>
    </row>
    <row r="78" spans="1:27" ht="12.75" customHeight="1" x14ac:dyDescent="0.15">
      <c r="K78" s="183"/>
      <c r="AA78" s="9"/>
    </row>
    <row r="79" spans="1:27" ht="1.5" customHeight="1" x14ac:dyDescent="0.15">
      <c r="K79" s="11" t="s">
        <v>85</v>
      </c>
      <c r="AA79" s="9"/>
    </row>
    <row r="80" spans="1:27" ht="12.75" customHeight="1" x14ac:dyDescent="0.15">
      <c r="A80" s="180" t="s">
        <v>99</v>
      </c>
      <c r="B80" s="3"/>
      <c r="C80" s="3"/>
      <c r="D80" s="3"/>
      <c r="E80" s="3"/>
      <c r="F80" s="3"/>
      <c r="G80" s="3"/>
      <c r="H80" s="3"/>
      <c r="I80" s="4"/>
      <c r="K80" s="11" t="s">
        <v>85</v>
      </c>
      <c r="L80" s="1" t="s">
        <v>86</v>
      </c>
      <c r="M80" s="1" t="s">
        <v>95</v>
      </c>
      <c r="N80" s="1" t="s">
        <v>136</v>
      </c>
      <c r="O80" s="29" t="s">
        <v>96</v>
      </c>
      <c r="P80" s="29" t="s">
        <v>97</v>
      </c>
      <c r="Q80" s="1" t="s">
        <v>98</v>
      </c>
      <c r="R80" s="1"/>
      <c r="AA80" s="9"/>
    </row>
    <row r="81" spans="1:27" ht="12.75" customHeight="1" x14ac:dyDescent="0.15">
      <c r="A81" s="180"/>
      <c r="I81" s="9"/>
      <c r="K81" s="11">
        <v>40</v>
      </c>
      <c r="L81" s="1">
        <v>0</v>
      </c>
      <c r="M81" s="143">
        <f t="shared" ref="M81:M84" si="20">$L$43-U69*$X$42</f>
        <v>88949.313213483445</v>
      </c>
      <c r="N81" s="42">
        <f>simboli!D48</f>
        <v>1.0089686098654709</v>
      </c>
      <c r="O81" s="56">
        <f>N81/1000*M81*$X$42</f>
        <v>88.43041067675577</v>
      </c>
      <c r="P81" s="142">
        <f t="shared" ref="P81:P84" si="21">U69*$X$41-U68</f>
        <v>10888.565234578053</v>
      </c>
      <c r="Q81" s="57">
        <f t="shared" ref="Q81:Q88" si="22">O81+P81</f>
        <v>10976.995645254809</v>
      </c>
      <c r="AA81" s="9"/>
    </row>
    <row r="82" spans="1:27" ht="12.75" customHeight="1" x14ac:dyDescent="0.15">
      <c r="A82" s="8" t="s">
        <v>100</v>
      </c>
      <c r="B82" s="57">
        <v>50000</v>
      </c>
      <c r="C82" s="57"/>
      <c r="D82" s="57" t="s">
        <v>101</v>
      </c>
      <c r="E82" s="57">
        <f>B82-B83*B82</f>
        <v>48000</v>
      </c>
      <c r="F82" s="57"/>
      <c r="I82" s="9"/>
      <c r="K82" s="11">
        <v>41</v>
      </c>
      <c r="L82" s="1">
        <v>1</v>
      </c>
      <c r="M82" s="143">
        <f t="shared" si="20"/>
        <v>77562.817836895818</v>
      </c>
      <c r="N82" s="42">
        <f>simboli!D49</f>
        <v>1.1018047153161057</v>
      </c>
      <c r="O82" s="56">
        <f t="shared" ref="O82:O88" si="23">N82/1000*M82*$X$42</f>
        <v>84.205332057973777</v>
      </c>
      <c r="P82" s="142">
        <f t="shared" si="21"/>
        <v>10892.790313196801</v>
      </c>
      <c r="Q82" s="57">
        <f t="shared" si="22"/>
        <v>10976.995645254776</v>
      </c>
      <c r="AA82" s="9"/>
    </row>
    <row r="83" spans="1:27" ht="12.75" customHeight="1" x14ac:dyDescent="0.15">
      <c r="A83" s="8" t="s">
        <v>35</v>
      </c>
      <c r="B83" s="57">
        <v>0.04</v>
      </c>
      <c r="C83" s="57"/>
      <c r="D83" s="57"/>
      <c r="E83" s="57"/>
      <c r="F83" s="57"/>
      <c r="I83" s="9"/>
      <c r="K83" s="11">
        <v>42</v>
      </c>
      <c r="L83" s="1">
        <v>2</v>
      </c>
      <c r="M83" s="143">
        <f t="shared" si="20"/>
        <v>65828.601959773121</v>
      </c>
      <c r="N83" s="42">
        <f>simboli!D50</f>
        <v>1.2051515120566216</v>
      </c>
      <c r="O83" s="56">
        <f t="shared" si="23"/>
        <v>78.169560369791171</v>
      </c>
      <c r="P83" s="142">
        <f t="shared" si="21"/>
        <v>10898.826084884931</v>
      </c>
      <c r="Q83" s="57">
        <f t="shared" si="22"/>
        <v>10976.995645254723</v>
      </c>
      <c r="AA83" s="9"/>
    </row>
    <row r="84" spans="1:27" ht="12.75" customHeight="1" x14ac:dyDescent="0.15">
      <c r="A84" s="8"/>
      <c r="B84" s="57"/>
      <c r="C84" s="57"/>
      <c r="D84" s="57" t="s">
        <v>125</v>
      </c>
      <c r="E84" s="57"/>
      <c r="F84" s="57"/>
      <c r="I84" s="9"/>
      <c r="K84" s="11">
        <v>43</v>
      </c>
      <c r="L84" s="1">
        <v>3</v>
      </c>
      <c r="M84" s="143">
        <f t="shared" si="20"/>
        <v>53733.355626939185</v>
      </c>
      <c r="N84" s="42">
        <f>simboli!D51</f>
        <v>1.3088603711846207</v>
      </c>
      <c r="O84" s="56">
        <f t="shared" si="23"/>
        <v>69.297675849423456</v>
      </c>
      <c r="P84" s="142">
        <f t="shared" si="21"/>
        <v>10907.69796940533</v>
      </c>
      <c r="Q84" s="57">
        <f t="shared" si="22"/>
        <v>10976.995645254754</v>
      </c>
      <c r="AA84" s="9"/>
    </row>
    <row r="85" spans="1:27" ht="12.75" customHeight="1" x14ac:dyDescent="0.15">
      <c r="A85" s="8" t="s">
        <v>102</v>
      </c>
      <c r="B85" s="23">
        <v>0.2</v>
      </c>
      <c r="C85" s="23"/>
      <c r="D85" s="57"/>
      <c r="E85" s="57">
        <f>B85*E82</f>
        <v>9600</v>
      </c>
      <c r="F85" s="57"/>
      <c r="I85" s="9"/>
      <c r="K85" s="11">
        <v>44</v>
      </c>
      <c r="L85" s="1">
        <v>4</v>
      </c>
      <c r="M85" s="143">
        <f>$L$43-U73*$X$42</f>
        <v>41266.610887607007</v>
      </c>
      <c r="N85" s="42">
        <f>simboli!D52</f>
        <v>1.4948754441111121</v>
      </c>
      <c r="O85" s="56">
        <f t="shared" si="23"/>
        <v>60.783429285768939</v>
      </c>
      <c r="P85" s="142">
        <f>U73*$X$41-U72</f>
        <v>10916.212215968917</v>
      </c>
      <c r="Q85" s="57">
        <f t="shared" si="22"/>
        <v>10976.995645254687</v>
      </c>
      <c r="AA85" s="9"/>
    </row>
    <row r="86" spans="1:27" ht="12.75" customHeight="1" x14ac:dyDescent="0.15">
      <c r="A86" s="8" t="s">
        <v>103</v>
      </c>
      <c r="B86" s="23">
        <v>0.5</v>
      </c>
      <c r="C86" s="23"/>
      <c r="D86" s="57"/>
      <c r="E86" s="57">
        <f>B86*E82</f>
        <v>24000</v>
      </c>
      <c r="F86" s="57"/>
      <c r="I86" s="9"/>
      <c r="K86" s="11">
        <v>45</v>
      </c>
      <c r="L86" s="1">
        <v>5</v>
      </c>
      <c r="M86" s="143">
        <f>$L$43-U74*$X$42</f>
        <v>28410.496349266672</v>
      </c>
      <c r="N86" s="42">
        <f>simboli!D53</f>
        <v>1.6304180638016428</v>
      </c>
      <c r="O86" s="56">
        <f t="shared" si="23"/>
        <v>45.641424142060096</v>
      </c>
      <c r="P86" s="142">
        <f>U74*$X$41-U73</f>
        <v>10931.354221112655</v>
      </c>
      <c r="Q86" s="57">
        <f t="shared" si="22"/>
        <v>10976.995645254716</v>
      </c>
      <c r="AA86" s="9"/>
    </row>
    <row r="87" spans="1:27" ht="12.75" customHeight="1" x14ac:dyDescent="0.15">
      <c r="A87" s="8" t="s">
        <v>123</v>
      </c>
      <c r="B87" s="23">
        <v>0.3</v>
      </c>
      <c r="C87" s="23"/>
      <c r="D87" s="57"/>
      <c r="E87" s="57">
        <f>B87*E82</f>
        <v>14400</v>
      </c>
      <c r="F87" s="57"/>
      <c r="I87" s="9"/>
      <c r="K87" s="11">
        <v>46</v>
      </c>
      <c r="L87" s="1">
        <v>6</v>
      </c>
      <c r="M87" s="143">
        <f>$L$43-U75*$X$42</f>
        <v>15150.075190177988</v>
      </c>
      <c r="N87" s="42">
        <f>simboli!D54</f>
        <v>1.8282286723773133</v>
      </c>
      <c r="O87" s="56">
        <f t="shared" si="23"/>
        <v>27.291455104933814</v>
      </c>
      <c r="P87" s="142">
        <f>U75*$X$41-U74</f>
        <v>10949.70419014986</v>
      </c>
      <c r="Q87" s="57">
        <f t="shared" si="22"/>
        <v>10976.995645254794</v>
      </c>
      <c r="AA87" s="9"/>
    </row>
    <row r="88" spans="1:27" ht="12.75" customHeight="1" x14ac:dyDescent="0.15">
      <c r="A88" s="8"/>
      <c r="B88" s="57"/>
      <c r="I88" s="9"/>
      <c r="K88" s="11">
        <v>47</v>
      </c>
      <c r="L88" s="1">
        <v>7</v>
      </c>
      <c r="M88" s="143">
        <f>$L$43-U76*$X$42</f>
        <v>1467.072183570679</v>
      </c>
      <c r="N88" s="42">
        <f>simboli!D55</f>
        <v>1.9962133684557126</v>
      </c>
      <c r="O88" s="56">
        <f t="shared" si="23"/>
        <v>2.8856245891978767</v>
      </c>
      <c r="P88" s="142">
        <f>U76*$X$41-U75</f>
        <v>10974.110020665539</v>
      </c>
      <c r="Q88" s="57">
        <f t="shared" si="22"/>
        <v>10976.995645254738</v>
      </c>
      <c r="AA88" s="9"/>
    </row>
    <row r="89" spans="1:27" ht="12.75" customHeight="1" x14ac:dyDescent="0.15">
      <c r="A89" s="8" t="s">
        <v>126</v>
      </c>
      <c r="B89" s="58">
        <v>11.5</v>
      </c>
      <c r="D89" s="1" t="s">
        <v>104</v>
      </c>
      <c r="G89" s="26">
        <f t="shared" ref="G89:G90" si="24">E85/B89</f>
        <v>834.78260869565213</v>
      </c>
      <c r="I89" s="9"/>
      <c r="K89" s="8">
        <v>48</v>
      </c>
      <c r="L89" s="1">
        <v>8</v>
      </c>
      <c r="M89" s="143">
        <f>$L$43-U77*$X$42</f>
        <v>100000</v>
      </c>
      <c r="N89" s="42">
        <f>simboli!D56</f>
        <v>2.1857923497267762</v>
      </c>
      <c r="O89" s="56"/>
      <c r="AA89" s="9"/>
    </row>
    <row r="90" spans="1:27" ht="12.75" customHeight="1" x14ac:dyDescent="0.15">
      <c r="A90" s="8" t="s">
        <v>127</v>
      </c>
      <c r="B90" s="58">
        <v>18</v>
      </c>
      <c r="D90" s="1" t="s">
        <v>106</v>
      </c>
      <c r="G90" s="26">
        <f t="shared" si="24"/>
        <v>1333.3333333333333</v>
      </c>
      <c r="H90" s="23"/>
      <c r="I90" s="9"/>
      <c r="K90" s="173" t="s">
        <v>105</v>
      </c>
      <c r="AA90" s="9"/>
    </row>
    <row r="91" spans="1:27" ht="12.75" customHeight="1" x14ac:dyDescent="0.15">
      <c r="A91" s="8" t="s">
        <v>128</v>
      </c>
      <c r="B91" s="58">
        <v>35.4</v>
      </c>
      <c r="D91" s="74" t="s">
        <v>124</v>
      </c>
      <c r="E91" s="74"/>
      <c r="G91">
        <f>E87/B91</f>
        <v>406.77966101694915</v>
      </c>
      <c r="I91" s="9"/>
      <c r="K91" s="11" t="s">
        <v>85</v>
      </c>
      <c r="L91" s="1" t="s">
        <v>86</v>
      </c>
      <c r="M91" s="1" t="s">
        <v>107</v>
      </c>
      <c r="N91" s="1" t="s">
        <v>108</v>
      </c>
      <c r="O91" s="92" t="s">
        <v>137</v>
      </c>
      <c r="P91" s="1" t="s">
        <v>138</v>
      </c>
      <c r="Q91" s="1" t="s">
        <v>139</v>
      </c>
      <c r="R91" s="59" t="s">
        <v>109</v>
      </c>
      <c r="AA91" s="9"/>
    </row>
    <row r="92" spans="1:27" ht="12.75" customHeight="1" x14ac:dyDescent="0.15">
      <c r="A92" s="8"/>
      <c r="B92" s="58"/>
      <c r="I92" s="9"/>
      <c r="K92" s="11">
        <v>40</v>
      </c>
      <c r="L92" s="1">
        <v>0</v>
      </c>
      <c r="M92" s="26">
        <f t="shared" ref="M92:M95" si="25">N68/$O$41</f>
        <v>1</v>
      </c>
      <c r="N92" s="26">
        <f t="shared" ref="N92:N95" si="26">N81/1000</f>
        <v>1.0089686098654709E-3</v>
      </c>
      <c r="O92" s="26">
        <f t="shared" ref="O92:O99" si="27">1-(N81/1000)</f>
        <v>0.99899103139013457</v>
      </c>
      <c r="P92" s="26">
        <f t="shared" ref="P92:P97" si="28">N92*$X$42*$L$43</f>
        <v>99.416631204917479</v>
      </c>
      <c r="Q92" s="26">
        <v>0</v>
      </c>
      <c r="R92" s="93">
        <f t="shared" ref="R92:R97" si="29">P92+Q92</f>
        <v>99.416631204917479</v>
      </c>
      <c r="AA92" s="9"/>
    </row>
    <row r="93" spans="1:27" ht="12.75" customHeight="1" x14ac:dyDescent="0.15">
      <c r="A93" s="8"/>
      <c r="B93" s="57"/>
      <c r="C93" s="74" t="s">
        <v>132</v>
      </c>
      <c r="I93" s="9"/>
      <c r="K93" s="11">
        <v>41</v>
      </c>
      <c r="L93" s="1">
        <v>1</v>
      </c>
      <c r="M93" s="26">
        <f t="shared" si="25"/>
        <v>0.96989420523314018</v>
      </c>
      <c r="N93" s="26">
        <f t="shared" si="26"/>
        <v>1.1018047153161057E-3</v>
      </c>
      <c r="O93" s="26">
        <f t="shared" si="27"/>
        <v>0.99889819528468393</v>
      </c>
      <c r="P93" s="26">
        <f t="shared" si="28"/>
        <v>108.5640444820433</v>
      </c>
      <c r="Q93" s="26">
        <v>0</v>
      </c>
      <c r="R93" s="93">
        <f t="shared" si="29"/>
        <v>108.5640444820433</v>
      </c>
      <c r="AA93" s="9"/>
    </row>
    <row r="94" spans="1:27" ht="12.75" customHeight="1" x14ac:dyDescent="0.15">
      <c r="A94" s="8" t="s">
        <v>129</v>
      </c>
      <c r="B94" s="58">
        <v>8</v>
      </c>
      <c r="C94" s="130">
        <f>G89*B94</f>
        <v>6678.260869565217</v>
      </c>
      <c r="G94" s="26"/>
      <c r="I94" s="9"/>
      <c r="K94" s="11">
        <v>42</v>
      </c>
      <c r="L94" s="1">
        <v>2</v>
      </c>
      <c r="M94" s="26">
        <f t="shared" si="25"/>
        <v>0.94060735070335588</v>
      </c>
      <c r="N94" s="26">
        <f t="shared" si="26"/>
        <v>1.2051515120566217E-3</v>
      </c>
      <c r="O94" s="26">
        <f t="shared" si="27"/>
        <v>0.99879484848794342</v>
      </c>
      <c r="P94" s="26">
        <f t="shared" si="28"/>
        <v>118.74710694533576</v>
      </c>
      <c r="Q94" s="26">
        <v>0</v>
      </c>
      <c r="R94" s="93">
        <f t="shared" si="29"/>
        <v>118.74710694533576</v>
      </c>
      <c r="AA94" s="9"/>
    </row>
    <row r="95" spans="1:27" ht="12.75" customHeight="1" x14ac:dyDescent="0.15">
      <c r="A95" s="8" t="s">
        <v>130</v>
      </c>
      <c r="B95" s="58">
        <v>17.5</v>
      </c>
      <c r="C95" s="130">
        <f>G90*B95</f>
        <v>23333.333333333332</v>
      </c>
      <c r="G95" s="26"/>
      <c r="I95" s="9"/>
      <c r="K95" s="11">
        <v>43</v>
      </c>
      <c r="L95" s="1">
        <v>3</v>
      </c>
      <c r="M95" s="26">
        <f t="shared" si="25"/>
        <v>0.91211046245864491</v>
      </c>
      <c r="N95" s="26">
        <f t="shared" si="26"/>
        <v>1.3088603711846208E-3</v>
      </c>
      <c r="O95" s="26">
        <f t="shared" si="27"/>
        <v>0.99869113962881539</v>
      </c>
      <c r="P95" s="26">
        <f t="shared" si="28"/>
        <v>128.96584447571914</v>
      </c>
      <c r="Q95" s="26">
        <v>0</v>
      </c>
      <c r="R95" s="93">
        <f t="shared" si="29"/>
        <v>128.96584447571914</v>
      </c>
      <c r="AA95" s="9"/>
    </row>
    <row r="96" spans="1:27" ht="12.75" customHeight="1" x14ac:dyDescent="0.15">
      <c r="A96" s="8" t="s">
        <v>131</v>
      </c>
      <c r="B96" s="126">
        <f>C96/G91</f>
        <v>49.138164251207733</v>
      </c>
      <c r="C96" s="91">
        <f>B82-C94-C95</f>
        <v>19988.405797101452</v>
      </c>
      <c r="I96" s="9"/>
      <c r="K96" s="11">
        <v>44</v>
      </c>
      <c r="L96" s="1">
        <v>4</v>
      </c>
      <c r="M96" s="26">
        <f>N72/$O$41</f>
        <v>0.88438508467979604</v>
      </c>
      <c r="N96" s="26">
        <f>N85/1000</f>
        <v>1.4948754441111121E-3</v>
      </c>
      <c r="O96" s="26">
        <f t="shared" si="27"/>
        <v>0.99850512455588891</v>
      </c>
      <c r="P96" s="26">
        <f t="shared" si="28"/>
        <v>147.29445422915293</v>
      </c>
      <c r="Q96" s="26">
        <v>0</v>
      </c>
      <c r="R96" s="128">
        <f t="shared" si="29"/>
        <v>147.29445422915293</v>
      </c>
      <c r="AA96" s="9"/>
    </row>
    <row r="97" spans="1:27" ht="12.75" customHeight="1" x14ac:dyDescent="0.15">
      <c r="A97" s="76"/>
      <c r="C97" s="130"/>
      <c r="I97" s="9"/>
      <c r="K97" s="11">
        <v>45</v>
      </c>
      <c r="L97" s="1">
        <v>5</v>
      </c>
      <c r="M97" s="26">
        <f>N73/$O$41</f>
        <v>0.8573427564403594</v>
      </c>
      <c r="N97" s="90">
        <f>N86/1000</f>
        <v>1.6304180638016428E-3</v>
      </c>
      <c r="O97" s="26">
        <f t="shared" si="27"/>
        <v>0.9983695819361984</v>
      </c>
      <c r="P97" s="26">
        <f t="shared" si="28"/>
        <v>160.64986539116973</v>
      </c>
      <c r="Q97" s="26">
        <v>0</v>
      </c>
      <c r="R97" s="93">
        <f t="shared" si="29"/>
        <v>160.64986539116973</v>
      </c>
      <c r="AA97" s="9"/>
    </row>
    <row r="98" spans="1:27" ht="12.75" customHeight="1" x14ac:dyDescent="0.15">
      <c r="B98" s="26"/>
      <c r="I98" s="9"/>
      <c r="K98" s="11">
        <v>46</v>
      </c>
      <c r="L98" s="1">
        <v>6</v>
      </c>
      <c r="M98" s="90">
        <f>N74/$O$41</f>
        <v>0.83101449448872766</v>
      </c>
      <c r="N98" s="90">
        <f>N87/1000</f>
        <v>1.8282286723773134E-3</v>
      </c>
      <c r="O98" s="90">
        <f t="shared" si="27"/>
        <v>0.99817177132762269</v>
      </c>
      <c r="P98" s="26">
        <f>N98*$X$42*$L$43</f>
        <v>180.14072380728021</v>
      </c>
      <c r="Q98" s="26">
        <v>0</v>
      </c>
      <c r="R98" s="93">
        <f>P98+Q98</f>
        <v>180.14072380728021</v>
      </c>
      <c r="AA98" s="9"/>
    </row>
    <row r="99" spans="1:27" ht="12.75" customHeight="1" x14ac:dyDescent="0.15">
      <c r="B99" s="26"/>
      <c r="I99" s="9"/>
      <c r="K99" s="11">
        <v>47</v>
      </c>
      <c r="L99" s="1">
        <v>7</v>
      </c>
      <c r="M99" s="90">
        <f>N75/$O$41</f>
        <v>0.80533515530363309</v>
      </c>
      <c r="N99" s="90">
        <f>N88/1000</f>
        <v>1.9962133684557127E-3</v>
      </c>
      <c r="O99" s="90">
        <f t="shared" si="27"/>
        <v>0.99800378663154432</v>
      </c>
      <c r="P99" s="90">
        <f>N99*$X$42*$L$43</f>
        <v>196.69274774023796</v>
      </c>
      <c r="Q99" s="157">
        <f>L43*(1-N99)*X41</f>
        <v>96893.571517625664</v>
      </c>
      <c r="R99" s="158">
        <f>P99+Q99</f>
        <v>97090.264265365899</v>
      </c>
      <c r="AA99" s="9"/>
    </row>
    <row r="100" spans="1:27" ht="12.75" customHeight="1" x14ac:dyDescent="0.15">
      <c r="A100" s="179" t="s">
        <v>134</v>
      </c>
      <c r="I100" s="9"/>
      <c r="K100" s="11"/>
      <c r="L100" s="1"/>
      <c r="M100" s="90"/>
      <c r="N100" s="90"/>
      <c r="O100" s="26"/>
      <c r="P100" s="90"/>
      <c r="Q100" s="157"/>
      <c r="R100" s="157"/>
      <c r="AA100" s="9"/>
    </row>
    <row r="101" spans="1:27" ht="12.75" customHeight="1" x14ac:dyDescent="0.15">
      <c r="A101" s="179"/>
      <c r="I101" s="9"/>
      <c r="K101" s="11"/>
      <c r="AA101" s="9"/>
    </row>
    <row r="102" spans="1:27" ht="12.75" customHeight="1" x14ac:dyDescent="0.15">
      <c r="A102" s="179"/>
      <c r="B102" s="26"/>
      <c r="I102" s="9"/>
      <c r="K102" s="11"/>
      <c r="M102" s="29" t="s">
        <v>110</v>
      </c>
      <c r="N102" s="50">
        <f>SUMPRODUCT(R92:R99,M92:M99)/SUM(M92:M99)</f>
        <v>10976.995645254747</v>
      </c>
      <c r="O102" s="1" t="s">
        <v>111</v>
      </c>
      <c r="AA102" s="9"/>
    </row>
    <row r="103" spans="1:27" ht="12.75" customHeight="1" x14ac:dyDescent="0.15">
      <c r="A103" s="179"/>
      <c r="I103" s="9"/>
      <c r="K103" s="60"/>
      <c r="AA103" s="9"/>
    </row>
    <row r="104" spans="1:27" ht="12.75" customHeight="1" x14ac:dyDescent="0.15">
      <c r="A104" s="179"/>
      <c r="B104" s="129">
        <f>B96</f>
        <v>49.138164251207733</v>
      </c>
      <c r="I104" s="9"/>
      <c r="K104" s="11"/>
      <c r="N104" s="1"/>
      <c r="O104" s="41"/>
      <c r="AA104" s="9"/>
    </row>
    <row r="105" spans="1:27" ht="12.75" customHeight="1" x14ac:dyDescent="0.15">
      <c r="A105" s="36"/>
      <c r="B105" s="37"/>
      <c r="C105" s="37"/>
      <c r="D105" s="37"/>
      <c r="E105" s="37"/>
      <c r="F105" s="37"/>
      <c r="G105" s="37"/>
      <c r="H105" s="37"/>
      <c r="I105" s="38"/>
      <c r="K105" s="11" t="s">
        <v>112</v>
      </c>
      <c r="L105" s="41">
        <v>0.85</v>
      </c>
      <c r="N105" s="1"/>
      <c r="O105" s="41"/>
      <c r="AA105" s="9"/>
    </row>
    <row r="106" spans="1:27" ht="12.75" customHeight="1" x14ac:dyDescent="0.15">
      <c r="K106" s="11" t="s">
        <v>113</v>
      </c>
      <c r="L106" s="1">
        <v>8</v>
      </c>
      <c r="AA106" s="9"/>
    </row>
    <row r="107" spans="1:27" ht="12.75" customHeight="1" x14ac:dyDescent="0.15">
      <c r="K107" s="11" t="s">
        <v>8</v>
      </c>
      <c r="L107" s="94">
        <v>0.03</v>
      </c>
      <c r="AA107" s="9"/>
    </row>
    <row r="108" spans="1:27" ht="12.75" customHeight="1" x14ac:dyDescent="0.15">
      <c r="K108" s="61" t="s">
        <v>114</v>
      </c>
      <c r="L108" s="62">
        <f>L43/L106</f>
        <v>12500</v>
      </c>
      <c r="AA108" s="9"/>
    </row>
    <row r="109" spans="1:27" ht="12.75" customHeight="1" x14ac:dyDescent="0.15">
      <c r="K109" s="11"/>
      <c r="AA109" s="9"/>
    </row>
    <row r="110" spans="1:27" ht="12.75" customHeight="1" x14ac:dyDescent="0.15">
      <c r="K110" s="63" t="s">
        <v>21</v>
      </c>
      <c r="AA110" s="9"/>
    </row>
    <row r="111" spans="1:27" ht="12.75" customHeight="1" x14ac:dyDescent="0.15">
      <c r="K111" s="16" t="s">
        <v>26</v>
      </c>
      <c r="L111" s="16">
        <v>1</v>
      </c>
      <c r="M111" s="16">
        <f t="shared" ref="M111:P111" si="30">1+L111</f>
        <v>2</v>
      </c>
      <c r="N111" s="16">
        <f t="shared" si="30"/>
        <v>3</v>
      </c>
      <c r="O111" s="16">
        <f t="shared" si="30"/>
        <v>4</v>
      </c>
      <c r="P111" s="96">
        <f t="shared" si="30"/>
        <v>5</v>
      </c>
      <c r="Q111" s="95">
        <v>6</v>
      </c>
      <c r="R111" s="95">
        <v>7</v>
      </c>
      <c r="S111" s="95">
        <v>8</v>
      </c>
      <c r="AA111" s="9"/>
    </row>
    <row r="112" spans="1:27" ht="12.75" customHeight="1" x14ac:dyDescent="0.15">
      <c r="K112" s="16" t="s">
        <v>28</v>
      </c>
      <c r="L112" s="21">
        <v>4.2000000000000003E-2</v>
      </c>
      <c r="M112" s="21">
        <v>0.04</v>
      </c>
      <c r="N112" s="21">
        <v>3.7999999999999999E-2</v>
      </c>
      <c r="O112" s="21">
        <v>3.5000000000000003E-2</v>
      </c>
      <c r="P112" s="97">
        <v>0.03</v>
      </c>
      <c r="Q112" s="102">
        <v>0.04</v>
      </c>
      <c r="R112" s="98">
        <v>4.4999999999999998E-2</v>
      </c>
      <c r="S112" s="101">
        <v>0.04</v>
      </c>
      <c r="AA112" s="9"/>
    </row>
    <row r="113" spans="11:27" ht="12.75" customHeight="1" x14ac:dyDescent="0.15">
      <c r="K113" s="119" t="s">
        <v>115</v>
      </c>
      <c r="L113" s="118">
        <f t="shared" ref="L113:S113" si="31">(L112*$L$105-$L$107)/(1+$L$107)</f>
        <v>5.5339805825242753E-3</v>
      </c>
      <c r="M113" s="118">
        <f t="shared" si="31"/>
        <v>3.8834951456310713E-3</v>
      </c>
      <c r="N113" s="118">
        <f t="shared" si="31"/>
        <v>2.2330097087378607E-3</v>
      </c>
      <c r="O113" s="118">
        <f t="shared" si="31"/>
        <v>-2.4271844660193859E-4</v>
      </c>
      <c r="P113" s="118">
        <f t="shared" si="31"/>
        <v>-4.3689320388349516E-3</v>
      </c>
      <c r="Q113" s="103">
        <f t="shared" si="31"/>
        <v>3.8834951456310713E-3</v>
      </c>
      <c r="R113" s="117">
        <f t="shared" si="31"/>
        <v>8.0097087378640779E-3</v>
      </c>
      <c r="S113" s="117">
        <f t="shared" si="31"/>
        <v>3.8834951456310713E-3</v>
      </c>
      <c r="AA113" s="9"/>
    </row>
    <row r="114" spans="11:27" ht="12.75" customHeight="1" x14ac:dyDescent="0.15">
      <c r="K114" s="11"/>
      <c r="AA114" s="9"/>
    </row>
    <row r="115" spans="11:27" ht="12.75" customHeight="1" x14ac:dyDescent="0.15">
      <c r="K115" s="178" t="s">
        <v>116</v>
      </c>
      <c r="AA115" s="9"/>
    </row>
    <row r="116" spans="11:27" ht="12.75" customHeight="1" x14ac:dyDescent="0.2">
      <c r="K116" s="64" t="s">
        <v>26</v>
      </c>
      <c r="L116" s="109">
        <v>0</v>
      </c>
      <c r="M116" s="109">
        <v>1</v>
      </c>
      <c r="N116" s="109">
        <v>2</v>
      </c>
      <c r="O116" s="109">
        <v>3</v>
      </c>
      <c r="P116" s="109">
        <v>4</v>
      </c>
      <c r="Q116" s="109">
        <v>5</v>
      </c>
      <c r="R116" s="109">
        <v>6</v>
      </c>
      <c r="S116" s="109">
        <v>7</v>
      </c>
      <c r="T116" s="109">
        <v>8</v>
      </c>
      <c r="U116" s="65"/>
      <c r="V116" s="65"/>
      <c r="AA116" s="9"/>
    </row>
    <row r="117" spans="11:27" ht="12.75" customHeight="1" x14ac:dyDescent="0.2">
      <c r="K117" s="66" t="s">
        <v>117</v>
      </c>
      <c r="L117" s="110">
        <f>M61</f>
        <v>10976.995645254754</v>
      </c>
      <c r="M117" s="111">
        <f t="shared" ref="M117:O117" si="32">L117*(1+L113)</f>
        <v>11037.742126010047</v>
      </c>
      <c r="N117" s="111">
        <f t="shared" si="32"/>
        <v>11080.607143975134</v>
      </c>
      <c r="O117" s="111">
        <f t="shared" si="32"/>
        <v>11105.350247306342</v>
      </c>
      <c r="P117" s="111">
        <f>O117*(1+O113)</f>
        <v>11102.654773945345</v>
      </c>
      <c r="Q117" s="112">
        <f>P117*(1+P113)</f>
        <v>11054.148029787331</v>
      </c>
      <c r="R117" s="104">
        <f>Q117*(1+Q113)</f>
        <v>11097.076760000096</v>
      </c>
      <c r="S117" s="105">
        <f>R117*(1+R113)</f>
        <v>11185.961112689418</v>
      </c>
      <c r="T117" s="108">
        <f>S117*(1+S113)</f>
        <v>11229.401738369765</v>
      </c>
      <c r="U117" s="67"/>
      <c r="V117" s="67"/>
      <c r="AA117" s="9"/>
    </row>
    <row r="118" spans="11:27" ht="12.75" customHeight="1" x14ac:dyDescent="0.2">
      <c r="K118" s="68" t="s">
        <v>118</v>
      </c>
      <c r="L118" s="113">
        <f>L43</f>
        <v>100000</v>
      </c>
      <c r="M118" s="114">
        <f t="shared" ref="M118:P118" si="33">L118*(1+L113)</f>
        <v>100553.39805825242</v>
      </c>
      <c r="N118" s="114">
        <f t="shared" si="33"/>
        <v>100943.89669148835</v>
      </c>
      <c r="O118" s="114">
        <f t="shared" si="33"/>
        <v>101169.30539283829</v>
      </c>
      <c r="P118" s="114">
        <f t="shared" si="33"/>
        <v>101144.74973618954</v>
      </c>
      <c r="Q118" s="114">
        <f>P118*(1+P113)</f>
        <v>100702.85519850715</v>
      </c>
      <c r="R118" s="106">
        <f>Q118*(1+Q113)</f>
        <v>101093.93424782174</v>
      </c>
      <c r="S118" s="107">
        <f>R118*(1+R113)</f>
        <v>101903.66721631159</v>
      </c>
      <c r="T118" s="115">
        <f>S118*(1+S113)</f>
        <v>102299.40961326813</v>
      </c>
      <c r="U118" s="69"/>
      <c r="V118" s="69"/>
      <c r="AA118" s="9"/>
    </row>
    <row r="119" spans="11:27" ht="12.75" customHeight="1" x14ac:dyDescent="0.15">
      <c r="K119" s="11"/>
      <c r="L119" s="23"/>
      <c r="AA119" s="9"/>
    </row>
    <row r="120" spans="11:27" ht="12.75" customHeight="1" x14ac:dyDescent="0.15">
      <c r="K120" s="11"/>
      <c r="L120" s="23"/>
      <c r="AA120" s="9"/>
    </row>
    <row r="121" spans="11:27" ht="12.75" customHeight="1" x14ac:dyDescent="0.15">
      <c r="K121" s="178" t="s">
        <v>119</v>
      </c>
      <c r="AA121" s="9"/>
    </row>
    <row r="122" spans="11:27" ht="12.75" customHeight="1" x14ac:dyDescent="0.15">
      <c r="K122" s="36" t="s">
        <v>26</v>
      </c>
      <c r="L122" s="37">
        <v>0</v>
      </c>
      <c r="M122" s="37">
        <v>1</v>
      </c>
      <c r="N122" s="37">
        <v>2</v>
      </c>
      <c r="O122" s="37">
        <v>3</v>
      </c>
      <c r="P122" s="37">
        <v>4</v>
      </c>
      <c r="Q122" s="37">
        <v>5</v>
      </c>
      <c r="R122" s="116">
        <v>6</v>
      </c>
      <c r="S122" s="116">
        <v>7</v>
      </c>
      <c r="T122" s="116">
        <v>8</v>
      </c>
      <c r="AA122" s="9"/>
    </row>
    <row r="123" spans="11:27" ht="12.75" customHeight="1" x14ac:dyDescent="0.15">
      <c r="K123" s="11"/>
      <c r="AA123" s="9"/>
    </row>
    <row r="124" spans="11:27" ht="12.75" customHeight="1" x14ac:dyDescent="0.15">
      <c r="K124" s="11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AA124" s="9"/>
    </row>
    <row r="125" spans="11:27" ht="12.75" customHeight="1" x14ac:dyDescent="0.15">
      <c r="K125" s="70" t="s">
        <v>120</v>
      </c>
      <c r="L125" s="144">
        <f>L43</f>
        <v>100000</v>
      </c>
      <c r="M125" s="144">
        <f t="shared" ref="M125:P125" si="34">L125*(1+L113)-$L$125*(($L$106-L111)/$L$106)*L113</f>
        <v>100069.17475728155</v>
      </c>
      <c r="N125" s="144">
        <f t="shared" si="34"/>
        <v>100166.53077575643</v>
      </c>
      <c r="O125" s="144">
        <f t="shared" si="34"/>
        <v>100250.64050467317</v>
      </c>
      <c r="P125" s="144">
        <f t="shared" si="34"/>
        <v>100238.44374726912</v>
      </c>
      <c r="Q125" s="144">
        <f>P125*(1+P113)-$L$125*(($L$106-P111)/$L$106)*P113</f>
        <v>99964.343750315034</v>
      </c>
      <c r="R125" s="145">
        <f>Q125*(1+Q113)-$L$125*(($L$106-Q111)/$L$106)*Q113</f>
        <v>100255.46741536479</v>
      </c>
      <c r="S125" s="145">
        <f>R125*(1+R113)-$L$125*(($L$106-R111)/$L$106)*R113</f>
        <v>100958.363149517</v>
      </c>
      <c r="T125" s="146">
        <f>S125*(1+S113)-$L$125*(($L$106-S111)/$L$106)*S113</f>
        <v>101350.434462719</v>
      </c>
      <c r="U125" s="130"/>
      <c r="AA125" s="9"/>
    </row>
    <row r="126" spans="11:27" ht="12.75" customHeight="1" x14ac:dyDescent="0.15">
      <c r="K126" s="11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AA126" s="9"/>
    </row>
    <row r="127" spans="11:27" ht="12.75" customHeight="1" x14ac:dyDescent="0.15">
      <c r="K127" s="11"/>
      <c r="AA127" s="9"/>
    </row>
    <row r="128" spans="11:27" ht="12.75" customHeight="1" x14ac:dyDescent="0.15">
      <c r="K128" s="11"/>
      <c r="L128" s="130"/>
      <c r="M128" s="130"/>
      <c r="N128" s="130"/>
      <c r="O128" s="130"/>
      <c r="P128" s="130"/>
      <c r="Q128" s="130"/>
      <c r="R128" s="130"/>
      <c r="S128" s="130"/>
      <c r="AA128" s="9"/>
    </row>
    <row r="129" spans="11:27" ht="12.75" customHeight="1" x14ac:dyDescent="0.15">
      <c r="K129" s="11"/>
      <c r="L129" s="130"/>
      <c r="M129" s="130"/>
      <c r="N129" s="130"/>
      <c r="O129" s="130"/>
      <c r="P129" s="130"/>
      <c r="Q129" s="130"/>
      <c r="R129" s="130"/>
      <c r="S129" s="130"/>
      <c r="AA129" s="9"/>
    </row>
    <row r="130" spans="11:27" ht="12.75" customHeight="1" x14ac:dyDescent="0.15">
      <c r="K130" s="71" t="s">
        <v>121</v>
      </c>
      <c r="L130" s="147">
        <f t="shared" ref="L130:O130" si="35">$L$117</f>
        <v>10976.995645254754</v>
      </c>
      <c r="M130" s="147">
        <f t="shared" si="35"/>
        <v>10976.995645254754</v>
      </c>
      <c r="N130" s="147">
        <f t="shared" si="35"/>
        <v>10976.995645254754</v>
      </c>
      <c r="O130" s="147">
        <f t="shared" si="35"/>
        <v>10976.995645254754</v>
      </c>
      <c r="P130" s="147">
        <f>$L$117</f>
        <v>10976.995645254754</v>
      </c>
      <c r="Q130" s="130">
        <f>$L$117</f>
        <v>10976.995645254754</v>
      </c>
      <c r="R130" s="130">
        <f>$L$117</f>
        <v>10976.995645254754</v>
      </c>
      <c r="S130" s="130">
        <f>$L$117</f>
        <v>10976.995645254754</v>
      </c>
      <c r="T130" s="130">
        <f>$L$117</f>
        <v>10976.995645254754</v>
      </c>
      <c r="AA130" s="9"/>
    </row>
    <row r="131" spans="11:27" ht="12.75" customHeight="1" x14ac:dyDescent="0.15">
      <c r="K131" s="11"/>
      <c r="L131" s="130"/>
      <c r="M131" s="130"/>
      <c r="N131" s="130"/>
      <c r="O131" s="130"/>
      <c r="P131" s="130"/>
      <c r="Q131" s="130"/>
      <c r="R131" s="130"/>
      <c r="S131" s="130"/>
      <c r="AA131" s="9"/>
    </row>
    <row r="132" spans="11:27" ht="12.75" customHeight="1" x14ac:dyDescent="0.15">
      <c r="K132" s="11"/>
      <c r="L132" s="130"/>
      <c r="M132" s="130"/>
      <c r="N132" s="130"/>
      <c r="O132" s="130"/>
      <c r="P132" s="130"/>
      <c r="Q132" s="130"/>
      <c r="R132" s="130"/>
      <c r="S132" s="130"/>
      <c r="T132" s="130"/>
      <c r="AA132" s="9"/>
    </row>
    <row r="133" spans="11:27" ht="12.75" customHeight="1" x14ac:dyDescent="0.15">
      <c r="K133" s="11" t="s">
        <v>33</v>
      </c>
      <c r="L133" s="57">
        <f>L43</f>
        <v>100000</v>
      </c>
      <c r="M133" s="57">
        <f t="shared" ref="M133:O133" si="36">$L$133*($L$106-M122)/$L$106</f>
        <v>87500</v>
      </c>
      <c r="N133" s="57">
        <f t="shared" si="36"/>
        <v>75000</v>
      </c>
      <c r="O133" s="57">
        <f t="shared" si="36"/>
        <v>62500</v>
      </c>
      <c r="P133" s="57">
        <f>$L$133*($L$106-P122)/$L$106</f>
        <v>50000</v>
      </c>
      <c r="Q133" s="57">
        <f>$L$133*($L$106-Q122)/$L$106</f>
        <v>37500</v>
      </c>
      <c r="R133" s="57">
        <f>$L$133*($L$106-R122)/$L$106</f>
        <v>25000</v>
      </c>
      <c r="S133" s="57">
        <f>$L$133*($L$106-S122)/$L$106</f>
        <v>12500</v>
      </c>
      <c r="T133" s="57">
        <f>$L$133*($L$106-T122)/$L$106</f>
        <v>0</v>
      </c>
      <c r="AA133" s="9"/>
    </row>
    <row r="134" spans="11:27" ht="12.75" customHeight="1" x14ac:dyDescent="0.15">
      <c r="K134" s="11"/>
      <c r="L134" s="130"/>
      <c r="M134" s="57">
        <f>L108*(1+L113)</f>
        <v>12569.174757281553</v>
      </c>
      <c r="N134" s="57">
        <f t="shared" ref="N134:P134" si="37">M134*(1+M$113)</f>
        <v>12617.987086436044</v>
      </c>
      <c r="O134" s="57">
        <f t="shared" si="37"/>
        <v>12646.163174104786</v>
      </c>
      <c r="P134" s="57">
        <f t="shared" si="37"/>
        <v>12643.093717023692</v>
      </c>
      <c r="Q134" s="57">
        <f>P134*(1+P$113)</f>
        <v>12587.856899813394</v>
      </c>
      <c r="R134" s="57">
        <f>Q134*(1+Q$113)</f>
        <v>12636.741780977718</v>
      </c>
      <c r="S134" s="130">
        <f>R134*(1+R$113)</f>
        <v>12737.958402038948</v>
      </c>
      <c r="T134" s="57">
        <f>S134*(1+S$113)</f>
        <v>12787.426201658516</v>
      </c>
      <c r="AA134" s="9"/>
    </row>
    <row r="135" spans="11:27" ht="12.75" customHeight="1" x14ac:dyDescent="0.15">
      <c r="K135" s="11"/>
      <c r="L135" s="130"/>
      <c r="M135" s="130"/>
      <c r="N135" s="57">
        <f>L108*(1+M113)</f>
        <v>12548.543689320388</v>
      </c>
      <c r="O135" s="57">
        <f t="shared" ref="O135:Q135" si="38">N135*(1+N$113)</f>
        <v>12576.564709209162</v>
      </c>
      <c r="P135" s="57">
        <f t="shared" si="38"/>
        <v>12573.512144959353</v>
      </c>
      <c r="Q135" s="57">
        <f t="shared" si="38"/>
        <v>12518.57932490856</v>
      </c>
      <c r="R135" s="130">
        <f t="shared" ref="R135:T138" si="39">Q135*(1+Q$113)</f>
        <v>12567.19516694704</v>
      </c>
      <c r="S135" s="57">
        <f t="shared" si="39"/>
        <v>12667.854739886179</v>
      </c>
      <c r="T135" s="57">
        <f t="shared" si="39"/>
        <v>12717.050292274087</v>
      </c>
      <c r="AA135" s="9"/>
    </row>
    <row r="136" spans="11:27" ht="12.75" customHeight="1" x14ac:dyDescent="0.15">
      <c r="K136" s="11"/>
      <c r="L136" s="130"/>
      <c r="M136" s="130"/>
      <c r="N136" s="130"/>
      <c r="O136" s="57">
        <f>L108*(1+N113)</f>
        <v>12527.912621359224</v>
      </c>
      <c r="P136" s="57">
        <f t="shared" ref="P136:Q136" si="40">O136*(1+O$113)</f>
        <v>12524.871865868603</v>
      </c>
      <c r="Q136" s="57">
        <f t="shared" si="40"/>
        <v>12470.151551891508</v>
      </c>
      <c r="R136" s="130">
        <f t="shared" si="39"/>
        <v>12518.579324908562</v>
      </c>
      <c r="S136" s="130">
        <f t="shared" si="39"/>
        <v>12618.849499112926</v>
      </c>
      <c r="T136" s="57">
        <f t="shared" si="39"/>
        <v>12667.854739886179</v>
      </c>
      <c r="AA136" s="9"/>
    </row>
    <row r="137" spans="11:27" ht="12.75" customHeight="1" x14ac:dyDescent="0.15">
      <c r="K137" s="11"/>
      <c r="L137" s="130"/>
      <c r="M137" s="130"/>
      <c r="N137" s="130"/>
      <c r="O137" s="130"/>
      <c r="P137" s="57">
        <f>L108*(1+O113)</f>
        <v>12496.966019417476</v>
      </c>
      <c r="Q137" s="57">
        <f>P137*(1+P$113)</f>
        <v>12442.367624187011</v>
      </c>
      <c r="R137" s="130">
        <f t="shared" si="39"/>
        <v>12490.687498455698</v>
      </c>
      <c r="S137" s="130">
        <f t="shared" si="39"/>
        <v>12590.734267254009</v>
      </c>
      <c r="T137" s="130">
        <f t="shared" si="39"/>
        <v>12639.63032266082</v>
      </c>
      <c r="AA137" s="9"/>
    </row>
    <row r="138" spans="11:27" ht="12.75" customHeight="1" x14ac:dyDescent="0.15">
      <c r="K138" s="11"/>
      <c r="L138" s="130"/>
      <c r="M138" s="130"/>
      <c r="N138" s="130"/>
      <c r="O138" s="130"/>
      <c r="P138" s="130"/>
      <c r="Q138" s="57">
        <f>L108*(1+P113)</f>
        <v>12445.388349514564</v>
      </c>
      <c r="R138" s="130">
        <f t="shared" si="39"/>
        <v>12493.719954755396</v>
      </c>
      <c r="S138" s="130">
        <f t="shared" si="39"/>
        <v>12593.791012645426</v>
      </c>
      <c r="T138" s="57">
        <f t="shared" si="39"/>
        <v>12642.698938908126</v>
      </c>
      <c r="AA138" s="9"/>
    </row>
    <row r="139" spans="11:27" ht="12.75" customHeight="1" x14ac:dyDescent="0.15">
      <c r="K139" s="11"/>
      <c r="L139" s="130"/>
      <c r="M139" s="130"/>
      <c r="N139" s="130"/>
      <c r="O139" s="130"/>
      <c r="P139" s="130"/>
      <c r="Q139" s="130"/>
      <c r="R139" s="130">
        <f>L108*(1+Q113)</f>
        <v>12548.543689320388</v>
      </c>
      <c r="S139" s="130">
        <f>R139*(1+R$113)</f>
        <v>12649.053869356207</v>
      </c>
      <c r="T139" s="57">
        <f>S139*(1+S$113)</f>
        <v>12698.176408654677</v>
      </c>
      <c r="AA139" s="9"/>
    </row>
    <row r="140" spans="11:27" ht="12.75" customHeight="1" x14ac:dyDescent="0.15">
      <c r="K140" s="11"/>
      <c r="L140" s="130"/>
      <c r="M140" s="130"/>
      <c r="N140" s="130"/>
      <c r="O140" s="130"/>
      <c r="P140" s="130"/>
      <c r="Q140" s="130"/>
      <c r="R140" s="130"/>
      <c r="S140" s="57">
        <f>L108*(1+R113)</f>
        <v>12600.121359223302</v>
      </c>
      <c r="T140" s="57">
        <f>S140*(1+S$113)</f>
        <v>12649.053869356207</v>
      </c>
      <c r="AA140" s="9"/>
    </row>
    <row r="141" spans="11:27" ht="12.75" customHeight="1" x14ac:dyDescent="0.15">
      <c r="K141" s="148"/>
      <c r="L141" s="130"/>
      <c r="M141" s="130"/>
      <c r="N141" s="130"/>
      <c r="O141" s="130"/>
      <c r="P141" s="130"/>
      <c r="Q141" s="130"/>
      <c r="R141" s="130"/>
      <c r="S141" s="130"/>
      <c r="T141" s="57">
        <f>L108*(1+S113)</f>
        <v>12548.543689320388</v>
      </c>
      <c r="AA141" s="9"/>
    </row>
    <row r="142" spans="11:27" ht="12.75" customHeight="1" x14ac:dyDescent="0.15">
      <c r="K142" s="148"/>
      <c r="L142" s="130"/>
      <c r="M142" s="130"/>
      <c r="N142" s="130"/>
      <c r="O142" s="130"/>
      <c r="P142" s="130"/>
      <c r="Q142" s="130"/>
      <c r="R142" s="130"/>
      <c r="S142" s="57"/>
      <c r="T142" s="130"/>
      <c r="AA142" s="9"/>
    </row>
    <row r="143" spans="11:27" ht="12.75" customHeight="1" x14ac:dyDescent="0.15">
      <c r="K143" s="149" t="s">
        <v>118</v>
      </c>
      <c r="L143" s="150">
        <f t="shared" ref="L143:T143" si="41">SUM(L133:L141)</f>
        <v>100000</v>
      </c>
      <c r="M143" s="151">
        <f t="shared" si="41"/>
        <v>100069.17475728155</v>
      </c>
      <c r="N143" s="151">
        <f t="shared" si="41"/>
        <v>100166.53077575643</v>
      </c>
      <c r="O143" s="151">
        <f t="shared" si="41"/>
        <v>100250.64050467318</v>
      </c>
      <c r="P143" s="152">
        <f t="shared" si="41"/>
        <v>100238.44374726912</v>
      </c>
      <c r="Q143" s="152">
        <f t="shared" si="41"/>
        <v>99964.343750315049</v>
      </c>
      <c r="R143" s="151">
        <f t="shared" si="41"/>
        <v>100255.46741536479</v>
      </c>
      <c r="S143" s="151">
        <f t="shared" si="41"/>
        <v>100958.363149517</v>
      </c>
      <c r="T143" s="151">
        <f t="shared" si="41"/>
        <v>101350.43446271901</v>
      </c>
      <c r="AA143" s="9"/>
    </row>
    <row r="144" spans="11:27" ht="12.75" customHeight="1" x14ac:dyDescent="0.15">
      <c r="K144" s="148"/>
      <c r="L144" s="153"/>
      <c r="M144" s="154"/>
      <c r="N144" s="154"/>
      <c r="O144" s="154"/>
      <c r="P144" s="154"/>
      <c r="Q144" s="154"/>
      <c r="R144" s="154"/>
      <c r="S144" s="154"/>
      <c r="T144" s="154"/>
      <c r="AA144" s="9"/>
    </row>
    <row r="145" spans="11:27" ht="12.75" customHeight="1" x14ac:dyDescent="0.15">
      <c r="K145" s="148"/>
      <c r="L145" s="155"/>
      <c r="M145" s="155"/>
      <c r="N145" s="155"/>
      <c r="O145" s="155"/>
      <c r="P145" s="155"/>
      <c r="Q145" s="155"/>
      <c r="R145" s="155"/>
      <c r="S145" s="155"/>
      <c r="T145" s="155"/>
      <c r="AA145" s="9"/>
    </row>
    <row r="146" spans="11:27" ht="12.75" customHeight="1" x14ac:dyDescent="0.15">
      <c r="K146" s="11"/>
      <c r="P146" s="1"/>
      <c r="S146" s="1"/>
      <c r="AA146" s="9"/>
    </row>
    <row r="147" spans="11:27" ht="12.75" customHeight="1" x14ac:dyDescent="0.15">
      <c r="K147" s="11"/>
      <c r="AA147" s="9"/>
    </row>
    <row r="148" spans="11:27" ht="12.75" customHeight="1" x14ac:dyDescent="0.15">
      <c r="K148" s="120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8"/>
    </row>
    <row r="149" spans="11:27" ht="12.75" customHeight="1" x14ac:dyDescent="0.15"/>
    <row r="150" spans="11:27" ht="12.75" customHeight="1" x14ac:dyDescent="0.15"/>
    <row r="151" spans="11:27" ht="12.75" customHeight="1" x14ac:dyDescent="0.15"/>
    <row r="152" spans="11:27" ht="12.75" customHeight="1" x14ac:dyDescent="0.15"/>
    <row r="153" spans="11:27" ht="12.75" customHeight="1" x14ac:dyDescent="0.15"/>
    <row r="154" spans="11:27" ht="12.75" customHeight="1" x14ac:dyDescent="0.15"/>
    <row r="155" spans="11:27" ht="12.75" customHeight="1" x14ac:dyDescent="0.15"/>
    <row r="156" spans="11:27" ht="12.75" customHeight="1" x14ac:dyDescent="0.15"/>
    <row r="157" spans="11:27" ht="12.75" customHeight="1" x14ac:dyDescent="0.15"/>
    <row r="158" spans="11:27" ht="12.75" customHeight="1" x14ac:dyDescent="0.15"/>
    <row r="159" spans="11:27" ht="12.75" customHeight="1" x14ac:dyDescent="0.15"/>
    <row r="160" spans="11:27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</sheetData>
  <mergeCells count="5">
    <mergeCell ref="A100:A104"/>
    <mergeCell ref="A80:A81"/>
    <mergeCell ref="K39:K40"/>
    <mergeCell ref="K64:K65"/>
    <mergeCell ref="K77:K78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simboli</vt:lpstr>
      <vt:lpstr>tabelle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Eraldo</dc:creator>
  <cp:lastModifiedBy>Annalisa ORI</cp:lastModifiedBy>
  <dcterms:created xsi:type="dcterms:W3CDTF">2010-05-04T15:42:36Z</dcterms:created>
  <dcterms:modified xsi:type="dcterms:W3CDTF">2025-07-25T17:25:33Z</dcterms:modified>
</cp:coreProperties>
</file>