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l85ck\Desktop\PhD\4_Modellierung\2_CHARISMA\2_Macroph\input\lakes\"/>
    </mc:Choice>
  </mc:AlternateContent>
  <xr:revisionPtr revIDLastSave="0" documentId="13_ncr:1_{E56128C8-2F8F-4345-B527-C2FB80D275FE}" xr6:coauthVersionLast="45" xr6:coauthVersionMax="45" xr10:uidLastSave="{00000000-0000-0000-0000-000000000000}"/>
  <bookViews>
    <workbookView xWindow="-108" yWindow="-108" windowWidth="23256" windowHeight="12576" xr2:uid="{40F6C0B7-3864-4433-99D8-779F26A12B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8" i="1" l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H28" i="1"/>
  <c r="G28" i="1"/>
  <c r="F28" i="1"/>
  <c r="AL17" i="1"/>
  <c r="AK17" i="1"/>
  <c r="AL19" i="1"/>
  <c r="AL18" i="1"/>
  <c r="AK19" i="1"/>
  <c r="AK18" i="1"/>
  <c r="AC10" i="1" l="1"/>
  <c r="AC9" i="1"/>
  <c r="AB10" i="1"/>
  <c r="AB9" i="1"/>
  <c r="AA9" i="1"/>
  <c r="AJ9" i="1"/>
  <c r="AJ10" i="1"/>
  <c r="AG10" i="1"/>
  <c r="AD10" i="1"/>
  <c r="AD9" i="1"/>
  <c r="AE9" i="1"/>
  <c r="AF9" i="1"/>
  <c r="AF10" i="1"/>
  <c r="Z10" i="1"/>
  <c r="Z9" i="1"/>
  <c r="L10" i="1"/>
  <c r="L9" i="1"/>
  <c r="J9" i="1"/>
  <c r="P10" i="1"/>
  <c r="P9" i="1"/>
  <c r="O9" i="1"/>
  <c r="AA10" i="1"/>
  <c r="W10" i="1"/>
  <c r="R9" i="1"/>
  <c r="W9" i="1"/>
  <c r="V9" i="1"/>
  <c r="O10" i="1"/>
  <c r="N9" i="1"/>
  <c r="N10" i="1"/>
  <c r="M9" i="1"/>
  <c r="U10" i="1"/>
  <c r="U9" i="1"/>
  <c r="M10" i="1"/>
  <c r="R10" i="1"/>
  <c r="Q9" i="1"/>
  <c r="J10" i="1"/>
  <c r="I10" i="1"/>
  <c r="H10" i="1"/>
  <c r="H9" i="1"/>
  <c r="G9" i="1"/>
  <c r="I9" i="1"/>
  <c r="G10" i="1"/>
  <c r="F9" i="1"/>
  <c r="AI9" i="1"/>
  <c r="V10" i="1"/>
  <c r="F10" i="1"/>
  <c r="Q10" i="1"/>
  <c r="AG9" i="1" l="1"/>
  <c r="K27" i="1"/>
  <c r="K26" i="1"/>
  <c r="Q26" i="1"/>
  <c r="Q27" i="1"/>
  <c r="AG26" i="1"/>
  <c r="AG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94DA98-A255-4DB1-B93E-A52A806F0A41}" keepAlive="1" name="Abfrage - Chiemsee config" description="Verbindung mit der Abfrage 'Chiemsee config' in der Arbeitsmappe." type="5" refreshedVersion="6" background="1" saveData="1">
    <dbPr connection="Provider=Microsoft.Mashup.OleDb.1;Data Source=$Workbook$;Location=Chiemsee config;Extended Properties=&quot;&quot;" command="SELECT * FROM [Chiemsee config]"/>
  </connection>
  <connection id="2" xr16:uid="{F64B14E4-74B6-4333-9378-C0969ED29977}" keepAlive="1" name="Abfrage - Koenigssee config" description="Verbindung mit der Abfrage 'Koenigssee config' in der Arbeitsmappe." type="5" refreshedVersion="6" background="1">
    <dbPr connection="Provider=Microsoft.Mashup.OleDb.1;Data Source=$Workbook$;Location=Koenigssee config;Extended Properties=&quot;&quot;" command="SELECT * FROM [Koenigssee config]"/>
  </connection>
  <connection id="3" xr16:uid="{8C30D4BF-3B81-4310-9CF2-C654EDB37DCC}" keepAlive="1" name="Abfrage - WagingerSee config" description="Verbindung mit der Abfrage 'WagingerSee config' in der Arbeitsmappe." type="5" refreshedVersion="6" background="1" saveData="1">
    <dbPr connection="Provider=Microsoft.Mashup.OleDb.1;Data Source=$Workbook$;Location=WagingerSee config;Extended Properties=&quot;&quot;" command="SELECT * FROM [WagingerSee config]"/>
  </connection>
</connections>
</file>

<file path=xl/sharedStrings.xml><?xml version="1.0" encoding="utf-8"?>
<sst xmlns="http://schemas.openxmlformats.org/spreadsheetml/2006/main" count="269" uniqueCount="133">
  <si>
    <t>Waginger See</t>
  </si>
  <si>
    <t>latitude</t>
  </si>
  <si>
    <t>Lake</t>
  </si>
  <si>
    <t>Koenigssee</t>
  </si>
  <si>
    <t/>
  </si>
  <si>
    <t>#LIGHT</t>
  </si>
  <si>
    <t>fracReflected</t>
  </si>
  <si>
    <t>iDelay</t>
  </si>
  <si>
    <t>iDev</t>
  </si>
  <si>
    <t>maxI</t>
  </si>
  <si>
    <t>minI</t>
  </si>
  <si>
    <t>parFactor</t>
  </si>
  <si>
    <t>#NUTRIENT</t>
  </si>
  <si>
    <t>maxNutrient</t>
  </si>
  <si>
    <t>#TEMPERATURE</t>
  </si>
  <si>
    <t>maxTemp</t>
  </si>
  <si>
    <t>minTemp</t>
  </si>
  <si>
    <t>tempDelay</t>
  </si>
  <si>
    <t>tempDev</t>
  </si>
  <si>
    <t>backgrKd</t>
  </si>
  <si>
    <t>kdDelay</t>
  </si>
  <si>
    <t>13.0</t>
  </si>
  <si>
    <t>kdDev</t>
  </si>
  <si>
    <t>minKd</t>
  </si>
  <si>
    <t>0.11</t>
  </si>
  <si>
    <t>maxKd</t>
  </si>
  <si>
    <t>1.06</t>
  </si>
  <si>
    <t>levelCorrection</t>
  </si>
  <si>
    <t>maxW</t>
  </si>
  <si>
    <t>minW</t>
  </si>
  <si>
    <t>wDelay</t>
  </si>
  <si>
    <t>#WATER</t>
  </si>
  <si>
    <t>Chiemsee</t>
  </si>
  <si>
    <t>81.0</t>
  </si>
  <si>
    <t>Hopfensee</t>
  </si>
  <si>
    <t>Abtsdorfer See</t>
  </si>
  <si>
    <t>fixed</t>
  </si>
  <si>
    <t>Alpsee bei Schwangau</t>
  </si>
  <si>
    <t>Ammersee</t>
  </si>
  <si>
    <t>Bannwaldsee</t>
  </si>
  <si>
    <t>Barmsee</t>
  </si>
  <si>
    <t>Eibsee</t>
  </si>
  <si>
    <t>GrosserAlpsee</t>
  </si>
  <si>
    <t>GrosserOstersee</t>
  </si>
  <si>
    <t>Hartsee</t>
  </si>
  <si>
    <t>HofstaetterSee</t>
  </si>
  <si>
    <t>Kochelsee</t>
  </si>
  <si>
    <t>LangbuergenerSee</t>
  </si>
  <si>
    <t>NiedersonthofenerSee</t>
  </si>
  <si>
    <t>Obersee</t>
  </si>
  <si>
    <t>PelhamerSee</t>
  </si>
  <si>
    <t>Pilsensee</t>
  </si>
  <si>
    <t>Riegsee</t>
  </si>
  <si>
    <t>Schliersee</t>
  </si>
  <si>
    <t>StaffelseeNord</t>
  </si>
  <si>
    <t>StaffelseeSued</t>
  </si>
  <si>
    <t>StarnbergerSee</t>
  </si>
  <si>
    <t>TachingerSee</t>
  </si>
  <si>
    <t>Tegernsee</t>
  </si>
  <si>
    <t>Weissensee</t>
  </si>
  <si>
    <t>Weitsee</t>
  </si>
  <si>
    <t>Woerthsee</t>
  </si>
  <si>
    <t>comment</t>
  </si>
  <si>
    <t>Description</t>
  </si>
  <si>
    <t>Einheit</t>
  </si>
  <si>
    <t>d</t>
  </si>
  <si>
    <t>days after 1st of January where I is minimal</t>
  </si>
  <si>
    <t>Maximal Irradiance</t>
  </si>
  <si>
    <t>Minimal Irradiance</t>
  </si>
  <si>
    <t>[µE m^-2 s^-1]</t>
  </si>
  <si>
    <t>°</t>
  </si>
  <si>
    <t>-</t>
  </si>
  <si>
    <t>light reflection at the water surface</t>
  </si>
  <si>
    <t>Deviation factor to change total irradiation</t>
  </si>
  <si>
    <t>fraction of total irradiation that is PAR</t>
  </si>
  <si>
    <t>Transformed here: https://awsm-tools.com/geo/utm-to-geographic</t>
  </si>
  <si>
    <t>Datasource</t>
  </si>
  <si>
    <t>Charisma</t>
  </si>
  <si>
    <t>gkd.de; Tiefste Stelle</t>
  </si>
  <si>
    <t xml:space="preserve">Latitude of corresponding lake </t>
  </si>
  <si>
    <t>Simssee</t>
  </si>
  <si>
    <t>#Nextclimatestation</t>
  </si>
  <si>
    <t>Nilling</t>
  </si>
  <si>
    <t>Schönharting</t>
  </si>
  <si>
    <t>Karolinenfeld</t>
  </si>
  <si>
    <t>SpitzingseeFreiland</t>
  </si>
  <si>
    <t>Geretsried</t>
  </si>
  <si>
    <t>Herzogstand</t>
  </si>
  <si>
    <t>Obersöchering</t>
  </si>
  <si>
    <t>Ammerseeboje</t>
  </si>
  <si>
    <t>Trauchgau</t>
  </si>
  <si>
    <t>Spitalhof</t>
  </si>
  <si>
    <t>#YEARlastmapping</t>
  </si>
  <si>
    <t>Messreihe lückenhaft</t>
  </si>
  <si>
    <t>fehlerhaft</t>
  </si>
  <si>
    <t>Karolinenfeld&amp;Schönhartig</t>
  </si>
  <si>
    <t>Rothenfeld</t>
  </si>
  <si>
    <t>Rothenfeld&amp;Ammerseeboje&amp;Puch</t>
  </si>
  <si>
    <t>Geretsried&amp;Obersöchering</t>
  </si>
  <si>
    <t>daily</t>
  </si>
  <si>
    <t>monthly</t>
  </si>
  <si>
    <t>NA</t>
  </si>
  <si>
    <t>na</t>
  </si>
  <si>
    <t>no data</t>
  </si>
  <si>
    <t>max mean daily temperature of a year</t>
  </si>
  <si>
    <t>min mean daily temperature of a year</t>
  </si>
  <si>
    <t>°C</t>
  </si>
  <si>
    <t>days after 1st of January where Temp is minimal</t>
  </si>
  <si>
    <t>share of temp</t>
  </si>
  <si>
    <t>Conc of limiting nutrient in water without plants</t>
  </si>
  <si>
    <t>mg/l</t>
  </si>
  <si>
    <t>Formula: =x/1000*41,67*4,51</t>
  </si>
  <si>
    <t>no clear pattern</t>
  </si>
  <si>
    <t>Delay of cosine of water level</t>
  </si>
  <si>
    <t>MW / falls nicht vorhanden Pegelnullpunkt</t>
  </si>
  <si>
    <t>#VERTICAL LIGHT</t>
  </si>
  <si>
    <t>Datenlücken; Peak im Sommer</t>
  </si>
  <si>
    <t>eher Peak im Sommer</t>
  </si>
  <si>
    <t>highest level in summer; but no sinus curve</t>
  </si>
  <si>
    <t>summer peak</t>
  </si>
  <si>
    <t>keine Kurve, nur ausreißer</t>
  </si>
  <si>
    <t>leichter Sinusverlauf</t>
  </si>
  <si>
    <t xml:space="preserve">	603,27	</t>
  </si>
  <si>
    <t>keine richtie Kurve</t>
  </si>
  <si>
    <t>Schwankungen</t>
  </si>
  <si>
    <t>kein deutlicher Jahresverlauf</t>
  </si>
  <si>
    <t>noch keine Daten für 2012 vorhanden</t>
  </si>
  <si>
    <t>Peak im Sommer?</t>
  </si>
  <si>
    <t>Baseline mit ausreißern</t>
  </si>
  <si>
    <t>no data yet</t>
  </si>
  <si>
    <t>#meanKd</t>
  </si>
  <si>
    <t>statistik gesamte Tiefe mean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</si>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</sst>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1" fillId="0" borderId="0" xfId="0" applyNumberFormat="1" applyFont="1"/>
    <xf numFmtId="0" fontId="1" fillId="0" borderId="0" xfId="0" applyNumberFormat="1" applyFont="1" applyFill="1"/>
    <xf numFmtId="0" fontId="1" fillId="0" borderId="0" xfId="0" applyFont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NumberFormat="1" applyFill="1"/>
    <xf numFmtId="0" fontId="2" fillId="0" borderId="0" xfId="0" applyNumberFormat="1" applyFont="1"/>
  </cellXfs>
  <cellStyles count="1">
    <cellStyle name="Standard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071D-3B66-4EC9-92C8-4F313654D802}">
  <dimension ref="A1:AL37"/>
  <sheetViews>
    <sheetView tabSelected="1" workbookViewId="0">
      <pane xSplit="2" ySplit="2" topLeftCell="Y9" activePane="bottomRight" state="frozen"/>
      <selection pane="topRight" activeCell="C1" sqref="C1"/>
      <selection pane="bottomLeft" activeCell="A3" sqref="A3"/>
      <selection pane="bottomRight" activeCell="P30" sqref="P30"/>
    </sheetView>
  </sheetViews>
  <sheetFormatPr baseColWidth="10" defaultRowHeight="14.4" x14ac:dyDescent="0.3"/>
  <cols>
    <col min="1" max="1" width="18.44140625" bestFit="1" customWidth="1"/>
    <col min="2" max="2" width="22.6640625" style="7" customWidth="1"/>
    <col min="3" max="3" width="13" style="7" bestFit="1" customWidth="1"/>
    <col min="4" max="4" width="13" style="7" customWidth="1"/>
    <col min="5" max="5" width="8.77734375" style="7" bestFit="1" customWidth="1"/>
    <col min="6" max="6" width="13" bestFit="1" customWidth="1"/>
    <col min="17" max="17" width="12" bestFit="1" customWidth="1"/>
    <col min="19" max="19" width="12.109375" bestFit="1" customWidth="1"/>
    <col min="33" max="33" width="12" bestFit="1" customWidth="1"/>
  </cols>
  <sheetData>
    <row r="1" spans="1:36" x14ac:dyDescent="0.3">
      <c r="A1" s="1" t="s">
        <v>2</v>
      </c>
      <c r="B1" s="5" t="s">
        <v>63</v>
      </c>
      <c r="C1" s="5" t="s">
        <v>64</v>
      </c>
      <c r="D1" s="5" t="s">
        <v>76</v>
      </c>
      <c r="E1" s="5" t="s">
        <v>62</v>
      </c>
      <c r="F1" s="11" t="s">
        <v>35</v>
      </c>
      <c r="G1" s="1" t="s">
        <v>37</v>
      </c>
      <c r="H1" s="11" t="s">
        <v>38</v>
      </c>
      <c r="I1" s="1" t="s">
        <v>39</v>
      </c>
      <c r="J1" s="1" t="s">
        <v>40</v>
      </c>
      <c r="K1" s="11" t="s">
        <v>32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1" t="s">
        <v>34</v>
      </c>
      <c r="R1" s="1" t="s">
        <v>46</v>
      </c>
      <c r="S1" s="11" t="s">
        <v>3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0" t="s">
        <v>53</v>
      </c>
      <c r="AA1" s="1" t="s">
        <v>80</v>
      </c>
      <c r="AB1" s="1" t="s">
        <v>54</v>
      </c>
      <c r="AC1" s="1" t="s">
        <v>55</v>
      </c>
      <c r="AD1" s="10" t="s">
        <v>56</v>
      </c>
      <c r="AE1" s="1" t="s">
        <v>57</v>
      </c>
      <c r="AF1" s="10" t="s">
        <v>58</v>
      </c>
      <c r="AG1" s="10" t="s">
        <v>0</v>
      </c>
      <c r="AH1" s="1" t="s">
        <v>59</v>
      </c>
      <c r="AI1" s="1" t="s">
        <v>60</v>
      </c>
      <c r="AJ1" s="10" t="s">
        <v>61</v>
      </c>
    </row>
    <row r="2" spans="1:36" x14ac:dyDescent="0.3">
      <c r="A2" s="1" t="s">
        <v>92</v>
      </c>
      <c r="B2" s="5"/>
      <c r="C2" s="5"/>
      <c r="D2" s="5"/>
      <c r="E2" s="5"/>
      <c r="F2">
        <v>2017</v>
      </c>
      <c r="G2">
        <v>2017</v>
      </c>
      <c r="H2">
        <v>2016</v>
      </c>
      <c r="I2">
        <v>2015</v>
      </c>
      <c r="J2">
        <v>2015</v>
      </c>
      <c r="K2" s="1">
        <v>2016</v>
      </c>
      <c r="L2" s="1">
        <v>2016</v>
      </c>
      <c r="M2">
        <v>2017</v>
      </c>
      <c r="N2">
        <v>2017</v>
      </c>
      <c r="O2">
        <v>2013</v>
      </c>
      <c r="P2">
        <v>2016</v>
      </c>
      <c r="Q2" s="1">
        <v>2016</v>
      </c>
      <c r="R2" s="1">
        <v>2017</v>
      </c>
      <c r="S2" s="1">
        <v>2015</v>
      </c>
      <c r="T2" s="1">
        <v>2012</v>
      </c>
      <c r="U2" s="1">
        <v>2015</v>
      </c>
      <c r="V2" s="1">
        <v>2013</v>
      </c>
      <c r="W2" s="1">
        <v>2016</v>
      </c>
      <c r="X2" s="1">
        <v>2012</v>
      </c>
      <c r="Y2" s="1">
        <v>2015</v>
      </c>
      <c r="Z2" s="1">
        <v>2015</v>
      </c>
      <c r="AA2" s="1">
        <v>2015</v>
      </c>
      <c r="AB2" s="1">
        <v>2016</v>
      </c>
      <c r="AC2" s="1">
        <v>2016</v>
      </c>
      <c r="AD2" s="1">
        <v>2017</v>
      </c>
      <c r="AE2" s="1">
        <v>2012</v>
      </c>
      <c r="AF2" s="1">
        <v>2017</v>
      </c>
      <c r="AG2" s="1">
        <v>2016</v>
      </c>
      <c r="AH2" s="1">
        <v>2016</v>
      </c>
      <c r="AI2" s="1">
        <v>2011</v>
      </c>
      <c r="AJ2" s="1">
        <v>2017</v>
      </c>
    </row>
    <row r="3" spans="1:36" x14ac:dyDescent="0.3">
      <c r="A3" s="1"/>
      <c r="B3" s="5"/>
      <c r="C3" s="5"/>
      <c r="D3" s="5"/>
      <c r="E3" s="5"/>
      <c r="K3" s="1"/>
      <c r="Q3" s="1"/>
      <c r="S3" s="1"/>
      <c r="AG3" s="1"/>
    </row>
    <row r="4" spans="1:36" x14ac:dyDescent="0.3">
      <c r="A4" s="1" t="s">
        <v>5</v>
      </c>
      <c r="B4" s="3" t="s">
        <v>81</v>
      </c>
      <c r="C4" s="6"/>
      <c r="D4" s="6"/>
      <c r="E4" s="6"/>
      <c r="F4" s="4" t="s">
        <v>82</v>
      </c>
      <c r="G4" s="4" t="s">
        <v>90</v>
      </c>
      <c r="H4" s="4" t="s">
        <v>89</v>
      </c>
      <c r="I4" s="4" t="s">
        <v>90</v>
      </c>
      <c r="J4" s="4" t="s">
        <v>87</v>
      </c>
      <c r="K4" s="3" t="s">
        <v>83</v>
      </c>
      <c r="L4" s="3" t="s">
        <v>87</v>
      </c>
      <c r="M4" s="4" t="s">
        <v>91</v>
      </c>
      <c r="N4" s="4" t="s">
        <v>88</v>
      </c>
      <c r="O4" s="3" t="s">
        <v>83</v>
      </c>
      <c r="P4" s="4" t="s">
        <v>84</v>
      </c>
      <c r="Q4" s="4" t="s">
        <v>90</v>
      </c>
      <c r="R4" s="4" t="s">
        <v>87</v>
      </c>
      <c r="S4" s="4" t="s">
        <v>82</v>
      </c>
      <c r="T4" s="4" t="s">
        <v>95</v>
      </c>
      <c r="U4" s="4" t="s">
        <v>91</v>
      </c>
      <c r="V4" s="4" t="s">
        <v>82</v>
      </c>
      <c r="W4" s="3" t="s">
        <v>83</v>
      </c>
      <c r="X4" s="4" t="s">
        <v>97</v>
      </c>
      <c r="Y4" s="4" t="s">
        <v>98</v>
      </c>
      <c r="Z4" s="4" t="s">
        <v>85</v>
      </c>
      <c r="AA4" s="4" t="s">
        <v>84</v>
      </c>
      <c r="AB4" s="4" t="s">
        <v>86</v>
      </c>
      <c r="AC4" s="4" t="s">
        <v>86</v>
      </c>
      <c r="AD4" s="4" t="s">
        <v>86</v>
      </c>
      <c r="AE4" s="4" t="s">
        <v>82</v>
      </c>
      <c r="AF4" s="4" t="s">
        <v>85</v>
      </c>
      <c r="AG4" s="4" t="s">
        <v>82</v>
      </c>
      <c r="AH4" s="4" t="s">
        <v>90</v>
      </c>
      <c r="AI4" s="4" t="s">
        <v>82</v>
      </c>
      <c r="AJ4" s="4" t="s">
        <v>96</v>
      </c>
    </row>
    <row r="5" spans="1:36" x14ac:dyDescent="0.3">
      <c r="A5" s="1" t="s">
        <v>6</v>
      </c>
      <c r="B5" s="5" t="s">
        <v>72</v>
      </c>
      <c r="C5" s="5" t="s">
        <v>71</v>
      </c>
      <c r="D5" s="5" t="s">
        <v>77</v>
      </c>
      <c r="E5" s="5" t="s">
        <v>36</v>
      </c>
      <c r="F5">
        <v>0.1</v>
      </c>
      <c r="G5">
        <v>0.1</v>
      </c>
      <c r="H5">
        <v>0.1</v>
      </c>
      <c r="I5">
        <v>0.1</v>
      </c>
      <c r="J5">
        <v>0.1</v>
      </c>
      <c r="K5">
        <v>0.1</v>
      </c>
      <c r="L5">
        <v>0.1</v>
      </c>
      <c r="M5">
        <v>0.1</v>
      </c>
      <c r="N5">
        <v>0.1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0.1</v>
      </c>
      <c r="U5">
        <v>0.1</v>
      </c>
      <c r="V5">
        <v>0.1</v>
      </c>
      <c r="W5">
        <v>0.1</v>
      </c>
      <c r="X5">
        <v>0.1</v>
      </c>
      <c r="Y5">
        <v>0.1</v>
      </c>
      <c r="Z5">
        <v>0.1</v>
      </c>
      <c r="AA5">
        <v>0.1</v>
      </c>
      <c r="AB5">
        <v>0.1</v>
      </c>
      <c r="AC5">
        <v>0.1</v>
      </c>
      <c r="AD5">
        <v>0.1</v>
      </c>
      <c r="AE5">
        <v>0.1</v>
      </c>
      <c r="AF5">
        <v>0.1</v>
      </c>
      <c r="AG5">
        <v>0.1</v>
      </c>
      <c r="AH5">
        <v>0.1</v>
      </c>
      <c r="AI5">
        <v>0.1</v>
      </c>
      <c r="AJ5">
        <v>0.1</v>
      </c>
    </row>
    <row r="6" spans="1:36" x14ac:dyDescent="0.3">
      <c r="A6" s="1" t="s">
        <v>7</v>
      </c>
      <c r="B6" s="5" t="s">
        <v>66</v>
      </c>
      <c r="C6" s="5" t="s">
        <v>65</v>
      </c>
      <c r="D6" s="5"/>
      <c r="E6" s="5"/>
      <c r="F6">
        <v>8</v>
      </c>
      <c r="G6">
        <v>-20</v>
      </c>
      <c r="H6">
        <v>10</v>
      </c>
      <c r="I6">
        <v>-41</v>
      </c>
      <c r="J6">
        <v>-30</v>
      </c>
      <c r="K6" s="1">
        <v>9</v>
      </c>
      <c r="L6" s="1">
        <v>-61</v>
      </c>
      <c r="M6">
        <v>-20</v>
      </c>
      <c r="N6">
        <v>4</v>
      </c>
      <c r="O6">
        <v>-38</v>
      </c>
      <c r="P6">
        <v>11</v>
      </c>
      <c r="Q6">
        <v>-20</v>
      </c>
      <c r="R6">
        <v>4</v>
      </c>
      <c r="S6" s="1">
        <v>9</v>
      </c>
      <c r="T6" s="8" t="s">
        <v>94</v>
      </c>
      <c r="U6">
        <v>18</v>
      </c>
      <c r="V6">
        <v>17</v>
      </c>
      <c r="W6">
        <v>11</v>
      </c>
      <c r="X6" s="8" t="s">
        <v>94</v>
      </c>
      <c r="Y6" s="8" t="s">
        <v>94</v>
      </c>
      <c r="Z6">
        <v>-11</v>
      </c>
      <c r="AA6">
        <v>17</v>
      </c>
      <c r="AB6">
        <v>11</v>
      </c>
      <c r="AC6">
        <v>11</v>
      </c>
      <c r="AD6">
        <v>4</v>
      </c>
      <c r="AE6" s="8" t="s">
        <v>93</v>
      </c>
      <c r="AF6">
        <v>5</v>
      </c>
      <c r="AG6" s="1">
        <v>8</v>
      </c>
      <c r="AH6">
        <v>-20</v>
      </c>
      <c r="AI6" s="8" t="s">
        <v>93</v>
      </c>
      <c r="AJ6">
        <v>4</v>
      </c>
    </row>
    <row r="7" spans="1:36" x14ac:dyDescent="0.3">
      <c r="A7" s="1" t="s">
        <v>8</v>
      </c>
      <c r="B7" s="5" t="s">
        <v>73</v>
      </c>
      <c r="C7" s="5" t="s">
        <v>71</v>
      </c>
      <c r="D7" s="5" t="s">
        <v>77</v>
      </c>
      <c r="E7" s="5" t="s">
        <v>36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s="4" customFormat="1" x14ac:dyDescent="0.3">
      <c r="A8" s="3" t="s">
        <v>1</v>
      </c>
      <c r="B8" s="6" t="s">
        <v>79</v>
      </c>
      <c r="C8" s="6" t="s">
        <v>70</v>
      </c>
      <c r="D8" s="6" t="s">
        <v>78</v>
      </c>
      <c r="E8" s="6" t="s">
        <v>75</v>
      </c>
      <c r="F8" s="4">
        <v>47.906999999999996</v>
      </c>
      <c r="G8" s="4">
        <v>47.548999999999999</v>
      </c>
      <c r="H8" s="4">
        <v>47.981999999999999</v>
      </c>
      <c r="I8" s="4">
        <v>47.591999999999999</v>
      </c>
      <c r="J8" s="4">
        <v>47.499600000000001</v>
      </c>
      <c r="K8" s="3">
        <v>47.881</v>
      </c>
      <c r="L8" s="4">
        <v>47.457000000000001</v>
      </c>
      <c r="M8" s="4">
        <v>47.573999999999998</v>
      </c>
      <c r="N8" s="4">
        <v>47.79</v>
      </c>
      <c r="O8" s="4">
        <v>47.926000000000002</v>
      </c>
      <c r="P8" s="4">
        <v>47.902000000000001</v>
      </c>
      <c r="Q8" s="3">
        <v>47.603999999999999</v>
      </c>
      <c r="R8" s="4">
        <v>47.643999999999998</v>
      </c>
      <c r="S8" s="3">
        <v>47.566000000000003</v>
      </c>
      <c r="T8" s="4">
        <v>47.901000000000003</v>
      </c>
      <c r="U8" s="4">
        <v>47.639000000000003</v>
      </c>
      <c r="V8" s="4">
        <v>47.518000000000001</v>
      </c>
      <c r="W8" s="4">
        <v>47.933</v>
      </c>
      <c r="X8" s="4">
        <v>48.027000000000001</v>
      </c>
      <c r="Y8" s="4">
        <v>47.701000000000001</v>
      </c>
      <c r="Z8" s="4">
        <v>47.715000000000003</v>
      </c>
      <c r="AA8" s="4">
        <v>47.878</v>
      </c>
      <c r="AB8" s="4">
        <v>47.7</v>
      </c>
      <c r="AC8" s="4">
        <v>47.686</v>
      </c>
      <c r="AD8" s="4">
        <v>47.927999999999997</v>
      </c>
      <c r="AE8" s="4">
        <v>47.7</v>
      </c>
      <c r="AF8" s="4">
        <v>47.726999999999997</v>
      </c>
      <c r="AG8" s="3">
        <v>47.939</v>
      </c>
      <c r="AH8" s="4">
        <v>47.569000000000003</v>
      </c>
      <c r="AI8" s="4">
        <v>47.685000000000002</v>
      </c>
      <c r="AJ8" s="4">
        <v>48.058999999999997</v>
      </c>
    </row>
    <row r="9" spans="1:36" x14ac:dyDescent="0.3">
      <c r="A9" s="1" t="s">
        <v>9</v>
      </c>
      <c r="B9" s="5" t="s">
        <v>67</v>
      </c>
      <c r="C9" s="5" t="s">
        <v>69</v>
      </c>
      <c r="D9" s="5"/>
      <c r="E9" s="5" t="s">
        <v>111</v>
      </c>
      <c r="F9" s="2">
        <f>8460.7/1000*41.67*4.51</f>
        <v>1590.0337341900001</v>
      </c>
      <c r="G9">
        <f>8723.2/1000*41.67*4.51</f>
        <v>1639.36580544</v>
      </c>
      <c r="H9">
        <f>8695.6/1000*41.67*4.51</f>
        <v>1634.1788905200001</v>
      </c>
      <c r="I9">
        <f>8466/1000*41.67*4.51</f>
        <v>1591.0297721999998</v>
      </c>
      <c r="J9">
        <f>8702.8/1000*41.67*4.51</f>
        <v>1635.5319987600001</v>
      </c>
      <c r="K9" s="1">
        <v>1571.1</v>
      </c>
      <c r="L9">
        <f>8702.8/1000*41.67*4.51</f>
        <v>1635.5319987600001</v>
      </c>
      <c r="M9">
        <f>8452.7/1000*41.67*4.51</f>
        <v>1588.5302805900001</v>
      </c>
      <c r="N9">
        <f>8374.9/1000*41.67*4.51</f>
        <v>1573.9091943300002</v>
      </c>
      <c r="O9">
        <f>8321.5/1000*41.67*4.51</f>
        <v>1563.87364155</v>
      </c>
      <c r="P9">
        <f>8330.3/1000*41.67*4.51</f>
        <v>1565.5274405099999</v>
      </c>
      <c r="Q9" s="2">
        <f>8723.2/1000*41.67*4.51</f>
        <v>1639.36580544</v>
      </c>
      <c r="R9">
        <f>8747.7/1000*41.67*4.51</f>
        <v>1643.9701320899999</v>
      </c>
      <c r="S9" s="1">
        <v>1571.1</v>
      </c>
      <c r="T9" s="8" t="s">
        <v>94</v>
      </c>
      <c r="U9">
        <f>8350.1/1000*41.67*4.51</f>
        <v>1569.2484881700002</v>
      </c>
      <c r="V9" s="4">
        <f>8288.5/1000*41.67*4.51</f>
        <v>1557.6718954500002</v>
      </c>
      <c r="W9">
        <f>8498/1000*41.67*4.51</f>
        <v>1597.0435865999998</v>
      </c>
      <c r="X9" s="8" t="s">
        <v>94</v>
      </c>
      <c r="Y9" s="8" t="s">
        <v>94</v>
      </c>
      <c r="Z9">
        <f>6872.2/1000*41.67*4.51</f>
        <v>1291.5042287399999</v>
      </c>
      <c r="AA9">
        <f>8092.4/1000*41.67*4.51</f>
        <v>1520.8184890799998</v>
      </c>
      <c r="AB9">
        <f>8566.5/1000*41.67*4.51</f>
        <v>1609.9169080499998</v>
      </c>
      <c r="AC9">
        <f>8566.5/1000*41.67*4.51</f>
        <v>1609.9169080499998</v>
      </c>
      <c r="AD9">
        <f>8764.3/1000*41.67*4.51</f>
        <v>1647.0897983099999</v>
      </c>
      <c r="AE9">
        <f>7809.5/1000*41.67*4.51</f>
        <v>1467.65261115</v>
      </c>
      <c r="AF9">
        <f>6996.5/1000*41.67*4.51</f>
        <v>1314.8641390500002</v>
      </c>
      <c r="AG9" s="2">
        <f>8460.7/1000*41.67*4.51</f>
        <v>1590.0337341900001</v>
      </c>
      <c r="AH9" s="2">
        <v>1639.36580544</v>
      </c>
      <c r="AI9">
        <f>8160/1000*41.67*4.51</f>
        <v>1533.5226719999998</v>
      </c>
      <c r="AJ9">
        <f>8548.1/1000*41.67*4.51</f>
        <v>1606.4589647699997</v>
      </c>
    </row>
    <row r="10" spans="1:36" x14ac:dyDescent="0.3">
      <c r="A10" s="1" t="s">
        <v>10</v>
      </c>
      <c r="B10" s="5" t="s">
        <v>68</v>
      </c>
      <c r="C10" s="5" t="s">
        <v>69</v>
      </c>
      <c r="D10" s="5"/>
      <c r="E10" s="5" t="s">
        <v>111</v>
      </c>
      <c r="F10" s="2">
        <f>182.2/1000*41.67*4.51</f>
        <v>34.241155740000004</v>
      </c>
      <c r="G10">
        <f>346.2/1000*41.67*4.51</f>
        <v>65.061954540000002</v>
      </c>
      <c r="H10">
        <f>86.6/1000*41.67*4.51</f>
        <v>16.274885219999998</v>
      </c>
      <c r="I10">
        <f>190.3/1000*41.67*4.51</f>
        <v>35.763402510000006</v>
      </c>
      <c r="J10">
        <f>188.3/1000*41.67*4.51</f>
        <v>35.387539110000006</v>
      </c>
      <c r="K10" s="1">
        <v>24.4</v>
      </c>
      <c r="L10">
        <f>188.3/1000*41.67*4.51</f>
        <v>35.387539110000006</v>
      </c>
      <c r="M10">
        <f>238.4/1000*41.67*4.51</f>
        <v>44.802917280000003</v>
      </c>
      <c r="N10">
        <f>253.6/1000*41.67*4.51</f>
        <v>47.65947912</v>
      </c>
      <c r="O10">
        <f>111/1000*41.67*4.51</f>
        <v>20.8604187</v>
      </c>
      <c r="P10">
        <f>111.5/1000*41.67*4.51</f>
        <v>20.95438455</v>
      </c>
      <c r="Q10" s="2">
        <f>345.2/1000*41.67*4.51</f>
        <v>64.874022839999995</v>
      </c>
      <c r="R10">
        <f>168.5/1000*41.67*4.51</f>
        <v>31.666491450000002</v>
      </c>
      <c r="S10" s="1">
        <v>24.44</v>
      </c>
      <c r="T10" s="8" t="s">
        <v>94</v>
      </c>
      <c r="U10">
        <f>169.1/1000*41.67*4.51</f>
        <v>31.779250470000001</v>
      </c>
      <c r="V10">
        <f>128/1000*41.67*4.51</f>
        <v>24.055257600000001</v>
      </c>
      <c r="W10">
        <f>116.8/1000*41.67*4.51</f>
        <v>21.95042256</v>
      </c>
      <c r="X10" s="8" t="s">
        <v>94</v>
      </c>
      <c r="Y10" s="8" t="s">
        <v>94</v>
      </c>
      <c r="Z10">
        <f>133.3/1000*41.67*4.51</f>
        <v>25.05129561</v>
      </c>
      <c r="AA10">
        <f>162.6/1000*41.67*4.51</f>
        <v>30.557694419999997</v>
      </c>
      <c r="AB10">
        <f>129.8/1000*41.67*4.51</f>
        <v>24.39353466</v>
      </c>
      <c r="AC10">
        <f>129.8/1000*41.67*4.51</f>
        <v>24.39353466</v>
      </c>
      <c r="AD10">
        <f>194.3/1000*41.67*4.51</f>
        <v>36.515129309999999</v>
      </c>
      <c r="AE10" s="8" t="s">
        <v>93</v>
      </c>
      <c r="AF10">
        <f>86.5/1000*41.67*4.51</f>
        <v>16.256092049999999</v>
      </c>
      <c r="AG10" s="2">
        <f>182.2/1000*41.67*4.51</f>
        <v>34.241155740000004</v>
      </c>
      <c r="AH10" s="2">
        <v>64.874022839999995</v>
      </c>
      <c r="AI10" s="8" t="s">
        <v>93</v>
      </c>
      <c r="AJ10">
        <f>177.3/1000*41.67*4.51</f>
        <v>33.320290410000005</v>
      </c>
    </row>
    <row r="11" spans="1:36" x14ac:dyDescent="0.3">
      <c r="A11" s="1" t="s">
        <v>11</v>
      </c>
      <c r="B11" s="5" t="s">
        <v>74</v>
      </c>
      <c r="C11" s="5" t="s">
        <v>71</v>
      </c>
      <c r="D11" s="5" t="s">
        <v>77</v>
      </c>
      <c r="E11" s="5" t="s">
        <v>36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  <c r="AD11">
        <v>0.5</v>
      </c>
      <c r="AE11">
        <v>0.5</v>
      </c>
      <c r="AF11">
        <v>0.5</v>
      </c>
      <c r="AG11">
        <v>0.5</v>
      </c>
      <c r="AH11">
        <v>0.5</v>
      </c>
      <c r="AI11">
        <v>0.5</v>
      </c>
      <c r="AJ11">
        <v>0.5</v>
      </c>
    </row>
    <row r="12" spans="1:36" x14ac:dyDescent="0.3">
      <c r="A12" s="1" t="s">
        <v>4</v>
      </c>
      <c r="B12" s="5"/>
      <c r="C12" s="5"/>
      <c r="D12" s="5"/>
      <c r="E12" s="5"/>
      <c r="K12" s="1" t="s">
        <v>4</v>
      </c>
      <c r="S12" s="1" t="s">
        <v>4</v>
      </c>
    </row>
    <row r="13" spans="1:36" x14ac:dyDescent="0.3">
      <c r="A13" s="1" t="s">
        <v>12</v>
      </c>
      <c r="B13" s="5"/>
      <c r="C13" s="5"/>
      <c r="D13" s="5"/>
      <c r="E13" s="5"/>
      <c r="K13" s="1" t="s">
        <v>4</v>
      </c>
      <c r="S13" s="1" t="s">
        <v>4</v>
      </c>
    </row>
    <row r="14" spans="1:36" x14ac:dyDescent="0.3">
      <c r="A14" s="1" t="s">
        <v>13</v>
      </c>
      <c r="B14" s="5" t="s">
        <v>109</v>
      </c>
      <c r="C14" s="5" t="s">
        <v>110</v>
      </c>
      <c r="D14" s="5"/>
      <c r="E14" s="5" t="s">
        <v>131</v>
      </c>
      <c r="F14">
        <v>2.7E-2</v>
      </c>
      <c r="G14">
        <v>5.0000000000000001E-3</v>
      </c>
      <c r="H14">
        <v>7.0000000000000001E-3</v>
      </c>
      <c r="I14" t="s">
        <v>132</v>
      </c>
      <c r="J14">
        <v>2.5999999999999999E-2</v>
      </c>
      <c r="K14" s="1">
        <v>8.9999999999999993E-3</v>
      </c>
      <c r="L14" s="1">
        <v>5.0000000000000001E-3</v>
      </c>
      <c r="M14" s="1">
        <v>1.4E-2</v>
      </c>
      <c r="N14" s="1">
        <v>8.9999999999999993E-3</v>
      </c>
      <c r="O14" s="1">
        <v>1.2999999999999999E-2</v>
      </c>
      <c r="P14" s="1">
        <v>2.3E-2</v>
      </c>
      <c r="Q14" s="1">
        <v>4.4999999999999998E-2</v>
      </c>
      <c r="R14" s="1">
        <v>8.0000000000000002E-3</v>
      </c>
      <c r="S14" s="1">
        <v>6.0000000000000001E-3</v>
      </c>
      <c r="T14" s="1">
        <v>1.2999999999999999E-2</v>
      </c>
      <c r="U14" s="1">
        <v>1.9E-2</v>
      </c>
      <c r="V14" s="1">
        <v>8.0000000000000002E-3</v>
      </c>
      <c r="W14" s="1">
        <v>2.8000000000000001E-2</v>
      </c>
      <c r="X14" s="1">
        <v>1.2E-2</v>
      </c>
      <c r="Y14" s="1">
        <v>1.6E-2</v>
      </c>
      <c r="Z14" s="1">
        <v>1.2E-2</v>
      </c>
      <c r="AA14">
        <v>2.3E-2</v>
      </c>
      <c r="AB14">
        <v>0.01</v>
      </c>
      <c r="AC14">
        <v>1.2999999999999999E-2</v>
      </c>
      <c r="AD14">
        <v>6.0000000000000001E-3</v>
      </c>
      <c r="AE14">
        <v>1.9E-2</v>
      </c>
      <c r="AF14">
        <v>5.0000000000000001E-3</v>
      </c>
      <c r="AG14" s="1">
        <v>2.3E-2</v>
      </c>
      <c r="AH14" s="1">
        <v>8.9999999999999993E-3</v>
      </c>
      <c r="AI14" s="1">
        <v>6.0000000000000001E-3</v>
      </c>
      <c r="AJ14" s="1">
        <v>7.0000000000000001E-3</v>
      </c>
    </row>
    <row r="15" spans="1:36" x14ac:dyDescent="0.3">
      <c r="A15" s="1" t="s">
        <v>4</v>
      </c>
      <c r="B15" s="5"/>
      <c r="C15" s="5"/>
      <c r="D15" s="5"/>
      <c r="E15" s="5"/>
      <c r="K15" s="1" t="s">
        <v>4</v>
      </c>
      <c r="S15" s="1" t="s">
        <v>4</v>
      </c>
    </row>
    <row r="16" spans="1:36" x14ac:dyDescent="0.3">
      <c r="A16" s="1" t="s">
        <v>14</v>
      </c>
      <c r="B16" s="5"/>
      <c r="C16" s="5"/>
      <c r="D16" s="5"/>
      <c r="E16" s="5"/>
      <c r="F16" s="4" t="s">
        <v>99</v>
      </c>
      <c r="G16" t="s">
        <v>100</v>
      </c>
      <c r="H16" t="s">
        <v>99</v>
      </c>
      <c r="I16" t="s">
        <v>100</v>
      </c>
      <c r="J16" t="s">
        <v>100</v>
      </c>
      <c r="K16" t="s">
        <v>99</v>
      </c>
      <c r="L16" t="s">
        <v>100</v>
      </c>
      <c r="M16" t="s">
        <v>100</v>
      </c>
      <c r="N16" t="s">
        <v>100</v>
      </c>
      <c r="O16" t="s">
        <v>100</v>
      </c>
      <c r="P16" t="s">
        <v>100</v>
      </c>
      <c r="Q16" t="s">
        <v>99</v>
      </c>
      <c r="R16" t="s">
        <v>100</v>
      </c>
      <c r="S16" t="s">
        <v>99</v>
      </c>
      <c r="T16" t="s">
        <v>100</v>
      </c>
      <c r="U16" t="s">
        <v>100</v>
      </c>
      <c r="V16" t="s">
        <v>100</v>
      </c>
      <c r="W16" t="s">
        <v>100</v>
      </c>
      <c r="X16" t="s">
        <v>100</v>
      </c>
      <c r="Y16" t="s">
        <v>100</v>
      </c>
      <c r="Z16" t="s">
        <v>99</v>
      </c>
      <c r="AA16" t="s">
        <v>100</v>
      </c>
      <c r="AB16" t="s">
        <v>100</v>
      </c>
      <c r="AC16" t="s">
        <v>100</v>
      </c>
      <c r="AD16" t="s">
        <v>99</v>
      </c>
      <c r="AE16" t="s">
        <v>100</v>
      </c>
      <c r="AF16" t="s">
        <v>99</v>
      </c>
      <c r="AG16" t="s">
        <v>99</v>
      </c>
      <c r="AH16" t="s">
        <v>100</v>
      </c>
      <c r="AI16" t="s">
        <v>100</v>
      </c>
      <c r="AJ16" t="s">
        <v>99</v>
      </c>
    </row>
    <row r="17" spans="1:38" x14ac:dyDescent="0.3">
      <c r="A17" s="1" t="s">
        <v>15</v>
      </c>
      <c r="B17" s="5" t="s">
        <v>104</v>
      </c>
      <c r="C17" s="5" t="s">
        <v>106</v>
      </c>
      <c r="D17" s="5"/>
      <c r="E17" s="5"/>
      <c r="F17" s="4">
        <v>27</v>
      </c>
      <c r="G17">
        <v>20.8</v>
      </c>
      <c r="H17">
        <v>23.8</v>
      </c>
      <c r="I17">
        <v>25.1</v>
      </c>
      <c r="J17" t="s">
        <v>101</v>
      </c>
      <c r="K17" s="1">
        <v>23</v>
      </c>
      <c r="L17" s="1">
        <v>21.1</v>
      </c>
      <c r="M17">
        <v>21.8</v>
      </c>
      <c r="N17">
        <v>23.2</v>
      </c>
      <c r="O17">
        <v>24.5</v>
      </c>
      <c r="P17">
        <v>25.2</v>
      </c>
      <c r="Q17">
        <v>21.8</v>
      </c>
      <c r="R17">
        <v>16.7</v>
      </c>
      <c r="S17" s="1">
        <v>22.2</v>
      </c>
      <c r="T17" s="1">
        <v>25.4</v>
      </c>
      <c r="U17">
        <v>23</v>
      </c>
      <c r="V17">
        <v>19.8</v>
      </c>
      <c r="W17">
        <v>22.6</v>
      </c>
      <c r="X17">
        <v>23.8</v>
      </c>
      <c r="Y17">
        <v>23.4</v>
      </c>
      <c r="Z17">
        <v>25.2</v>
      </c>
      <c r="AA17">
        <v>27.3</v>
      </c>
      <c r="AB17" t="s">
        <v>101</v>
      </c>
      <c r="AC17" t="s">
        <v>101</v>
      </c>
      <c r="AD17">
        <v>24.3</v>
      </c>
      <c r="AE17">
        <v>25.2</v>
      </c>
      <c r="AF17">
        <v>21.1</v>
      </c>
      <c r="AG17">
        <v>26.6</v>
      </c>
      <c r="AH17">
        <v>20.7</v>
      </c>
      <c r="AI17">
        <v>21.9</v>
      </c>
      <c r="AJ17">
        <v>24.2</v>
      </c>
      <c r="AK17">
        <f>AVERAGE(G17:AJ17)</f>
        <v>23.1</v>
      </c>
      <c r="AL17">
        <f>STDEVA(G17:AJ17)</f>
        <v>7.3710687944431568</v>
      </c>
    </row>
    <row r="18" spans="1:38" x14ac:dyDescent="0.3">
      <c r="A18" s="1" t="s">
        <v>16</v>
      </c>
      <c r="B18" s="5" t="s">
        <v>105</v>
      </c>
      <c r="C18" s="5" t="s">
        <v>106</v>
      </c>
      <c r="D18" s="5"/>
      <c r="E18" s="5"/>
      <c r="F18" s="4">
        <v>1.5</v>
      </c>
      <c r="G18" t="s">
        <v>101</v>
      </c>
      <c r="H18">
        <v>4.5</v>
      </c>
      <c r="I18" t="s">
        <v>101</v>
      </c>
      <c r="J18" t="s">
        <v>101</v>
      </c>
      <c r="K18" s="1">
        <v>4.0999999999999996</v>
      </c>
      <c r="L18" t="s">
        <v>101</v>
      </c>
      <c r="M18" t="s">
        <v>101</v>
      </c>
      <c r="N18" t="s">
        <v>101</v>
      </c>
      <c r="O18" t="s">
        <v>101</v>
      </c>
      <c r="P18" t="s">
        <v>102</v>
      </c>
      <c r="Q18">
        <v>2.4</v>
      </c>
      <c r="R18" t="s">
        <v>102</v>
      </c>
      <c r="S18" s="1">
        <v>2.4</v>
      </c>
      <c r="T18" s="1" t="s">
        <v>102</v>
      </c>
      <c r="U18" t="s">
        <v>101</v>
      </c>
      <c r="V18" t="s">
        <v>102</v>
      </c>
      <c r="W18" t="s">
        <v>102</v>
      </c>
      <c r="X18">
        <v>2.2000000000000002</v>
      </c>
      <c r="Y18">
        <v>3.3</v>
      </c>
      <c r="Z18">
        <v>1.6</v>
      </c>
      <c r="AA18" t="s">
        <v>102</v>
      </c>
      <c r="AB18" t="s">
        <v>101</v>
      </c>
      <c r="AC18" t="s">
        <v>101</v>
      </c>
      <c r="AD18">
        <v>2.2999999999999998</v>
      </c>
      <c r="AE18">
        <v>3.2</v>
      </c>
      <c r="AF18">
        <v>1</v>
      </c>
      <c r="AG18">
        <v>3.3</v>
      </c>
      <c r="AH18">
        <v>4</v>
      </c>
      <c r="AI18" t="s">
        <v>102</v>
      </c>
      <c r="AJ18">
        <v>0.4</v>
      </c>
      <c r="AK18">
        <f>AVERAGE(G18:AJ18)</f>
        <v>2.6692307692307695</v>
      </c>
      <c r="AL18">
        <f>STDEVA(G18:AJ18)</f>
        <v>1.5571156653897933</v>
      </c>
    </row>
    <row r="19" spans="1:38" x14ac:dyDescent="0.3">
      <c r="A19" s="1" t="s">
        <v>17</v>
      </c>
      <c r="B19" s="5" t="s">
        <v>107</v>
      </c>
      <c r="C19" s="5" t="s">
        <v>65</v>
      </c>
      <c r="D19" s="5"/>
      <c r="E19" s="5"/>
      <c r="F19" s="4">
        <v>31</v>
      </c>
      <c r="G19" t="s">
        <v>101</v>
      </c>
      <c r="H19">
        <v>24</v>
      </c>
      <c r="I19" t="s">
        <v>101</v>
      </c>
      <c r="J19" t="s">
        <v>101</v>
      </c>
      <c r="K19" s="1">
        <v>23</v>
      </c>
      <c r="L19" t="s">
        <v>101</v>
      </c>
      <c r="M19" t="s">
        <v>101</v>
      </c>
      <c r="N19" t="s">
        <v>101</v>
      </c>
      <c r="O19" t="s">
        <v>101</v>
      </c>
      <c r="P19" t="s">
        <v>102</v>
      </c>
      <c r="Q19">
        <v>-24</v>
      </c>
      <c r="R19" t="s">
        <v>102</v>
      </c>
      <c r="S19" s="1">
        <v>39</v>
      </c>
      <c r="T19" s="1" t="s">
        <v>102</v>
      </c>
      <c r="U19" t="s">
        <v>101</v>
      </c>
      <c r="V19" t="s">
        <v>102</v>
      </c>
      <c r="W19" t="s">
        <v>102</v>
      </c>
      <c r="X19">
        <v>38</v>
      </c>
      <c r="Y19">
        <v>12</v>
      </c>
      <c r="Z19">
        <v>40</v>
      </c>
      <c r="AA19" t="s">
        <v>102</v>
      </c>
      <c r="AB19" t="s">
        <v>101</v>
      </c>
      <c r="AC19" t="s">
        <v>101</v>
      </c>
      <c r="AD19">
        <v>26</v>
      </c>
      <c r="AE19">
        <v>16</v>
      </c>
      <c r="AF19">
        <v>27</v>
      </c>
      <c r="AG19">
        <v>23</v>
      </c>
      <c r="AH19">
        <v>-17</v>
      </c>
      <c r="AI19" t="s">
        <v>102</v>
      </c>
      <c r="AJ19">
        <v>18</v>
      </c>
      <c r="AK19">
        <f>AVERAGE(G19:AJ19)</f>
        <v>18.846153846153847</v>
      </c>
      <c r="AL19">
        <f>STDEVA(G19:AJ19)</f>
        <v>15.74819821841333</v>
      </c>
    </row>
    <row r="20" spans="1:38" x14ac:dyDescent="0.3">
      <c r="A20" s="1" t="s">
        <v>18</v>
      </c>
      <c r="B20" s="5" t="s">
        <v>108</v>
      </c>
      <c r="C20" s="5" t="s">
        <v>71</v>
      </c>
      <c r="D20" s="5"/>
      <c r="E20" s="5" t="s">
        <v>36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8" x14ac:dyDescent="0.3">
      <c r="A21" s="1" t="s">
        <v>4</v>
      </c>
      <c r="B21" s="5"/>
      <c r="C21" s="5"/>
      <c r="D21" s="5"/>
      <c r="E21" s="5"/>
      <c r="K21" s="1" t="s">
        <v>4</v>
      </c>
      <c r="S21" s="1" t="s">
        <v>4</v>
      </c>
    </row>
    <row r="22" spans="1:38" x14ac:dyDescent="0.3">
      <c r="A22" s="1" t="s">
        <v>115</v>
      </c>
      <c r="B22" s="5"/>
      <c r="C22" s="5"/>
      <c r="D22" s="5"/>
      <c r="E22" s="5"/>
      <c r="K22" s="1"/>
      <c r="S22" s="1"/>
    </row>
    <row r="23" spans="1:38" x14ac:dyDescent="0.3">
      <c r="A23" s="1" t="s">
        <v>19</v>
      </c>
      <c r="B23" s="5"/>
      <c r="C23" s="5"/>
      <c r="D23" s="5"/>
      <c r="E23" s="5" t="s">
        <v>36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8" x14ac:dyDescent="0.3">
      <c r="A24" s="1" t="s">
        <v>20</v>
      </c>
      <c r="B24" s="5"/>
      <c r="C24" s="5"/>
      <c r="D24" s="5"/>
      <c r="E24" s="5"/>
      <c r="K24" s="1" t="s">
        <v>33</v>
      </c>
      <c r="Q24">
        <v>-24</v>
      </c>
      <c r="S24" s="1" t="s">
        <v>21</v>
      </c>
      <c r="AG24">
        <v>26</v>
      </c>
    </row>
    <row r="25" spans="1:38" x14ac:dyDescent="0.3">
      <c r="A25" s="1" t="s">
        <v>22</v>
      </c>
      <c r="B25" s="5"/>
      <c r="C25" s="5"/>
      <c r="D25" s="5"/>
      <c r="E25" s="5" t="s">
        <v>36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  <c r="AG25">
        <v>0.5</v>
      </c>
      <c r="AH25">
        <v>0.5</v>
      </c>
      <c r="AI25">
        <v>0.5</v>
      </c>
      <c r="AJ25">
        <v>0.5</v>
      </c>
    </row>
    <row r="26" spans="1:38" x14ac:dyDescent="0.3">
      <c r="A26" s="1" t="s">
        <v>23</v>
      </c>
      <c r="B26" s="5"/>
      <c r="C26" s="5"/>
      <c r="D26" s="5"/>
      <c r="E26" s="5"/>
      <c r="K26" s="1">
        <f>1.7/9.1</f>
        <v>0.18681318681318682</v>
      </c>
      <c r="Q26">
        <f>1.7/2.5</f>
        <v>0.67999999999999994</v>
      </c>
      <c r="S26" s="1" t="s">
        <v>24</v>
      </c>
      <c r="AG26">
        <f>1.7/6.8</f>
        <v>0.25</v>
      </c>
    </row>
    <row r="27" spans="1:38" x14ac:dyDescent="0.3">
      <c r="A27" s="1" t="s">
        <v>25</v>
      </c>
      <c r="B27" s="5"/>
      <c r="C27" s="5"/>
      <c r="D27" s="5"/>
      <c r="E27" s="5"/>
      <c r="K27" s="1">
        <f>1.7/2.7</f>
        <v>0.62962962962962954</v>
      </c>
      <c r="Q27">
        <f>1.7/1.1</f>
        <v>1.5454545454545452</v>
      </c>
      <c r="S27" s="1" t="s">
        <v>26</v>
      </c>
      <c r="AG27">
        <f>1.7/1.9</f>
        <v>0.89473684210526316</v>
      </c>
    </row>
    <row r="28" spans="1:38" x14ac:dyDescent="0.3">
      <c r="A28" s="1" t="s">
        <v>130</v>
      </c>
      <c r="B28" s="5"/>
      <c r="C28" s="5"/>
      <c r="D28" s="5"/>
      <c r="E28" s="5"/>
      <c r="F28">
        <f>1.7/2.20833</f>
        <v>0.76981248273582292</v>
      </c>
      <c r="G28">
        <f>1.7/10.01429</f>
        <v>0.16975741665160485</v>
      </c>
      <c r="H28">
        <f>1.7/3.32</f>
        <v>0.51204819277108438</v>
      </c>
      <c r="I28" t="s">
        <v>103</v>
      </c>
      <c r="J28">
        <f>1.7/ 5.26</f>
        <v>0.32319391634980987</v>
      </c>
      <c r="K28" s="1">
        <f>1.7/5.85</f>
        <v>0.29059829059829062</v>
      </c>
      <c r="L28">
        <f>1.7/11.2</f>
        <v>0.1517857142857143</v>
      </c>
      <c r="M28">
        <f>1.7/3.31</f>
        <v>0.51359516616314194</v>
      </c>
      <c r="N28">
        <f>1.7/3.522</f>
        <v>0.48268029528676892</v>
      </c>
      <c r="O28">
        <f>1.7/3.09</f>
        <v>0.55016181229773464</v>
      </c>
      <c r="P28">
        <f>1.7/1.513</f>
        <v>1.1235955056179776</v>
      </c>
      <c r="Q28">
        <f>1.7/1.589</f>
        <v>1.0698552548772813</v>
      </c>
      <c r="R28">
        <f>1.7/3.785</f>
        <v>0.44914134742404227</v>
      </c>
      <c r="S28" s="1">
        <f>1.7/10.08</f>
        <v>0.16865079365079363</v>
      </c>
      <c r="T28">
        <f>1.7/6.59</f>
        <v>0.25796661608497723</v>
      </c>
      <c r="U28">
        <f>1.7/3.687</f>
        <v>0.46107946840249525</v>
      </c>
      <c r="V28">
        <f>1.7/7.17</f>
        <v>0.23709902370990238</v>
      </c>
      <c r="W28">
        <f>1.7/(2.067)</f>
        <v>0.82244799225931298</v>
      </c>
      <c r="X28">
        <f>1.7/3.2</f>
        <v>0.53125</v>
      </c>
      <c r="Y28">
        <f>1.7/4.89</f>
        <v>0.34764826175869123</v>
      </c>
      <c r="Z28">
        <f>1.7/2.81</f>
        <v>0.60498220640569389</v>
      </c>
      <c r="AA28">
        <f>1.7/2.82</f>
        <v>0.6028368794326241</v>
      </c>
      <c r="AB28">
        <f>1.7/3.51</f>
        <v>0.48433048433048437</v>
      </c>
      <c r="AC28">
        <f>1.7/2.87</f>
        <v>0.59233449477351907</v>
      </c>
      <c r="AD28">
        <f>1.7/6.27</f>
        <v>0.27113237639553428</v>
      </c>
      <c r="AE28">
        <f>1.7/3.32</f>
        <v>0.51204819277108438</v>
      </c>
      <c r="AF28">
        <f>1.7/4.94</f>
        <v>0.34412955465587042</v>
      </c>
      <c r="AG28">
        <f>1.7/3.6</f>
        <v>0.47222222222222221</v>
      </c>
      <c r="AH28">
        <f>1.7/2.63</f>
        <v>0.64638783269961975</v>
      </c>
      <c r="AI28">
        <f>1.7/7.05</f>
        <v>0.24113475177304963</v>
      </c>
      <c r="AJ28">
        <f>1.7/3.8</f>
        <v>0.44736842105263158</v>
      </c>
      <c r="AK28">
        <f>MAX(F28:AJ28)</f>
        <v>1.1235955056179776</v>
      </c>
    </row>
    <row r="29" spans="1:38" x14ac:dyDescent="0.3">
      <c r="A29" s="1" t="s">
        <v>4</v>
      </c>
      <c r="B29" s="5"/>
      <c r="C29" s="5"/>
      <c r="D29" s="5"/>
      <c r="E29" s="5"/>
      <c r="K29" s="1" t="s">
        <v>4</v>
      </c>
      <c r="S29" s="1" t="s">
        <v>4</v>
      </c>
    </row>
    <row r="30" spans="1:38" x14ac:dyDescent="0.3">
      <c r="A30" s="1" t="s">
        <v>31</v>
      </c>
      <c r="B30" s="5"/>
      <c r="C30" s="5"/>
      <c r="D30" s="5"/>
      <c r="E30" s="5"/>
      <c r="F30" t="s">
        <v>112</v>
      </c>
      <c r="G30" t="s">
        <v>116</v>
      </c>
      <c r="H30" t="s">
        <v>117</v>
      </c>
      <c r="I30" t="s">
        <v>118</v>
      </c>
      <c r="J30" t="s">
        <v>103</v>
      </c>
      <c r="K30" s="1" t="s">
        <v>119</v>
      </c>
      <c r="L30" t="s">
        <v>103</v>
      </c>
      <c r="M30" t="s">
        <v>120</v>
      </c>
      <c r="N30" t="s">
        <v>103</v>
      </c>
      <c r="O30" t="s">
        <v>103</v>
      </c>
      <c r="P30" t="s">
        <v>103</v>
      </c>
      <c r="Q30" t="s">
        <v>120</v>
      </c>
      <c r="R30" t="s">
        <v>121</v>
      </c>
      <c r="S30" s="1" t="s">
        <v>123</v>
      </c>
      <c r="T30" t="s">
        <v>103</v>
      </c>
      <c r="U30" t="s">
        <v>124</v>
      </c>
      <c r="V30" t="s">
        <v>103</v>
      </c>
      <c r="W30" t="s">
        <v>125</v>
      </c>
      <c r="X30" t="s">
        <v>126</v>
      </c>
      <c r="Y30" t="s">
        <v>127</v>
      </c>
      <c r="Z30" t="s">
        <v>125</v>
      </c>
      <c r="AA30" t="s">
        <v>103</v>
      </c>
      <c r="AB30" t="s">
        <v>127</v>
      </c>
      <c r="AC30" t="s">
        <v>127</v>
      </c>
      <c r="AE30" t="s">
        <v>103</v>
      </c>
      <c r="AF30" t="s">
        <v>128</v>
      </c>
      <c r="AI30" t="s">
        <v>129</v>
      </c>
      <c r="AJ30" t="s">
        <v>112</v>
      </c>
    </row>
    <row r="31" spans="1:38" x14ac:dyDescent="0.3">
      <c r="A31" s="1" t="s">
        <v>27</v>
      </c>
      <c r="B31" s="5" t="s">
        <v>114</v>
      </c>
      <c r="C31" s="5"/>
      <c r="D31" s="5"/>
      <c r="E31" s="5"/>
      <c r="F31">
        <v>425.9</v>
      </c>
      <c r="G31">
        <v>812.85</v>
      </c>
      <c r="H31">
        <v>532.9</v>
      </c>
      <c r="I31" s="9">
        <v>785.4</v>
      </c>
      <c r="J31">
        <v>0</v>
      </c>
      <c r="K31" s="9">
        <v>518.20000000000005</v>
      </c>
      <c r="L31" s="9">
        <v>9</v>
      </c>
      <c r="M31">
        <v>724.84</v>
      </c>
      <c r="N31">
        <v>0</v>
      </c>
      <c r="O31">
        <v>0</v>
      </c>
      <c r="P31">
        <v>0</v>
      </c>
      <c r="Q31">
        <v>783.91</v>
      </c>
      <c r="R31">
        <v>598.79999999999995</v>
      </c>
      <c r="S31" s="1" t="s">
        <v>122</v>
      </c>
      <c r="T31">
        <v>0</v>
      </c>
      <c r="U31">
        <v>703.53</v>
      </c>
      <c r="V31">
        <v>0</v>
      </c>
      <c r="W31" s="9">
        <v>529.64</v>
      </c>
      <c r="X31">
        <v>532.89</v>
      </c>
      <c r="Y31">
        <v>655.61</v>
      </c>
      <c r="Z31">
        <v>776.8</v>
      </c>
      <c r="AA31">
        <v>470.14</v>
      </c>
      <c r="AB31">
        <v>648.63</v>
      </c>
      <c r="AC31">
        <v>648.63</v>
      </c>
      <c r="AD31" s="9">
        <v>584.25</v>
      </c>
      <c r="AE31">
        <v>0</v>
      </c>
      <c r="AF31">
        <v>725.38</v>
      </c>
      <c r="AG31">
        <v>442.08</v>
      </c>
      <c r="AH31">
        <v>787.42</v>
      </c>
      <c r="AI31" s="9">
        <v>752.68</v>
      </c>
      <c r="AJ31">
        <v>560.41</v>
      </c>
    </row>
    <row r="32" spans="1:38" x14ac:dyDescent="0.3">
      <c r="A32" s="1" t="s">
        <v>28</v>
      </c>
      <c r="B32" s="5"/>
      <c r="C32" s="5"/>
      <c r="D32" s="5"/>
      <c r="E32" s="5"/>
      <c r="F32">
        <v>425.9</v>
      </c>
      <c r="H32">
        <v>533.46</v>
      </c>
      <c r="J32">
        <v>0</v>
      </c>
      <c r="K32" s="1">
        <v>518.65</v>
      </c>
      <c r="L32">
        <v>0</v>
      </c>
      <c r="N32">
        <v>0</v>
      </c>
      <c r="O32">
        <v>0</v>
      </c>
      <c r="P32">
        <v>0</v>
      </c>
      <c r="Q32" s="9"/>
      <c r="R32" s="9">
        <v>599.4</v>
      </c>
      <c r="S32" s="1"/>
      <c r="T32">
        <v>0</v>
      </c>
      <c r="V32">
        <v>0</v>
      </c>
      <c r="Y32" s="9">
        <v>655.88</v>
      </c>
      <c r="AA32">
        <v>0</v>
      </c>
      <c r="AB32">
        <v>649.26</v>
      </c>
      <c r="AC32">
        <v>649.26</v>
      </c>
      <c r="AD32">
        <v>584.53</v>
      </c>
      <c r="AE32">
        <v>0</v>
      </c>
      <c r="AG32">
        <v>442.38</v>
      </c>
      <c r="AH32">
        <v>787.53</v>
      </c>
    </row>
    <row r="33" spans="1:34" x14ac:dyDescent="0.3">
      <c r="A33" s="1" t="s">
        <v>29</v>
      </c>
      <c r="B33" s="5"/>
      <c r="C33" s="5"/>
      <c r="D33" s="5"/>
      <c r="E33" s="5"/>
      <c r="F33">
        <v>425.9</v>
      </c>
      <c r="H33">
        <v>532.75</v>
      </c>
      <c r="J33">
        <v>0</v>
      </c>
      <c r="K33" s="1">
        <v>517.76</v>
      </c>
      <c r="L33">
        <v>0</v>
      </c>
      <c r="N33">
        <v>0</v>
      </c>
      <c r="O33">
        <v>0</v>
      </c>
      <c r="P33">
        <v>0</v>
      </c>
      <c r="R33">
        <v>598.44000000000005</v>
      </c>
      <c r="S33" s="1"/>
      <c r="T33">
        <v>0</v>
      </c>
      <c r="V33">
        <v>0</v>
      </c>
      <c r="Y33">
        <v>655.33000000000004</v>
      </c>
      <c r="AA33">
        <v>0</v>
      </c>
      <c r="AB33">
        <v>648.53</v>
      </c>
      <c r="AC33">
        <v>648.53</v>
      </c>
      <c r="AD33">
        <v>584.14</v>
      </c>
      <c r="AE33">
        <v>0</v>
      </c>
      <c r="AG33">
        <v>441.86</v>
      </c>
      <c r="AH33" s="9">
        <v>787.18</v>
      </c>
    </row>
    <row r="34" spans="1:34" x14ac:dyDescent="0.3">
      <c r="A34" s="1" t="s">
        <v>30</v>
      </c>
      <c r="B34" s="5" t="s">
        <v>113</v>
      </c>
      <c r="C34" s="5" t="s">
        <v>65</v>
      </c>
      <c r="D34" s="5"/>
      <c r="E34" s="5"/>
      <c r="F34">
        <v>0</v>
      </c>
      <c r="H34">
        <v>116</v>
      </c>
      <c r="J34">
        <v>0</v>
      </c>
      <c r="K34" s="1">
        <v>8</v>
      </c>
      <c r="L34">
        <v>0</v>
      </c>
      <c r="N34">
        <v>0</v>
      </c>
      <c r="O34">
        <v>0</v>
      </c>
      <c r="P34">
        <v>0</v>
      </c>
      <c r="R34">
        <v>29</v>
      </c>
      <c r="S34" s="1"/>
      <c r="T34">
        <v>0</v>
      </c>
      <c r="V34">
        <v>0</v>
      </c>
      <c r="Y34">
        <v>-1</v>
      </c>
      <c r="AA34">
        <v>0</v>
      </c>
      <c r="AB34">
        <v>-1</v>
      </c>
      <c r="AC34">
        <v>-1</v>
      </c>
      <c r="AD34">
        <v>30</v>
      </c>
      <c r="AE34">
        <v>0</v>
      </c>
      <c r="AG34">
        <v>7</v>
      </c>
      <c r="AH34">
        <v>-75</v>
      </c>
    </row>
    <row r="35" spans="1:34" x14ac:dyDescent="0.3">
      <c r="A35" s="1"/>
      <c r="B35" s="5"/>
      <c r="C35" s="5"/>
      <c r="D35" s="5"/>
      <c r="E35" s="5"/>
      <c r="K35" s="1" t="s">
        <v>4</v>
      </c>
      <c r="S35" s="1" t="s">
        <v>4</v>
      </c>
      <c r="V35" s="9"/>
    </row>
    <row r="37" spans="1:34" x14ac:dyDescent="0.3">
      <c r="H37" s="9"/>
      <c r="AC37" s="9"/>
    </row>
  </sheetData>
  <conditionalFormatting sqref="F9:AJ9">
    <cfRule type="top10" dxfId="16" priority="9" percent="1" rank="10"/>
    <cfRule type="top10" dxfId="15" priority="8" percent="1" bottom="1" rank="10"/>
  </conditionalFormatting>
  <conditionalFormatting sqref="F17:AI17">
    <cfRule type="top10" dxfId="14" priority="7" percent="1" rank="10"/>
    <cfRule type="top10" dxfId="13" priority="6" percent="1" bottom="1" rank="10"/>
  </conditionalFormatting>
  <conditionalFormatting sqref="F16:AJ16">
    <cfRule type="cellIs" dxfId="12" priority="5" operator="equal">
      <formula>"daily"</formula>
    </cfRule>
  </conditionalFormatting>
  <conditionalFormatting sqref="F28:AJ28">
    <cfRule type="top10" dxfId="11" priority="4" percent="1" rank="10"/>
    <cfRule type="top10" dxfId="10" priority="3" percent="1" bottom="1" rank="10"/>
  </conditionalFormatting>
  <conditionalFormatting sqref="F14:AJ14">
    <cfRule type="top10" dxfId="0" priority="2" percent="1" rank="20"/>
    <cfRule type="top10" dxfId="1" priority="1" percent="1" bottom="1" rank="20"/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e 1 f f a 9 - e c 4 1 - 4 e d e - 8 1 8 1 - f 7 7 c 9 2 7 3 8 3 0 1 "   x m l n s = " h t t p : / / s c h e m a s . m i c r o s o f t . c o m / D a t a M a s h u p " > A A A A A I Y E A A B Q S w M E F A A C A A g A b V P t U G f 9 k k e n A A A A + A A A A B I A H A B D b 2 5 m a W c v U G F j a 2 F n Z S 5 4 b W w g o h g A K K A U A A A A A A A A A A A A A A A A A A A A A A A A A A A A h Y 8 x D o I w G E a v Q r r T l g p q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O 8 Y D i K o j k O w w D I h C F T + q u w s R h T I D 8 Q V n 1 t + 0 7 y Q v r r D Z B p A n m / 4 E 9 Q S w M E F A A C A A g A b V P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T 7 V D Q W w e P f Q E A A L I F A A A T A B w A R m 9 y b X V s Y X M v U 2 V j d G l v b j E u b S C i G A A o o B Q A A A A A A A A A A A A A A A A A A A A A A A A A A A D t k t F O w j A U h u 9 J e I e m 3 E C y L A 5 B U b M L H K J G M S o Y L 5 w h c x x G Q 3 d K 2 s 5 A C G / j m / h i V g c C M Y 1 X J p r Y i 7 b 5 T n P y / 6 e / g l g z g a S b n 9 5 R s V A s q F E k Y U B K 9 D 5 K G C Y g u w A k F j h k C S U + 4 a C L B W L W T Q a c g y G 9 6 I m D 2 5 Y i D Q T P U l T l + S V D U B / o m G E k Z + U 2 M 0 8 C g R p Q q z I N D s M 7 B V K F E f J G P R 6 H L V B j L S b h 9 a g V 1 v o d M T C 9 G c g M k 7 D a D 8 6 a t + f d T t N c O 1 E s x W Q U M p x k O t x Q 6 O Y K X T 3 V t O I Q z D h f 7 V 6 1 X q 0 s K s U C w 0 3 l 2 2 Y v B C B L l P r G a 6 C e 3 Z a I s 9 T 4 + C F T a y X b n h 5 a w F n K N E i f E u q Q 5 b B 9 z 3 P I C c Z i Y E b h v 3 t 1 j F y h o a t n H P z 1 1 b 0 S C I 8 V J 3 d U o q f w + o I D k K Y h 6 c 0 m 9 P M n e z J C N R R y + Z 2 m B q q c T 8 C Z z 2 l O P a N A m w r R M N U L h 6 x 4 1 c J 3 L b x m 4 X U L 3 7 P w f Q t v W P i B h X s 7 t s K 2 4 8 0 8 f Z 3 l d r a C E Y P 0 F y R r p e M / V 3 8 2 V 2 9 Q S w E C L Q A U A A I A C A B t U + 1 Q Z / 2 S R 6 c A A A D 4 A A A A E g A A A A A A A A A A A A A A A A A A A A A A Q 2 9 u Z m l n L 1 B h Y 2 t h Z 2 U u e G 1 s U E s B A i 0 A F A A C A A g A b V P t U A / K 6 a u k A A A A 6 Q A A A B M A A A A A A A A A A A A A A A A A 8 w A A A F t D b 2 5 0 Z W 5 0 X 1 R 5 c G V z X S 5 4 b W x Q S w E C L Q A U A A I A C A B t U + 1 Q 0 F s H j 3 0 B A A C y B Q A A E w A A A A A A A A A A A A A A A A D k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I Q A A A A A A A P k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Y W d p b m d l c l N l Z S U y M G N v b m Z p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W d p b m d l c l N l Z S B j b 2 5 m a W c v U X V l b G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d h Z 2 l u Z 2 V y U 2 V l I G N v b m Z p Z y 9 R d W V s b G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j A t M D c t M T N U M D g 6 M j Q 6 M D E u N T c 4 O T Q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X V l c n l J R C I g V m F s d W U 9 I n M y Y j A 2 N z I y N C 0 1 Y T k 4 L T R m M z U t O T Q 1 O C 1 l N z k 4 Y T h k Y j g y Y W Y i I C 8 + P C 9 T d G F i b G V F b n R y a W V z P j w v S X R l b T 4 8 S X R l b T 4 8 S X R l b U x v Y 2 F 0 a W 9 u P j x J d G V t V H l w Z T 5 G b 3 J t d W x h P C 9 J d G V t V H l w Z T 4 8 S X R l b V B h d G g + U 2 V j d G l v b j E v V 2 F n a W 5 n Z X J T Z W U l M j B j b 2 5 m a W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l b m l n c 3 N l Z S U y M G N v b m Z p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A 4 O j I 1 O j E 5 L j E 5 O T M 3 M D F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2 V u a W d z c 2 V l I G N v b m Z p Z y 9 H Z c O k b m R l c n R l c i B U e X A u e 0 N v b H V t b j E s M H 0 m c X V v d D s s J n F 1 b 3 Q 7 U 2 V j d G l v b j E v S 2 9 l b m l n c 3 N l Z S B j b 2 5 m a W c v R 2 X D p G 5 k Z X J 0 Z X I g V H l w L n t D b 2 x 1 b W 4 y L D F 9 J n F 1 b 3 Q 7 L C Z x d W 9 0 O 1 N l Y 3 R p b 2 4 x L 0 t v Z W 5 p Z 3 N z Z W U g Y 2 9 u Z m l n L 0 d l w 6 R u Z G V y d G V y I F R 5 c C 5 7 Q 2 9 s d W 1 u M y w y f S Z x d W 9 0 O y w m c X V v d D t T Z W N 0 a W 9 u M S 9 L b 2 V u a W d z c 2 V l I G N v b m Z p Z y 9 H Z c O k b m R l c n R l c i B U e X A u e 0 N v b H V t b j Q s M 3 0 m c X V v d D s s J n F 1 b 3 Q 7 U 2 V j d G l v b j E v S 2 9 l b m l n c 3 N l Z S B j b 2 5 m a W c v R 2 X D p G 5 k Z X J 0 Z X I g V H l w L n t D b 2 x 1 b W 4 1 L D R 9 J n F 1 b 3 Q 7 L C Z x d W 9 0 O 1 N l Y 3 R p b 2 4 x L 0 t v Z W 5 p Z 3 N z Z W U g Y 2 9 u Z m l n L 0 d l w 6 R u Z G V y d G V y I F R 5 c C 5 7 Q 2 9 s d W 1 u N i w 1 f S Z x d W 9 0 O y w m c X V v d D t T Z W N 0 a W 9 u M S 9 L b 2 V u a W d z c 2 V l I G N v b m Z p Z y 9 H Z c O k b m R l c n R l c i B U e X A u e 0 N v b H V t b j c s N n 0 m c X V v d D s s J n F 1 b 3 Q 7 U 2 V j d G l v b j E v S 2 9 l b m l n c 3 N l Z S B j b 2 5 m a W c v R 2 X D p G 5 k Z X J 0 Z X I g V H l w L n t D b 2 x 1 b W 4 4 L D d 9 J n F 1 b 3 Q 7 L C Z x d W 9 0 O 1 N l Y 3 R p b 2 4 x L 0 t v Z W 5 p Z 3 N z Z W U g Y 2 9 u Z m l n L 0 d l w 6 R u Z G V y d G V y I F R 5 c C 5 7 Q 2 9 s d W 1 u O S w 4 f S Z x d W 9 0 O y w m c X V v d D t T Z W N 0 a W 9 u M S 9 L b 2 V u a W d z c 2 V l I G N v b m Z p Z y 9 H Z c O k b m R l c n R l c i B U e X A u e 0 N v b H V t b j E w L D l 9 J n F 1 b 3 Q 7 L C Z x d W 9 0 O 1 N l Y 3 R p b 2 4 x L 0 t v Z W 5 p Z 3 N z Z W U g Y 2 9 u Z m l n L 0 d l w 6 R u Z G V y d G V y I F R 5 c C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L b 2 V u a W d z c 2 V l I G N v b m Z p Z y 9 H Z c O k b m R l c n R l c i B U e X A u e 0 N v b H V t b j E s M H 0 m c X V v d D s s J n F 1 b 3 Q 7 U 2 V j d G l v b j E v S 2 9 l b m l n c 3 N l Z S B j b 2 5 m a W c v R 2 X D p G 5 k Z X J 0 Z X I g V H l w L n t D b 2 x 1 b W 4 y L D F 9 J n F 1 b 3 Q 7 L C Z x d W 9 0 O 1 N l Y 3 R p b 2 4 x L 0 t v Z W 5 p Z 3 N z Z W U g Y 2 9 u Z m l n L 0 d l w 6 R u Z G V y d G V y I F R 5 c C 5 7 Q 2 9 s d W 1 u M y w y f S Z x d W 9 0 O y w m c X V v d D t T Z W N 0 a W 9 u M S 9 L b 2 V u a W d z c 2 V l I G N v b m Z p Z y 9 H Z c O k b m R l c n R l c i B U e X A u e 0 N v b H V t b j Q s M 3 0 m c X V v d D s s J n F 1 b 3 Q 7 U 2 V j d G l v b j E v S 2 9 l b m l n c 3 N l Z S B j b 2 5 m a W c v R 2 X D p G 5 k Z X J 0 Z X I g V H l w L n t D b 2 x 1 b W 4 1 L D R 9 J n F 1 b 3 Q 7 L C Z x d W 9 0 O 1 N l Y 3 R p b 2 4 x L 0 t v Z W 5 p Z 3 N z Z W U g Y 2 9 u Z m l n L 0 d l w 6 R u Z G V y d G V y I F R 5 c C 5 7 Q 2 9 s d W 1 u N i w 1 f S Z x d W 9 0 O y w m c X V v d D t T Z W N 0 a W 9 u M S 9 L b 2 V u a W d z c 2 V l I G N v b m Z p Z y 9 H Z c O k b m R l c n R l c i B U e X A u e 0 N v b H V t b j c s N n 0 m c X V v d D s s J n F 1 b 3 Q 7 U 2 V j d G l v b j E v S 2 9 l b m l n c 3 N l Z S B j b 2 5 m a W c v R 2 X D p G 5 k Z X J 0 Z X I g V H l w L n t D b 2 x 1 b W 4 4 L D d 9 J n F 1 b 3 Q 7 L C Z x d W 9 0 O 1 N l Y 3 R p b 2 4 x L 0 t v Z W 5 p Z 3 N z Z W U g Y 2 9 u Z m l n L 0 d l w 6 R u Z G V y d G V y I F R 5 c C 5 7 Q 2 9 s d W 1 u O S w 4 f S Z x d W 9 0 O y w m c X V v d D t T Z W N 0 a W 9 u M S 9 L b 2 V u a W d z c 2 V l I G N v b m Z p Z y 9 H Z c O k b m R l c n R l c i B U e X A u e 0 N v b H V t b j E w L D l 9 J n F 1 b 3 Q 7 L C Z x d W 9 0 O 1 N l Y 3 R p b 2 4 x L 0 t v Z W 5 p Z 3 N z Z W U g Y 2 9 u Z m l n L 0 d l w 6 R u Z G V y d G V y I F R 5 c C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2 V u a W d z c 2 V l J T I w Y 2 9 u Z m l n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Z W 5 p Z 3 N z Z W U l M j B j b 2 5 m a W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Z W 1 z Z W U l M j B j b 2 5 m a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h p Z W 1 z Z W V f Y 2 9 u Z m l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A 4 O j I 3 O j I 2 L j c x O D U 3 N z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l l b X N l Z S B j b 2 5 m a W c v R 2 X D p G 5 k Z X J 0 Z X I g V H l w L n t D b 2 x 1 b W 4 x L D B 9 J n F 1 b 3 Q 7 L C Z x d W 9 0 O 1 N l Y 3 R p b 2 4 x L 0 N o a W V t c 2 V l I G N v b m Z p Z y 9 H Z c O k b m R l c n R l c i B U e X A u e 0 N v b H V t b j I s M X 0 m c X V v d D s s J n F 1 b 3 Q 7 U 2 V j d G l v b j E v Q 2 h p Z W 1 z Z W U g Y 2 9 u Z m l n L 0 d l w 6 R u Z G V y d G V y I F R 5 c C 5 7 Q 2 9 s d W 1 u M y w y f S Z x d W 9 0 O y w m c X V v d D t T Z W N 0 a W 9 u M S 9 D a G l l b X N l Z S B j b 2 5 m a W c v R 2 X D p G 5 k Z X J 0 Z X I g V H l w L n t D b 2 x 1 b W 4 0 L D N 9 J n F 1 b 3 Q 7 L C Z x d W 9 0 O 1 N l Y 3 R p b 2 4 x L 0 N o a W V t c 2 V l I G N v b m Z p Z y 9 H Z c O k b m R l c n R l c i B U e X A u e 0 N v b H V t b j U s N H 0 m c X V v d D s s J n F 1 b 3 Q 7 U 2 V j d G l v b j E v Q 2 h p Z W 1 z Z W U g Y 2 9 u Z m l n L 0 d l w 6 R u Z G V y d G V y I F R 5 c C 5 7 Q 2 9 s d W 1 u N i w 1 f S Z x d W 9 0 O y w m c X V v d D t T Z W N 0 a W 9 u M S 9 D a G l l b X N l Z S B j b 2 5 m a W c v R 2 X D p G 5 k Z X J 0 Z X I g V H l w L n t D b 2 x 1 b W 4 3 L D Z 9 J n F 1 b 3 Q 7 L C Z x d W 9 0 O 1 N l Y 3 R p b 2 4 x L 0 N o a W V t c 2 V l I G N v b m Z p Z y 9 H Z c O k b m R l c n R l c i B U e X A u e 0 N v b H V t b j g s N 3 0 m c X V v d D s s J n F 1 b 3 Q 7 U 2 V j d G l v b j E v Q 2 h p Z W 1 z Z W U g Y 2 9 u Z m l n L 0 d l w 6 R u Z G V y d G V y I F R 5 c C 5 7 Q 2 9 s d W 1 u O S w 4 f S Z x d W 9 0 O y w m c X V v d D t T Z W N 0 a W 9 u M S 9 D a G l l b X N l Z S B j b 2 5 m a W c v R 2 X D p G 5 k Z X J 0 Z X I g V H l w L n t D b 2 x 1 b W 4 x M C w 5 f S Z x d W 9 0 O y w m c X V v d D t T Z W N 0 a W 9 u M S 9 D a G l l b X N l Z S B j b 2 5 m a W c v R 2 X D p G 5 k Z X J 0 Z X I g V H l w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o a W V t c 2 V l I G N v b m Z p Z y 9 H Z c O k b m R l c n R l c i B U e X A u e 0 N v b H V t b j E s M H 0 m c X V v d D s s J n F 1 b 3 Q 7 U 2 V j d G l v b j E v Q 2 h p Z W 1 z Z W U g Y 2 9 u Z m l n L 0 d l w 6 R u Z G V y d G V y I F R 5 c C 5 7 Q 2 9 s d W 1 u M i w x f S Z x d W 9 0 O y w m c X V v d D t T Z W N 0 a W 9 u M S 9 D a G l l b X N l Z S B j b 2 5 m a W c v R 2 X D p G 5 k Z X J 0 Z X I g V H l w L n t D b 2 x 1 b W 4 z L D J 9 J n F 1 b 3 Q 7 L C Z x d W 9 0 O 1 N l Y 3 R p b 2 4 x L 0 N o a W V t c 2 V l I G N v b m Z p Z y 9 H Z c O k b m R l c n R l c i B U e X A u e 0 N v b H V t b j Q s M 3 0 m c X V v d D s s J n F 1 b 3 Q 7 U 2 V j d G l v b j E v Q 2 h p Z W 1 z Z W U g Y 2 9 u Z m l n L 0 d l w 6 R u Z G V y d G V y I F R 5 c C 5 7 Q 2 9 s d W 1 u N S w 0 f S Z x d W 9 0 O y w m c X V v d D t T Z W N 0 a W 9 u M S 9 D a G l l b X N l Z S B j b 2 5 m a W c v R 2 X D p G 5 k Z X J 0 Z X I g V H l w L n t D b 2 x 1 b W 4 2 L D V 9 J n F 1 b 3 Q 7 L C Z x d W 9 0 O 1 N l Y 3 R p b 2 4 x L 0 N o a W V t c 2 V l I G N v b m Z p Z y 9 H Z c O k b m R l c n R l c i B U e X A u e 0 N v b H V t b j c s N n 0 m c X V v d D s s J n F 1 b 3 Q 7 U 2 V j d G l v b j E v Q 2 h p Z W 1 z Z W U g Y 2 9 u Z m l n L 0 d l w 6 R u Z G V y d G V y I F R 5 c C 5 7 Q 2 9 s d W 1 u O C w 3 f S Z x d W 9 0 O y w m c X V v d D t T Z W N 0 a W 9 u M S 9 D a G l l b X N l Z S B j b 2 5 m a W c v R 2 X D p G 5 k Z X J 0 Z X I g V H l w L n t D b 2 x 1 b W 4 5 L D h 9 J n F 1 b 3 Q 7 L C Z x d W 9 0 O 1 N l Y 3 R p b 2 4 x L 0 N o a W V t c 2 V l I G N v b m Z p Z y 9 H Z c O k b m R l c n R l c i B U e X A u e 0 N v b H V t b j E w L D l 9 J n F 1 b 3 Q 7 L C Z x d W 9 0 O 1 N l Y 3 R p b 2 4 x L 0 N o a W V t c 2 V l I G N v b m Z p Z y 9 H Z c O k b m R l c n R l c i B U e X A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p Z W 1 z Z W U l M j B j b 2 5 m a W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Z W 1 z Z W U l M j B j b 2 5 m a W c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o e y 2 o Y g p C h R D v M n R 5 Q G g A A A A A A g A A A A A A E G Y A A A A B A A A g A A A A q 4 G j z 6 i a C r j j Y U C W U K e p v 8 / b I Z x l K o T + g b 0 J F N a G Z W c A A A A A D o A A A A A C A A A g A A A A W N W c 7 b 9 j A d 8 8 Z c t 9 N 8 a K H G Z y R C 8 6 f C 5 F 1 q R E c C 9 S 0 N N Q A A A A 3 4 6 9 c d a 2 1 Q 7 0 J h i 6 E D / x s L j A I k 8 L S Q T Y q B 2 3 2 K + p L X h q 2 Z h u n t N H 7 f Y s 5 I u W i r P P A k W / o n x b o x j v a 9 G u h S S E N C 8 7 v d N 8 u 8 r 6 W z 4 M s E I 8 5 F R A A A A A B F b 0 A + j h 7 w m E 6 a X C A t m 4 P m N 2 G 4 c b 0 V / V y c J 9 O p 7 Z 4 g x 7 l T N o F 2 A P U X 0 / / f F o a I a 5 T B G G v q v A 1 G N M G + O a u e a g G w = = < / D a t a M a s h u p > 
</file>

<file path=customXml/itemProps1.xml><?xml version="1.0" encoding="utf-8"?>
<ds:datastoreItem xmlns:ds="http://schemas.openxmlformats.org/officeDocument/2006/customXml" ds:itemID="{71506AA1-78B1-4838-9814-E7B5BF73C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Lew</dc:creator>
  <cp:lastModifiedBy>Anne Lew</cp:lastModifiedBy>
  <dcterms:created xsi:type="dcterms:W3CDTF">2020-07-13T08:22:22Z</dcterms:created>
  <dcterms:modified xsi:type="dcterms:W3CDTF">2020-09-15T15:41:00Z</dcterms:modified>
</cp:coreProperties>
</file>