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ne\OneDrive\Desktop\Uni\Master Thesis\Models\WBM_Improved_fat_absorption\data\"/>
    </mc:Choice>
  </mc:AlternateContent>
  <xr:revisionPtr revIDLastSave="0" documentId="13_ncr:1_{F1A1E2C4-72EE-4AE4-ACA2-A0ED85897A6B}" xr6:coauthVersionLast="47" xr6:coauthVersionMax="47" xr10:uidLastSave="{00000000-0000-0000-0000-000000000000}"/>
  <bookViews>
    <workbookView xWindow="14430" yWindow="-16200" windowWidth="14610" windowHeight="16305" activeTab="2" xr2:uid="{00000000-000D-0000-FFFF-FFFF00000000}"/>
  </bookViews>
  <sheets>
    <sheet name="Ark1" sheetId="7" r:id="rId1"/>
    <sheet name="Volume" sheetId="5" r:id="rId2"/>
    <sheet name="FlowRate" sheetId="6" r:id="rId3"/>
    <sheet name="Glucagon" sheetId="2" r:id="rId4"/>
    <sheet name="Insulin" sheetId="1" r:id="rId5"/>
    <sheet name="SIMOmodel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5"/>
  <c r="C3" i="6"/>
  <c r="C8" i="4"/>
  <c r="C10" i="5" l="1"/>
  <c r="B10" i="1"/>
  <c r="C6" i="1"/>
  <c r="C3" i="4"/>
  <c r="C4" i="4"/>
  <c r="C5" i="4"/>
  <c r="C6" i="4"/>
  <c r="C7" i="4"/>
  <c r="C2" i="4"/>
  <c r="B10" i="6" l="1"/>
  <c r="B9" i="5"/>
  <c r="B2" i="2"/>
  <c r="B6" i="1"/>
  <c r="O13" i="1"/>
  <c r="F8" i="4"/>
  <c r="F7" i="4"/>
  <c r="F4" i="4"/>
  <c r="F2" i="4"/>
  <c r="O11" i="4"/>
  <c r="K11" i="4"/>
  <c r="K12" i="4"/>
  <c r="K2" i="4"/>
  <c r="K7" i="4"/>
  <c r="J5" i="4"/>
  <c r="H5" i="4"/>
  <c r="J19" i="5"/>
  <c r="C4" i="6"/>
  <c r="B9" i="1"/>
  <c r="B5" i="1"/>
  <c r="B4" i="1"/>
  <c r="B2" i="1"/>
  <c r="B3" i="1"/>
  <c r="E8" i="6"/>
  <c r="D9" i="6"/>
  <c r="D8" i="6"/>
  <c r="D10" i="6"/>
  <c r="D12" i="6"/>
  <c r="D7" i="6"/>
  <c r="D6" i="6"/>
  <c r="D5" i="6"/>
  <c r="D4" i="6"/>
  <c r="D3" i="6"/>
  <c r="D2" i="6"/>
  <c r="C2" i="2"/>
  <c r="B7" i="1"/>
  <c r="B8" i="1"/>
  <c r="B11" i="1"/>
  <c r="B12" i="1"/>
  <c r="B13" i="1"/>
  <c r="B15" i="1"/>
  <c r="B3" i="6"/>
  <c r="B4" i="6"/>
  <c r="B5" i="6"/>
  <c r="B6" i="6"/>
  <c r="B7" i="6"/>
  <c r="B8" i="6"/>
  <c r="B9" i="6"/>
  <c r="B2" i="6"/>
  <c r="B3" i="5"/>
  <c r="B4" i="5"/>
  <c r="B5" i="5"/>
  <c r="B6" i="5"/>
  <c r="B7" i="5"/>
  <c r="B8" i="5"/>
  <c r="B10" i="5"/>
  <c r="B2" i="5"/>
  <c r="C11" i="6" l="1"/>
  <c r="K4" i="4"/>
  <c r="H2" i="4"/>
  <c r="L2" i="4"/>
  <c r="B11" i="6" l="1"/>
  <c r="J2" i="4"/>
  <c r="J23" i="4" l="1"/>
  <c r="K23" i="4" s="1"/>
  <c r="F5" i="4"/>
  <c r="R16" i="4"/>
  <c r="F8" i="1"/>
  <c r="F5" i="1"/>
  <c r="F7" i="1"/>
  <c r="F9" i="1"/>
  <c r="F10" i="1"/>
  <c r="F13" i="1"/>
  <c r="E5" i="4"/>
  <c r="F11" i="1"/>
  <c r="F12" i="1"/>
  <c r="F6" i="1"/>
  <c r="F15" i="1"/>
  <c r="F4" i="1"/>
  <c r="F3" i="1"/>
  <c r="F2" i="1"/>
  <c r="K24" i="4" l="1"/>
  <c r="I2" i="4"/>
  <c r="N11" i="4"/>
  <c r="G8" i="4" l="1"/>
  <c r="G4" i="4"/>
  <c r="C16" i="1" l="1"/>
  <c r="B16" i="1" s="1"/>
  <c r="F16" i="1" s="1"/>
  <c r="C14" i="1"/>
  <c r="B14" i="1" s="1"/>
  <c r="F14" i="1" s="1"/>
  <c r="AS20" i="1"/>
  <c r="AR20" i="1"/>
  <c r="AL20" i="1"/>
  <c r="AS19" i="1"/>
  <c r="AR19" i="1"/>
  <c r="AM19" i="1"/>
  <c r="AL19" i="1"/>
  <c r="AR7" i="1"/>
  <c r="AL7" i="1"/>
  <c r="AR6" i="1"/>
  <c r="AL6" i="1"/>
  <c r="AR5" i="1"/>
  <c r="AL5" i="1"/>
  <c r="AR4" i="1"/>
  <c r="AL4" i="1"/>
  <c r="AR3" i="1"/>
  <c r="AL3" i="1"/>
  <c r="K10" i="4" l="1"/>
  <c r="G3" i="4"/>
  <c r="G5" i="4"/>
  <c r="G7" i="4"/>
  <c r="G2" i="4"/>
  <c r="D2" i="2"/>
  <c r="D8" i="5"/>
  <c r="D7" i="5"/>
  <c r="D6" i="5"/>
  <c r="D5" i="5"/>
  <c r="D4" i="5"/>
  <c r="D3" i="5"/>
  <c r="D2" i="5"/>
  <c r="E2" i="5" s="1"/>
  <c r="M4" i="4" l="1"/>
  <c r="L4" i="4"/>
  <c r="L7" i="4"/>
  <c r="D10" i="5"/>
  <c r="E2" i="2"/>
  <c r="G9" i="4"/>
  <c r="D11" i="6"/>
  <c r="D9" i="5"/>
  <c r="I5" i="4"/>
  <c r="C5" i="6"/>
  <c r="D11" i="5"/>
  <c r="C11" i="5"/>
  <c r="B11" i="5"/>
  <c r="E11" i="6"/>
  <c r="C6" i="6"/>
  <c r="F6" i="4" l="1"/>
  <c r="F3" i="4"/>
  <c r="B12" i="6"/>
  <c r="E2" i="6"/>
  <c r="K8" i="4"/>
  <c r="N10" i="4"/>
  <c r="E11" i="5"/>
  <c r="C12" i="6"/>
  <c r="E10" i="6"/>
  <c r="E6" i="5"/>
  <c r="E8" i="5"/>
  <c r="E6" i="6"/>
  <c r="E3" i="5"/>
  <c r="E4" i="5"/>
  <c r="E7" i="5"/>
  <c r="E9" i="6"/>
  <c r="E4" i="6"/>
  <c r="E5" i="6"/>
  <c r="E7" i="6"/>
  <c r="E5" i="5"/>
  <c r="J8" i="4" l="1"/>
  <c r="E3" i="6"/>
  <c r="E12" i="6"/>
  <c r="E10" i="5" l="1"/>
  <c r="E9" i="5"/>
  <c r="E8" i="4" l="1"/>
  <c r="E9" i="4" s="1"/>
  <c r="I8" i="4" l="1"/>
  <c r="H4" i="4"/>
  <c r="F9" i="4"/>
  <c r="I4" i="4"/>
  <c r="I7" i="4" l="1"/>
  <c r="H7" i="4"/>
  <c r="J4" i="4"/>
  <c r="I3" i="4"/>
  <c r="H3" i="4" l="1"/>
  <c r="J3" i="4"/>
  <c r="M3" i="4" s="1"/>
  <c r="J6" i="4"/>
  <c r="H6" i="4"/>
  <c r="J7" i="4"/>
</calcChain>
</file>

<file path=xl/sharedStrings.xml><?xml version="1.0" encoding="utf-8"?>
<sst xmlns="http://schemas.openxmlformats.org/spreadsheetml/2006/main" count="429" uniqueCount="173">
  <si>
    <t>Parameter</t>
  </si>
  <si>
    <t>Value</t>
  </si>
  <si>
    <t>Unit</t>
  </si>
  <si>
    <t>U</t>
  </si>
  <si>
    <t>Brain</t>
  </si>
  <si>
    <t>Heart</t>
  </si>
  <si>
    <t>Liver</t>
  </si>
  <si>
    <t>Gut</t>
  </si>
  <si>
    <t>Kidney</t>
  </si>
  <si>
    <t>Adipose</t>
  </si>
  <si>
    <t>Muscle</t>
  </si>
  <si>
    <t>L</t>
  </si>
  <si>
    <t>mU/min</t>
  </si>
  <si>
    <t>1/min</t>
  </si>
  <si>
    <t>r_(MGammaC)</t>
  </si>
  <si>
    <t>L/min</t>
  </si>
  <si>
    <t>k_(js)</t>
  </si>
  <si>
    <t>k_(gl)</t>
  </si>
  <si>
    <t>k_(gj)</t>
  </si>
  <si>
    <t>k_(rj)</t>
  </si>
  <si>
    <t>k_(lr)</t>
  </si>
  <si>
    <t>Q</t>
  </si>
  <si>
    <t>V</t>
  </si>
  <si>
    <t>F_(KIC)</t>
  </si>
  <si>
    <t>F_(PIC)</t>
  </si>
  <si>
    <t>beta_(PIR1)</t>
  </si>
  <si>
    <t>beta_(PIR2)</t>
  </si>
  <si>
    <t>beta_(PIR3)</t>
  </si>
  <si>
    <t>beta_(PIR4)</t>
  </si>
  <si>
    <t>beta_(PIR5)</t>
  </si>
  <si>
    <t>M2</t>
  </si>
  <si>
    <t>M1</t>
  </si>
  <si>
    <t>alpha</t>
  </si>
  <si>
    <t>beta</t>
  </si>
  <si>
    <t>Q0</t>
  </si>
  <si>
    <t>K</t>
  </si>
  <si>
    <t>y</t>
  </si>
  <si>
    <t>F_(LIC)</t>
  </si>
  <si>
    <t>Q_A</t>
  </si>
  <si>
    <t>OLD value</t>
  </si>
  <si>
    <t>ratio</t>
  </si>
  <si>
    <t>NEW value</t>
  </si>
  <si>
    <t>delay--&gt;ileum</t>
  </si>
  <si>
    <t>Description</t>
  </si>
  <si>
    <t>lympatics--&gt;blood</t>
  </si>
  <si>
    <t>k_(hly)</t>
  </si>
  <si>
    <t>Move 99% time [h]</t>
  </si>
  <si>
    <t>stomach--&gt;jejunum</t>
  </si>
  <si>
    <t>https://bmcgastroenterol.biomedcentral.com/articles/10.1186/1471-230X-11-145</t>
  </si>
  <si>
    <t>OLD Value</t>
  </si>
  <si>
    <t>https://aocs.onlinelibrary.wiley.com/doi/abs/10.1007/s11745-999-0342-3?sid=nlm%3Apubmed</t>
  </si>
  <si>
    <t>jejunum--&gt;liver (70-90%)</t>
  </si>
  <si>
    <t>ileum--&gt;liver (10-30%)</t>
  </si>
  <si>
    <t>total absortion</t>
  </si>
  <si>
    <t>small intestine</t>
  </si>
  <si>
    <t>Ratio</t>
  </si>
  <si>
    <t>Research [min]</t>
  </si>
  <si>
    <t>Adipose upper</t>
  </si>
  <si>
    <t>Adipose lower</t>
  </si>
  <si>
    <t>Metabolites</t>
  </si>
  <si>
    <t>Km</t>
  </si>
  <si>
    <t>Vmax</t>
  </si>
  <si>
    <t>Source</t>
  </si>
  <si>
    <t>lower</t>
  </si>
  <si>
    <t>upper</t>
  </si>
  <si>
    <t>unit</t>
  </si>
  <si>
    <t>Link</t>
  </si>
  <si>
    <t>organ</t>
  </si>
  <si>
    <t>R1</t>
  </si>
  <si>
    <t>ATP + D-Glucose &lt;-&gt; ADP + D-Glucose 6-phosphate</t>
  </si>
  <si>
    <t>GLC -&gt; G6P</t>
  </si>
  <si>
    <t>µM</t>
  </si>
  <si>
    <t>U/mg</t>
  </si>
  <si>
    <t>[mM/min]</t>
  </si>
  <si>
    <t>https://sabiork.h-its.org/kineticLawEntry.jsp?kinlawid=20951&amp;viewData=true</t>
  </si>
  <si>
    <t>mM</t>
  </si>
  <si>
    <t>mU/ml</t>
  </si>
  <si>
    <t>https://sabiork.h-its.org/kineticLawEntry.jsp?kinlawid=2589&amp;viewData=true</t>
  </si>
  <si>
    <t>https://sabiork.h-its.org/kineticLawEntry.jsp?kinlawid=2948&amp;viewData=true</t>
  </si>
  <si>
    <t>R2</t>
  </si>
  <si>
    <t>H2O + D-Glucose 6-phosphate &lt;-&gt; Phosphate + D-Glucose</t>
  </si>
  <si>
    <t>G6P -&gt; GLC</t>
  </si>
  <si>
    <t>nmol/(min*mg)</t>
  </si>
  <si>
    <t>https://sabiork.h-its.org/kineticLawEntry.jsp?kinlawid=33390&amp;viewData=true</t>
  </si>
  <si>
    <t>https://sabiork.h-its.org/kineticLawEntry.jsp?kinlawid=14507&amp;viewData=true</t>
  </si>
  <si>
    <t>-</t>
  </si>
  <si>
    <t>R3</t>
  </si>
  <si>
    <t>G6P -&gt; GA3P</t>
  </si>
  <si>
    <t>R4</t>
  </si>
  <si>
    <t>GA3P -&gt; G6P</t>
  </si>
  <si>
    <t>R5</t>
  </si>
  <si>
    <t>G6P -&gt; GLY</t>
  </si>
  <si>
    <t>R6</t>
  </si>
  <si>
    <t>GLY -&gt; G6P</t>
  </si>
  <si>
    <t>R7</t>
  </si>
  <si>
    <t>GA3P -&gt; PYR</t>
  </si>
  <si>
    <t>R8</t>
  </si>
  <si>
    <t>PYR -&gt; GA3P</t>
  </si>
  <si>
    <t>R9</t>
  </si>
  <si>
    <t>PYR -&gt; LAC</t>
  </si>
  <si>
    <t>R10</t>
  </si>
  <si>
    <t>LAC -&gt; PYR</t>
  </si>
  <si>
    <t>R11</t>
  </si>
  <si>
    <t>PYR -&gt; AA</t>
  </si>
  <si>
    <t>R12</t>
  </si>
  <si>
    <t>AA -&gt; PYR</t>
  </si>
  <si>
    <t>R13</t>
  </si>
  <si>
    <t>PYR -&gt; ACoA</t>
  </si>
  <si>
    <t>https://sabiork.h-its.org/kineticLawEntry.jsp?kinlawid=19593&amp;viewData=true</t>
  </si>
  <si>
    <t>Skeletal Muscle</t>
  </si>
  <si>
    <t>l/(min*g)</t>
  </si>
  <si>
    <t>https://sabiork.h-its.org/kineticLawEntry.jsp?kinlawid=64564&amp;viewData=true</t>
  </si>
  <si>
    <t>R14</t>
  </si>
  <si>
    <t>ACoA + OXA -&gt; CIT</t>
  </si>
  <si>
    <t>R15</t>
  </si>
  <si>
    <t>CIT -&gt; OXA</t>
  </si>
  <si>
    <t>R16</t>
  </si>
  <si>
    <t>OXA -&gt; PYR</t>
  </si>
  <si>
    <t>R17</t>
  </si>
  <si>
    <t>PYR -&gt; OXA</t>
  </si>
  <si>
    <t>R18</t>
  </si>
  <si>
    <t>GA3P -&gt; GLR</t>
  </si>
  <si>
    <t>R19</t>
  </si>
  <si>
    <t>GLR -&gt; GA3P</t>
  </si>
  <si>
    <t>R20</t>
  </si>
  <si>
    <t>3FFA + GLR -&gt; TGL</t>
  </si>
  <si>
    <t>R21</t>
  </si>
  <si>
    <t>TGL -&gt; 3FFA + GLR</t>
  </si>
  <si>
    <t>R22</t>
  </si>
  <si>
    <t>FFA -&gt; ACoA</t>
  </si>
  <si>
    <t>R23</t>
  </si>
  <si>
    <t>ACoA -&gt; FFA</t>
  </si>
  <si>
    <t>R24</t>
  </si>
  <si>
    <t>KET -&gt; ACoA</t>
  </si>
  <si>
    <t>R25</t>
  </si>
  <si>
    <t>ACoA -&gt; KET</t>
  </si>
  <si>
    <t>R26</t>
  </si>
  <si>
    <t>AA -&gt; PRO</t>
  </si>
  <si>
    <t>R27</t>
  </si>
  <si>
    <t>PRO -&gt; AA</t>
  </si>
  <si>
    <t>R28</t>
  </si>
  <si>
    <t>3FFA + GLR -&gt; TGL_AP</t>
  </si>
  <si>
    <t>R29</t>
  </si>
  <si>
    <t>TGL_AP -&gt; 3FFA + GLR</t>
  </si>
  <si>
    <t>R30</t>
  </si>
  <si>
    <t>Insulin -&gt; Formation and Breakdown</t>
  </si>
  <si>
    <t>R31</t>
  </si>
  <si>
    <t>Glucagon -&gt; Formation and Breakdown</t>
  </si>
  <si>
    <t>AND Organism:"homo sapiens" AND Parametertype:"Vmax"</t>
  </si>
  <si>
    <t xml:space="preserve"> [mM]</t>
  </si>
  <si>
    <t>target insuling production level</t>
  </si>
  <si>
    <t>sensitivity and saturation characteristics of the insulin secretion response</t>
  </si>
  <si>
    <t>reaction scale for insulin inhibition (X)</t>
  </si>
  <si>
    <t>reaction scale for caluclation of Y</t>
  </si>
  <si>
    <t>How quickly the target insuling prodution level (Y) is reached</t>
  </si>
  <si>
    <t>The basal or steady-state value of the insulin action compartment.</t>
  </si>
  <si>
    <t>modulate the insulin secretion rate (S) based on (X-II)*QQ</t>
  </si>
  <si>
    <t>modulate the insulin secretion rate (S) based on Y</t>
  </si>
  <si>
    <t>reaction scale for QQ</t>
  </si>
  <si>
    <t>% of insulin removed when flowing through liver</t>
  </si>
  <si>
    <t>% of insulin removed when flowing through kidney</t>
  </si>
  <si>
    <t>% of insulin removed when flowing through muscle</t>
  </si>
  <si>
    <t>New Value</t>
  </si>
  <si>
    <t>ration</t>
  </si>
  <si>
    <t>Km  [mmol/L]</t>
  </si>
  <si>
    <t>Changes GLC</t>
  </si>
  <si>
    <t>optimized value</t>
  </si>
  <si>
    <t>half time [min]</t>
  </si>
  <si>
    <t>Duedeom</t>
  </si>
  <si>
    <t>New value</t>
  </si>
  <si>
    <t>INS peak</t>
  </si>
  <si>
    <t>jejunum--&gt;ileum/delay</t>
  </si>
  <si>
    <t>Sorensen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</si>
</sst>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5"/>
      <color rgb="FF000000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1"/>
    <xf numFmtId="0" fontId="1" fillId="0" borderId="3" xfId="0" applyFont="1" applyBorder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65" fontId="5" fillId="0" borderId="0" xfId="0" applyNumberFormat="1" applyFont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8" fillId="0" borderId="0" xfId="0" applyFont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/>
    <xf numFmtId="0" fontId="3" fillId="0" borderId="16" xfId="1" applyBorder="1"/>
    <xf numFmtId="0" fontId="0" fillId="0" borderId="18" xfId="0" applyBorder="1"/>
    <xf numFmtId="0" fontId="9" fillId="0" borderId="16" xfId="0" applyFont="1" applyBorder="1"/>
    <xf numFmtId="0" fontId="0" fillId="0" borderId="19" xfId="0" applyBorder="1"/>
    <xf numFmtId="0" fontId="8" fillId="0" borderId="20" xfId="0" applyFont="1" applyBorder="1"/>
    <xf numFmtId="0" fontId="0" fillId="0" borderId="20" xfId="0" applyBorder="1"/>
    <xf numFmtId="0" fontId="2" fillId="0" borderId="21" xfId="0" applyFont="1" applyBorder="1"/>
    <xf numFmtId="0" fontId="2" fillId="0" borderId="22" xfId="0" applyFont="1" applyBorder="1"/>
    <xf numFmtId="0" fontId="2" fillId="0" borderId="20" xfId="0" applyFont="1" applyBorder="1"/>
    <xf numFmtId="0" fontId="3" fillId="0" borderId="19" xfId="1" applyBorder="1"/>
    <xf numFmtId="0" fontId="0" fillId="0" borderId="22" xfId="0" applyBorder="1"/>
    <xf numFmtId="0" fontId="0" fillId="0" borderId="23" xfId="0" applyBorder="1"/>
    <xf numFmtId="0" fontId="0" fillId="0" borderId="1" xfId="0" applyBorder="1"/>
    <xf numFmtId="0" fontId="2" fillId="0" borderId="24" xfId="0" applyFont="1" applyBorder="1"/>
    <xf numFmtId="0" fontId="2" fillId="0" borderId="25" xfId="0" applyFont="1" applyBorder="1"/>
    <xf numFmtId="0" fontId="2" fillId="0" borderId="1" xfId="0" applyFont="1" applyBorder="1"/>
    <xf numFmtId="0" fontId="9" fillId="0" borderId="23" xfId="0" applyFont="1" applyBorder="1"/>
    <xf numFmtId="0" fontId="0" fillId="0" borderId="25" xfId="0" quotePrefix="1" applyBorder="1"/>
    <xf numFmtId="0" fontId="0" fillId="0" borderId="0" xfId="0" quotePrefix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2" fillId="0" borderId="26" xfId="0" applyFont="1" applyBorder="1"/>
    <xf numFmtId="0" fontId="2" fillId="0" borderId="15" xfId="0" applyFont="1" applyBorder="1"/>
    <xf numFmtId="0" fontId="2" fillId="0" borderId="10" xfId="0" applyFont="1" applyBorder="1"/>
    <xf numFmtId="0" fontId="9" fillId="0" borderId="9" xfId="0" applyFont="1" applyBorder="1"/>
    <xf numFmtId="0" fontId="0" fillId="0" borderId="15" xfId="0" applyBorder="1"/>
    <xf numFmtId="0" fontId="9" fillId="0" borderId="0" xfId="0" applyFont="1"/>
    <xf numFmtId="1" fontId="0" fillId="0" borderId="0" xfId="0" applyNumberFormat="1"/>
    <xf numFmtId="166" fontId="10" fillId="0" borderId="0" xfId="0" applyNumberFormat="1" applyFont="1" applyAlignment="1">
      <alignment horizontal="center"/>
    </xf>
    <xf numFmtId="167" fontId="0" fillId="0" borderId="0" xfId="0" applyNumberFormat="1"/>
    <xf numFmtId="0" fontId="1" fillId="0" borderId="27" xfId="0" applyFont="1" applyBorder="1"/>
    <xf numFmtId="0" fontId="0" fillId="0" borderId="28" xfId="0" applyBorder="1"/>
    <xf numFmtId="0" fontId="0" fillId="2" borderId="28" xfId="0" applyFill="1" applyBorder="1"/>
    <xf numFmtId="164" fontId="5" fillId="0" borderId="0" xfId="0" applyNumberFormat="1" applyFont="1"/>
    <xf numFmtId="0" fontId="5" fillId="0" borderId="0" xfId="0" applyFont="1"/>
    <xf numFmtId="164" fontId="0" fillId="0" borderId="2" xfId="0" applyNumberFormat="1" applyBorder="1"/>
    <xf numFmtId="166" fontId="5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1" fillId="0" borderId="0" xfId="0" applyNumberFormat="1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175743</xdr:colOff>
      <xdr:row>0</xdr:row>
      <xdr:rowOff>152401</xdr:rowOff>
    </xdr:from>
    <xdr:to>
      <xdr:col>15</xdr:col>
      <xdr:colOff>583015</xdr:colOff>
      <xdr:row>13</xdr:row>
      <xdr:rowOff>154514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747CE2A4-9F6B-FC6F-6011-421EF9F82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5225" y="152401"/>
          <a:ext cx="5527406" cy="2390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588434</xdr:colOff>
      <xdr:row>0</xdr:row>
      <xdr:rowOff>162983</xdr:rowOff>
    </xdr:from>
    <xdr:to>
      <xdr:col>15</xdr:col>
      <xdr:colOff>171229</xdr:colOff>
      <xdr:row>13</xdr:row>
      <xdr:rowOff>87153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4874C693-66F8-82CB-2AB5-BF054B703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8709" y="162983"/>
          <a:ext cx="5402792" cy="22797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41578</xdr:colOff>
      <xdr:row>13</xdr:row>
      <xdr:rowOff>79642</xdr:rowOff>
    </xdr:from>
    <xdr:to>
      <xdr:col>15</xdr:col>
      <xdr:colOff>325045</xdr:colOff>
      <xdr:row>29</xdr:row>
      <xdr:rowOff>161708</xdr:rowOff>
    </xdr:to>
    <xdr:pic>
      <xdr:nvPicPr>
        <xdr:cNvPr id="2" name="Billede 1" descr="Tyndtarm - Wikipedia, den frie encyklopædi">
          <a:extLst>
            <a:ext uri="{FF2B5EF4-FFF2-40B4-BE49-F238E27FC236}">
              <a16:creationId xmlns:a16="http://schemas.microsoft.com/office/drawing/2014/main" id="{FC003DDB-AC33-3503-BF58-0B9D656B1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4689" y="2067292"/>
          <a:ext cx="3023859" cy="2990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431482</xdr:colOff>
      <xdr:row>10</xdr:row>
      <xdr:rowOff>122766</xdr:rowOff>
    </xdr:from>
    <xdr:to>
      <xdr:col>9</xdr:col>
      <xdr:colOff>9947</xdr:colOff>
      <xdr:row>29</xdr:row>
      <xdr:rowOff>58186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E826BA53-7A51-B4FA-62D2-B760524CA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8149" y="1761066"/>
          <a:ext cx="2333312" cy="3395758"/>
        </a:xfrm>
        <a:prstGeom prst="rect">
          <a:avLst/>
        </a:prstGeom>
      </xdr:spPr>
    </xdr:pic>
    <xdr:clientData/>
  </xdr:twoCellAnchor>
  <xdr:twoCellAnchor editAs="oneCell">
    <xdr:from>
      <xdr:col>2</xdr:col>
      <xdr:colOff>438673</xdr:colOff>
      <xdr:row>10</xdr:row>
      <xdr:rowOff>72571</xdr:rowOff>
    </xdr:from>
    <xdr:to>
      <xdr:col>6</xdr:col>
      <xdr:colOff>19113</xdr:colOff>
      <xdr:row>29</xdr:row>
      <xdr:rowOff>153206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AB81BE9E-8E27-2C2D-3B57-AE134C5C8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4197" y="1515936"/>
          <a:ext cx="2348132" cy="35320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ne\OneDrive\Desktop\Uni\Master%20Thesis\Models\WBM_Peter_2_Substrate\data\parameters_OG.xlsx" TargetMode="External"/><Relationship Id="rId1" Type="http://schemas.openxmlformats.org/officeDocument/2006/relationships/externalLinkPath" Target="/Users/anne/OneDrive/Desktop/Uni/Master%20Thesis/Models/WBM_Peter_2_Substrate/data/parameters_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olume"/>
      <sheetName val="FlowRate"/>
      <sheetName val="Insulin"/>
      <sheetName val="Glucagon"/>
      <sheetName val="SIMOmodel"/>
    </sheetNames>
    <sheetDataSet>
      <sheetData sheetId="0">
        <row r="2">
          <cell r="A2" t="str">
            <v>Brain</v>
          </cell>
          <cell r="B2">
            <v>0.8</v>
          </cell>
        </row>
        <row r="3">
          <cell r="A3" t="str">
            <v>Heart</v>
          </cell>
          <cell r="B3">
            <v>1.38</v>
          </cell>
        </row>
        <row r="4">
          <cell r="A4" t="str">
            <v>Liver</v>
          </cell>
          <cell r="B4">
            <v>2.5099999999999998</v>
          </cell>
        </row>
        <row r="5">
          <cell r="A5" t="str">
            <v>Gut</v>
          </cell>
          <cell r="B5">
            <v>1.1200000000000001</v>
          </cell>
        </row>
        <row r="6">
          <cell r="A6" t="str">
            <v>Kidney</v>
          </cell>
          <cell r="B6">
            <v>0.66</v>
          </cell>
        </row>
        <row r="7">
          <cell r="A7" t="str">
            <v>Adipose</v>
          </cell>
          <cell r="B7">
            <v>1.9450000000000001</v>
          </cell>
        </row>
        <row r="8">
          <cell r="A8" t="str">
            <v>Muscle</v>
          </cell>
          <cell r="B8">
            <v>5.835</v>
          </cell>
        </row>
      </sheetData>
      <sheetData sheetId="1">
        <row r="2">
          <cell r="A2" t="str">
            <v>Brain</v>
          </cell>
        </row>
      </sheetData>
      <sheetData sheetId="2" refreshError="1"/>
      <sheetData sheetId="3">
        <row r="2">
          <cell r="B2">
            <v>0.91</v>
          </cell>
        </row>
      </sheetData>
      <sheetData sheetId="4">
        <row r="2">
          <cell r="A2" t="str">
            <v>k_(js)</v>
          </cell>
          <cell r="B2">
            <v>2.8237000000000002E-2</v>
          </cell>
        </row>
        <row r="3">
          <cell r="A3" t="str">
            <v>k_(gl)</v>
          </cell>
          <cell r="B3">
            <v>1.8094200000000001E-2</v>
          </cell>
        </row>
        <row r="4">
          <cell r="A4" t="str">
            <v>k_(gj)</v>
          </cell>
          <cell r="B4">
            <v>3.2967299999999998E-2</v>
          </cell>
        </row>
        <row r="5">
          <cell r="A5" t="str">
            <v>k_(rj)</v>
          </cell>
          <cell r="B5">
            <v>3.44046E-2</v>
          </cell>
        </row>
        <row r="6">
          <cell r="A6" t="str">
            <v>k_(lr)</v>
          </cell>
          <cell r="B6">
            <v>5.1380200000000001E-2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abiork.h-its.org/kineticLawEntry.jsp?kinlawid=20951&amp;viewData=true" TargetMode="External"/><Relationship Id="rId2" Type="http://schemas.openxmlformats.org/officeDocument/2006/relationships/hyperlink" Target="https://sabiork.h-its.org/kineticLawEntry.jsp?kinlawid=64564&amp;viewData=true" TargetMode="External"/><Relationship Id="rId1" Type="http://schemas.openxmlformats.org/officeDocument/2006/relationships/hyperlink" Target="https://sabiork.h-its.org/kineticLawEntry.jsp?kinlawid=19593&amp;viewData=true" TargetMode="External"/><Relationship Id="rId6" Type="http://schemas.openxmlformats.org/officeDocument/2006/relationships/hyperlink" Target="https://sabiork.h-its.org/kineticLawEntry.jsp?kinlawid=33390&amp;viewData=true" TargetMode="External"/><Relationship Id="rId5" Type="http://schemas.openxmlformats.org/officeDocument/2006/relationships/hyperlink" Target="https://sabiork.h-its.org/kineticLawEntry.jsp?kinlawid=14507&amp;viewData=true" TargetMode="External"/><Relationship Id="rId4" Type="http://schemas.openxmlformats.org/officeDocument/2006/relationships/hyperlink" Target="https://sabiork.h-its.org/kineticLawEntry.jsp?kinlawid=2589&amp;viewData=tru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aocs.onlinelibrary.wiley.com/doi/abs/10.1007/s11745-999-0342-3?sid=nlm%3Apubmed" TargetMode="External"/><Relationship Id="rId1" Type="http://schemas.openxmlformats.org/officeDocument/2006/relationships/hyperlink" Target="https://bmcgastroenterol.biomedcentral.com/articles/10.1186/1471-230X-11-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C258-6A34-49F6-8F4A-0EF5C1030873}">
  <dimension ref="A1:D32"/>
  <sheetViews>
    <sheetView workbookViewId="0">
      <selection activeCell="C11" sqref="C11"/>
    </sheetView>
  </sheetViews>
  <sheetFormatPr defaultRowHeight="14.35" x14ac:dyDescent="0.5"/>
  <cols>
    <col min="1" max="1" width="11.703125" customWidth="1"/>
    <col min="2" max="2" width="31.1171875" bestFit="1" customWidth="1"/>
    <col min="3" max="3" width="11.703125" customWidth="1"/>
    <col min="4" max="4" width="31.1171875" bestFit="1" customWidth="1"/>
  </cols>
  <sheetData>
    <row r="1" spans="1:4" x14ac:dyDescent="0.5">
      <c r="A1" s="1" t="s">
        <v>164</v>
      </c>
      <c r="B1" s="61" t="s">
        <v>59</v>
      </c>
      <c r="C1" s="1" t="s">
        <v>164</v>
      </c>
      <c r="D1" s="61" t="s">
        <v>59</v>
      </c>
    </row>
    <row r="2" spans="1:4" x14ac:dyDescent="0.5">
      <c r="A2" t="s">
        <v>68</v>
      </c>
      <c r="B2" s="62" t="s">
        <v>70</v>
      </c>
      <c r="C2">
        <v>1</v>
      </c>
      <c r="D2" s="62" t="s">
        <v>70</v>
      </c>
    </row>
    <row r="3" spans="1:4" x14ac:dyDescent="0.5">
      <c r="A3" t="s">
        <v>79</v>
      </c>
      <c r="B3" s="62" t="s">
        <v>81</v>
      </c>
      <c r="D3" s="62" t="s">
        <v>81</v>
      </c>
    </row>
    <row r="4" spans="1:4" x14ac:dyDescent="0.5">
      <c r="A4" t="s">
        <v>86</v>
      </c>
      <c r="B4" s="62" t="s">
        <v>87</v>
      </c>
      <c r="D4" s="62" t="s">
        <v>87</v>
      </c>
    </row>
    <row r="5" spans="1:4" x14ac:dyDescent="0.5">
      <c r="A5" t="s">
        <v>88</v>
      </c>
      <c r="B5" s="62" t="s">
        <v>89</v>
      </c>
      <c r="D5" s="62" t="s">
        <v>89</v>
      </c>
    </row>
    <row r="6" spans="1:4" x14ac:dyDescent="0.5">
      <c r="A6" t="s">
        <v>90</v>
      </c>
      <c r="B6" s="62" t="s">
        <v>91</v>
      </c>
      <c r="D6" s="62" t="s">
        <v>91</v>
      </c>
    </row>
    <row r="7" spans="1:4" x14ac:dyDescent="0.5">
      <c r="A7" t="s">
        <v>92</v>
      </c>
      <c r="B7" s="62" t="s">
        <v>93</v>
      </c>
      <c r="D7" s="62" t="s">
        <v>93</v>
      </c>
    </row>
    <row r="8" spans="1:4" x14ac:dyDescent="0.5">
      <c r="A8" t="s">
        <v>94</v>
      </c>
      <c r="B8" s="62" t="s">
        <v>95</v>
      </c>
      <c r="D8" s="62" t="s">
        <v>95</v>
      </c>
    </row>
    <row r="9" spans="1:4" x14ac:dyDescent="0.5">
      <c r="A9" t="s">
        <v>96</v>
      </c>
      <c r="B9" s="62" t="s">
        <v>97</v>
      </c>
      <c r="C9">
        <v>4</v>
      </c>
      <c r="D9" s="62" t="s">
        <v>97</v>
      </c>
    </row>
    <row r="10" spans="1:4" x14ac:dyDescent="0.5">
      <c r="A10" t="s">
        <v>98</v>
      </c>
      <c r="B10" s="62" t="s">
        <v>99</v>
      </c>
      <c r="C10">
        <v>25</v>
      </c>
      <c r="D10" s="62" t="s">
        <v>99</v>
      </c>
    </row>
    <row r="11" spans="1:4" x14ac:dyDescent="0.5">
      <c r="A11" t="s">
        <v>100</v>
      </c>
      <c r="B11" s="62" t="s">
        <v>101</v>
      </c>
      <c r="D11" s="62" t="s">
        <v>101</v>
      </c>
    </row>
    <row r="12" spans="1:4" x14ac:dyDescent="0.5">
      <c r="A12" t="s">
        <v>102</v>
      </c>
      <c r="B12" s="62" t="s">
        <v>103</v>
      </c>
      <c r="D12" s="62" t="s">
        <v>103</v>
      </c>
    </row>
    <row r="13" spans="1:4" x14ac:dyDescent="0.5">
      <c r="A13" t="s">
        <v>104</v>
      </c>
      <c r="B13" s="62" t="s">
        <v>105</v>
      </c>
      <c r="C13">
        <v>6</v>
      </c>
      <c r="D13" s="62" t="s">
        <v>105</v>
      </c>
    </row>
    <row r="14" spans="1:4" x14ac:dyDescent="0.5">
      <c r="A14" t="s">
        <v>106</v>
      </c>
      <c r="B14" s="62" t="s">
        <v>107</v>
      </c>
      <c r="C14">
        <v>8</v>
      </c>
      <c r="D14" s="62" t="s">
        <v>107</v>
      </c>
    </row>
    <row r="15" spans="1:4" x14ac:dyDescent="0.5">
      <c r="A15" t="s">
        <v>112</v>
      </c>
      <c r="B15" s="62" t="s">
        <v>113</v>
      </c>
      <c r="D15" s="62" t="s">
        <v>113</v>
      </c>
    </row>
    <row r="16" spans="1:4" x14ac:dyDescent="0.5">
      <c r="A16" t="s">
        <v>114</v>
      </c>
      <c r="B16" s="62" t="s">
        <v>115</v>
      </c>
      <c r="D16" s="62" t="s">
        <v>115</v>
      </c>
    </row>
    <row r="17" spans="1:4" x14ac:dyDescent="0.5">
      <c r="A17" t="s">
        <v>116</v>
      </c>
      <c r="B17" s="62" t="s">
        <v>117</v>
      </c>
      <c r="D17" s="62" t="s">
        <v>117</v>
      </c>
    </row>
    <row r="18" spans="1:4" x14ac:dyDescent="0.5">
      <c r="A18" t="s">
        <v>118</v>
      </c>
      <c r="B18" s="62" t="s">
        <v>119</v>
      </c>
      <c r="D18" s="62" t="s">
        <v>119</v>
      </c>
    </row>
    <row r="19" spans="1:4" x14ac:dyDescent="0.5">
      <c r="A19" t="s">
        <v>120</v>
      </c>
      <c r="B19" s="62" t="s">
        <v>121</v>
      </c>
      <c r="D19" s="62" t="s">
        <v>121</v>
      </c>
    </row>
    <row r="20" spans="1:4" x14ac:dyDescent="0.5">
      <c r="A20" t="s">
        <v>122</v>
      </c>
      <c r="B20" s="62" t="s">
        <v>123</v>
      </c>
      <c r="C20">
        <v>5</v>
      </c>
      <c r="D20" s="62" t="s">
        <v>123</v>
      </c>
    </row>
    <row r="21" spans="1:4" x14ac:dyDescent="0.5">
      <c r="A21" t="s">
        <v>124</v>
      </c>
      <c r="B21" s="63" t="s">
        <v>125</v>
      </c>
      <c r="D21" s="63" t="s">
        <v>125</v>
      </c>
    </row>
    <row r="22" spans="1:4" x14ac:dyDescent="0.5">
      <c r="A22" t="s">
        <v>126</v>
      </c>
      <c r="B22" s="63" t="s">
        <v>127</v>
      </c>
      <c r="D22" s="63" t="s">
        <v>127</v>
      </c>
    </row>
    <row r="23" spans="1:4" x14ac:dyDescent="0.5">
      <c r="A23" t="s">
        <v>128</v>
      </c>
      <c r="B23" s="62" t="s">
        <v>129</v>
      </c>
      <c r="C23">
        <v>10</v>
      </c>
      <c r="D23" s="62" t="s">
        <v>129</v>
      </c>
    </row>
    <row r="24" spans="1:4" x14ac:dyDescent="0.5">
      <c r="A24" t="s">
        <v>130</v>
      </c>
      <c r="B24" s="62" t="s">
        <v>131</v>
      </c>
      <c r="D24" s="62" t="s">
        <v>131</v>
      </c>
    </row>
    <row r="25" spans="1:4" x14ac:dyDescent="0.5">
      <c r="A25" t="s">
        <v>132</v>
      </c>
      <c r="B25" s="62" t="s">
        <v>133</v>
      </c>
      <c r="D25" s="62" t="s">
        <v>133</v>
      </c>
    </row>
    <row r="26" spans="1:4" x14ac:dyDescent="0.5">
      <c r="A26" t="s">
        <v>134</v>
      </c>
      <c r="B26" s="62" t="s">
        <v>135</v>
      </c>
      <c r="D26" s="62" t="s">
        <v>135</v>
      </c>
    </row>
    <row r="27" spans="1:4" x14ac:dyDescent="0.5">
      <c r="A27" t="s">
        <v>136</v>
      </c>
      <c r="B27" s="62" t="s">
        <v>137</v>
      </c>
      <c r="D27" s="62" t="s">
        <v>137</v>
      </c>
    </row>
    <row r="28" spans="1:4" x14ac:dyDescent="0.5">
      <c r="A28" t="s">
        <v>138</v>
      </c>
      <c r="B28" s="62" t="s">
        <v>139</v>
      </c>
      <c r="D28" s="62" t="s">
        <v>139</v>
      </c>
    </row>
    <row r="29" spans="1:4" x14ac:dyDescent="0.5">
      <c r="A29" t="s">
        <v>140</v>
      </c>
      <c r="B29" s="63" t="s">
        <v>141</v>
      </c>
      <c r="D29" s="63" t="s">
        <v>141</v>
      </c>
    </row>
    <row r="30" spans="1:4" x14ac:dyDescent="0.5">
      <c r="A30" t="s">
        <v>142</v>
      </c>
      <c r="B30" s="63" t="s">
        <v>143</v>
      </c>
      <c r="D30" s="63" t="s">
        <v>143</v>
      </c>
    </row>
    <row r="31" spans="1:4" x14ac:dyDescent="0.5">
      <c r="A31" t="s">
        <v>144</v>
      </c>
      <c r="B31" s="62" t="s">
        <v>145</v>
      </c>
      <c r="D31" s="62" t="s">
        <v>145</v>
      </c>
    </row>
    <row r="32" spans="1:4" x14ac:dyDescent="0.5">
      <c r="A32" t="s">
        <v>146</v>
      </c>
      <c r="B32" s="62" t="s">
        <v>147</v>
      </c>
      <c r="D32" s="62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92AC-DCE0-467A-9EF0-5CF8A0A0098C}">
  <dimension ref="A1:J19"/>
  <sheetViews>
    <sheetView zoomScale="112" workbookViewId="0">
      <selection activeCell="C36" sqref="C36"/>
    </sheetView>
  </sheetViews>
  <sheetFormatPr defaultRowHeight="14.35" x14ac:dyDescent="0.5"/>
  <cols>
    <col min="1" max="1" width="9.1171875" bestFit="1" customWidth="1"/>
    <col min="2" max="2" width="7.9375" bestFit="1" customWidth="1"/>
    <col min="3" max="3" width="9.5859375" bestFit="1" customWidth="1"/>
    <col min="4" max="4" width="9.64453125" customWidth="1"/>
    <col min="5" max="5" width="8.9375" customWidth="1"/>
    <col min="6" max="6" width="12.87890625" bestFit="1" customWidth="1"/>
    <col min="7" max="7" width="12.76171875" bestFit="1" customWidth="1"/>
  </cols>
  <sheetData>
    <row r="1" spans="1:7" x14ac:dyDescent="0.5">
      <c r="A1" s="1" t="s">
        <v>22</v>
      </c>
      <c r="B1" s="1" t="s">
        <v>1</v>
      </c>
      <c r="C1" s="1" t="s">
        <v>41</v>
      </c>
      <c r="D1" s="1" t="s">
        <v>39</v>
      </c>
      <c r="E1" s="45" t="s">
        <v>40</v>
      </c>
      <c r="F1" s="1" t="s">
        <v>2</v>
      </c>
    </row>
    <row r="2" spans="1:7" x14ac:dyDescent="0.5">
      <c r="A2" t="s">
        <v>4</v>
      </c>
      <c r="B2" s="2">
        <f>C2</f>
        <v>1.5089999999999999</v>
      </c>
      <c r="C2" s="2">
        <v>1.5089999999999999</v>
      </c>
      <c r="D2" s="2">
        <f>VLOOKUP(A2, [1]Volume!$A$2:$B$8, 2, FALSE)</f>
        <v>0.8</v>
      </c>
      <c r="E2" s="6">
        <f>B2/D2</f>
        <v>1.8862499999999998</v>
      </c>
      <c r="F2" t="s">
        <v>11</v>
      </c>
      <c r="G2" s="60"/>
    </row>
    <row r="3" spans="1:7" x14ac:dyDescent="0.5">
      <c r="A3" t="s">
        <v>5</v>
      </c>
      <c r="B3" s="2">
        <f t="shared" ref="B3:B10" si="0">C3</f>
        <v>1.2150000000000001</v>
      </c>
      <c r="C3" s="2">
        <v>1.2150000000000001</v>
      </c>
      <c r="D3" s="2">
        <f>VLOOKUP(A3, [1]Volume!$A$2:$B$8, 2, FALSE)</f>
        <v>1.38</v>
      </c>
      <c r="E3" s="6">
        <f t="shared" ref="E3:E8" si="1">B3/D3</f>
        <v>0.88043478260869579</v>
      </c>
      <c r="F3" t="s">
        <v>11</v>
      </c>
      <c r="G3" s="60"/>
    </row>
    <row r="4" spans="1:7" x14ac:dyDescent="0.5">
      <c r="A4" t="s">
        <v>6</v>
      </c>
      <c r="B4" s="2">
        <f t="shared" si="0"/>
        <v>2.3769999999999998</v>
      </c>
      <c r="C4" s="2">
        <v>2.3769999999999998</v>
      </c>
      <c r="D4" s="2">
        <f>VLOOKUP(A4, [1]Volume!$A$2:$B$8, 2, FALSE)</f>
        <v>2.5099999999999998</v>
      </c>
      <c r="E4" s="6">
        <f t="shared" si="1"/>
        <v>0.94701195219123502</v>
      </c>
      <c r="F4" t="s">
        <v>11</v>
      </c>
      <c r="G4" s="60"/>
    </row>
    <row r="5" spans="1:7" x14ac:dyDescent="0.5">
      <c r="A5" t="s">
        <v>7</v>
      </c>
      <c r="B5" s="2">
        <f t="shared" si="0"/>
        <v>0.72499999999999998</v>
      </c>
      <c r="C5" s="2">
        <v>0.72499999999999998</v>
      </c>
      <c r="D5" s="2">
        <f>VLOOKUP(A5, [1]Volume!$A$2:$B$8, 2, FALSE)</f>
        <v>1.1200000000000001</v>
      </c>
      <c r="E5" s="6">
        <f t="shared" si="1"/>
        <v>0.64732142857142849</v>
      </c>
      <c r="F5" t="s">
        <v>11</v>
      </c>
      <c r="G5" s="60"/>
    </row>
    <row r="6" spans="1:7" x14ac:dyDescent="0.5">
      <c r="A6" t="s">
        <v>8</v>
      </c>
      <c r="B6" s="2">
        <f t="shared" si="0"/>
        <v>0.438</v>
      </c>
      <c r="C6" s="2">
        <v>0.438</v>
      </c>
      <c r="D6" s="2">
        <f>VLOOKUP(A6, [1]Volume!$A$2:$B$8, 2, FALSE)</f>
        <v>0.66</v>
      </c>
      <c r="E6" s="6">
        <f>B6/D6</f>
        <v>0.66363636363636358</v>
      </c>
      <c r="F6" t="s">
        <v>11</v>
      </c>
      <c r="G6" s="60"/>
    </row>
    <row r="7" spans="1:7" x14ac:dyDescent="0.5">
      <c r="A7" t="s">
        <v>10</v>
      </c>
      <c r="B7" s="2">
        <f t="shared" si="0"/>
        <v>32.65</v>
      </c>
      <c r="C7" s="2">
        <v>32.65</v>
      </c>
      <c r="D7" s="2">
        <f>VLOOKUP(A7, [1]Volume!$A$2:$B$8, 2, FALSE)</f>
        <v>5.835</v>
      </c>
      <c r="E7" s="6">
        <f t="shared" si="1"/>
        <v>5.5955441302485003</v>
      </c>
      <c r="F7" t="s">
        <v>11</v>
      </c>
      <c r="G7" s="60"/>
    </row>
    <row r="8" spans="1:7" x14ac:dyDescent="0.5">
      <c r="A8" s="12" t="s">
        <v>9</v>
      </c>
      <c r="B8" s="2">
        <f t="shared" si="0"/>
        <v>14.65</v>
      </c>
      <c r="C8" s="14">
        <v>14.65</v>
      </c>
      <c r="D8" s="14">
        <f>VLOOKUP(A8, [1]Volume!$A$2:$B$8, 2, FALSE)</f>
        <v>1.9450000000000001</v>
      </c>
      <c r="E8" s="77">
        <f t="shared" si="1"/>
        <v>7.5321336760925446</v>
      </c>
      <c r="F8" s="12" t="s">
        <v>11</v>
      </c>
      <c r="G8" s="60"/>
    </row>
    <row r="9" spans="1:7" x14ac:dyDescent="0.5">
      <c r="A9" t="s">
        <v>57</v>
      </c>
      <c r="B9" s="2">
        <f>C9</f>
        <v>8.7899999999999991</v>
      </c>
      <c r="C9" s="3">
        <f>C8*0.6</f>
        <v>8.7899999999999991</v>
      </c>
      <c r="D9" s="3">
        <f t="shared" ref="C9:D10" si="2">D$8*0.5</f>
        <v>0.97250000000000003</v>
      </c>
      <c r="E9" s="6">
        <f>B9/D9</f>
        <v>9.0385604113110531</v>
      </c>
      <c r="F9" t="s">
        <v>15</v>
      </c>
      <c r="G9" s="60"/>
    </row>
    <row r="10" spans="1:7" x14ac:dyDescent="0.5">
      <c r="A10" t="s">
        <v>58</v>
      </c>
      <c r="B10" s="2">
        <f t="shared" si="0"/>
        <v>5.8600000000000012</v>
      </c>
      <c r="C10" s="3">
        <f>C8-C9</f>
        <v>5.8600000000000012</v>
      </c>
      <c r="D10" s="3">
        <f t="shared" si="2"/>
        <v>0.97250000000000003</v>
      </c>
      <c r="E10" s="6">
        <f>B10/D10</f>
        <v>6.0257069408740369</v>
      </c>
      <c r="G10" s="60"/>
    </row>
    <row r="11" spans="1:7" x14ac:dyDescent="0.5">
      <c r="B11" s="5">
        <f>SUM(B1:B8)</f>
        <v>53.564</v>
      </c>
      <c r="C11" s="5">
        <f>SUM(C1:C8)</f>
        <v>53.564</v>
      </c>
      <c r="D11" s="5">
        <f>SUM(D1:D8)</f>
        <v>14.25</v>
      </c>
      <c r="E11" s="6">
        <f>B11/D11</f>
        <v>3.7588771929824563</v>
      </c>
      <c r="G11" s="60"/>
    </row>
    <row r="12" spans="1:7" x14ac:dyDescent="0.5">
      <c r="D12" s="3"/>
      <c r="E12" s="29"/>
    </row>
    <row r="13" spans="1:7" x14ac:dyDescent="0.5">
      <c r="C13" s="3"/>
      <c r="D13" s="3"/>
    </row>
    <row r="19" spans="10:10" x14ac:dyDescent="0.5">
      <c r="J19">
        <f>3*60</f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4B34-43AC-434D-85FF-C66CD739C288}">
  <dimension ref="A1:F16"/>
  <sheetViews>
    <sheetView tabSelected="1" zoomScale="112" workbookViewId="0">
      <selection activeCell="C11" sqref="C11"/>
    </sheetView>
  </sheetViews>
  <sheetFormatPr defaultRowHeight="14.35" x14ac:dyDescent="0.5"/>
  <cols>
    <col min="1" max="1" width="9.1171875" bestFit="1" customWidth="1"/>
    <col min="2" max="3" width="8.703125" customWidth="1"/>
    <col min="4" max="4" width="9.64453125" customWidth="1"/>
    <col min="5" max="5" width="8.9375" customWidth="1"/>
    <col min="6" max="6" width="12.87890625" bestFit="1" customWidth="1"/>
  </cols>
  <sheetData>
    <row r="1" spans="1:6" x14ac:dyDescent="0.5">
      <c r="A1" s="1" t="s">
        <v>21</v>
      </c>
      <c r="B1" s="1" t="s">
        <v>1</v>
      </c>
      <c r="C1" s="1" t="s">
        <v>41</v>
      </c>
      <c r="D1" s="1" t="s">
        <v>39</v>
      </c>
      <c r="E1" s="1" t="s">
        <v>40</v>
      </c>
      <c r="F1" s="1" t="s">
        <v>2</v>
      </c>
    </row>
    <row r="2" spans="1:6" x14ac:dyDescent="0.5">
      <c r="A2" t="s">
        <v>4</v>
      </c>
      <c r="B2" s="3">
        <f>C2</f>
        <v>0.78</v>
      </c>
      <c r="C2" s="3">
        <v>0.78</v>
      </c>
      <c r="D2" s="2">
        <f>5.9/10</f>
        <v>0.59000000000000008</v>
      </c>
      <c r="E2" s="2">
        <f>B2/D2</f>
        <v>1.3220338983050846</v>
      </c>
      <c r="F2" t="s">
        <v>15</v>
      </c>
    </row>
    <row r="3" spans="1:6" x14ac:dyDescent="0.5">
      <c r="A3" t="s">
        <v>5</v>
      </c>
      <c r="B3" s="3">
        <f t="shared" ref="B3:B11" si="0">C3</f>
        <v>4.6189999999999998</v>
      </c>
      <c r="C3" s="3">
        <f>C2+C5+C7+C8+C9</f>
        <v>4.6189999999999998</v>
      </c>
      <c r="D3" s="3">
        <f>43.7/10</f>
        <v>4.37</v>
      </c>
      <c r="E3" s="2">
        <f t="shared" ref="E3:E9" si="1">B3/D3</f>
        <v>1.0569794050343249</v>
      </c>
      <c r="F3" t="s">
        <v>15</v>
      </c>
    </row>
    <row r="4" spans="1:6" x14ac:dyDescent="0.5">
      <c r="A4" t="s">
        <v>38</v>
      </c>
      <c r="B4" s="3">
        <f t="shared" si="0"/>
        <v>0.42600000000000005</v>
      </c>
      <c r="C4" s="15">
        <f>C5-C6</f>
        <v>0.42600000000000005</v>
      </c>
      <c r="D4" s="15">
        <f>2.5/10</f>
        <v>0.25</v>
      </c>
      <c r="E4" s="2">
        <f t="shared" si="1"/>
        <v>1.7040000000000002</v>
      </c>
      <c r="F4" t="s">
        <v>15</v>
      </c>
    </row>
    <row r="5" spans="1:6" x14ac:dyDescent="0.5">
      <c r="A5" t="s">
        <v>6</v>
      </c>
      <c r="B5" s="3">
        <f t="shared" si="0"/>
        <v>1.0760000000000001</v>
      </c>
      <c r="C5" s="15">
        <f>0.426+C6</f>
        <v>1.0760000000000001</v>
      </c>
      <c r="D5" s="2">
        <f>12.6/10</f>
        <v>1.26</v>
      </c>
      <c r="E5" s="2">
        <f t="shared" si="1"/>
        <v>0.85396825396825404</v>
      </c>
      <c r="F5" t="s">
        <v>15</v>
      </c>
    </row>
    <row r="6" spans="1:6" x14ac:dyDescent="0.5">
      <c r="A6" t="s">
        <v>7</v>
      </c>
      <c r="B6" s="3">
        <f t="shared" si="0"/>
        <v>0.65</v>
      </c>
      <c r="C6" s="15">
        <f>0.65</f>
        <v>0.65</v>
      </c>
      <c r="D6" s="2">
        <f>10.1/10</f>
        <v>1.01</v>
      </c>
      <c r="E6" s="2">
        <f t="shared" si="1"/>
        <v>0.64356435643564358</v>
      </c>
      <c r="F6" t="s">
        <v>15</v>
      </c>
    </row>
    <row r="7" spans="1:6" x14ac:dyDescent="0.5">
      <c r="A7" t="s">
        <v>8</v>
      </c>
      <c r="B7" s="3">
        <f t="shared" si="0"/>
        <v>1.327</v>
      </c>
      <c r="C7" s="15">
        <v>1.327</v>
      </c>
      <c r="D7" s="2">
        <f>10.1/10</f>
        <v>1.01</v>
      </c>
      <c r="E7" s="2">
        <f t="shared" si="1"/>
        <v>1.3138613861386139</v>
      </c>
      <c r="F7" t="s">
        <v>15</v>
      </c>
    </row>
    <row r="8" spans="1:6" x14ac:dyDescent="0.5">
      <c r="A8" t="s">
        <v>10</v>
      </c>
      <c r="B8" s="3">
        <f t="shared" si="0"/>
        <v>1.1160000000000001</v>
      </c>
      <c r="C8" s="3">
        <v>1.1160000000000001</v>
      </c>
      <c r="D8" s="3">
        <f>15.1/10 * 0.81</f>
        <v>1.2231000000000001</v>
      </c>
      <c r="E8" s="2">
        <f>B8/D8</f>
        <v>0.91243561442236942</v>
      </c>
      <c r="F8" t="s">
        <v>15</v>
      </c>
    </row>
    <row r="9" spans="1:6" x14ac:dyDescent="0.5">
      <c r="A9" s="12" t="s">
        <v>9</v>
      </c>
      <c r="B9" s="3">
        <f t="shared" si="0"/>
        <v>0.32</v>
      </c>
      <c r="C9" s="13">
        <v>0.32</v>
      </c>
      <c r="D9" s="13">
        <f>15.1/10 * 0.19</f>
        <v>0.28689999999999999</v>
      </c>
      <c r="E9" s="14">
        <f t="shared" si="1"/>
        <v>1.1153712094806554</v>
      </c>
      <c r="F9" s="12" t="s">
        <v>15</v>
      </c>
    </row>
    <row r="10" spans="1:6" x14ac:dyDescent="0.5">
      <c r="A10" t="s">
        <v>57</v>
      </c>
      <c r="B10" s="3">
        <f t="shared" si="0"/>
        <v>0.22399999999999998</v>
      </c>
      <c r="C10" s="3">
        <f>C$9*0.7</f>
        <v>0.22399999999999998</v>
      </c>
      <c r="D10" s="3">
        <f t="shared" ref="D10:D11" si="2">D$9*0.5</f>
        <v>0.14344999999999999</v>
      </c>
      <c r="E10" s="2">
        <f>B10/D10</f>
        <v>1.5615196932729174</v>
      </c>
      <c r="F10" t="s">
        <v>15</v>
      </c>
    </row>
    <row r="11" spans="1:6" x14ac:dyDescent="0.5">
      <c r="A11" t="s">
        <v>58</v>
      </c>
      <c r="B11" s="3">
        <f t="shared" si="0"/>
        <v>9.600000000000003E-2</v>
      </c>
      <c r="C11" s="3">
        <f>C9-C10</f>
        <v>9.600000000000003E-2</v>
      </c>
      <c r="D11" s="3">
        <f t="shared" si="2"/>
        <v>0.14344999999999999</v>
      </c>
      <c r="E11" s="2">
        <f>B11/D11</f>
        <v>0.66922272568839336</v>
      </c>
    </row>
    <row r="12" spans="1:6" x14ac:dyDescent="0.5">
      <c r="B12" s="5">
        <f>SUM(B2:B9)</f>
        <v>10.314</v>
      </c>
      <c r="C12" s="5">
        <f>SUM(C2:C9)</f>
        <v>10.314</v>
      </c>
      <c r="D12" s="5">
        <f>SUM(D2:D9)</f>
        <v>10</v>
      </c>
      <c r="E12" s="6">
        <f>B12/D12</f>
        <v>1.0314000000000001</v>
      </c>
    </row>
    <row r="14" spans="1:6" x14ac:dyDescent="0.5">
      <c r="C14" s="3"/>
      <c r="D14" s="3"/>
    </row>
    <row r="15" spans="1:6" x14ac:dyDescent="0.5">
      <c r="D15" s="3"/>
    </row>
    <row r="16" spans="1:6" x14ac:dyDescent="0.5">
      <c r="D16" s="6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3452-F338-42D9-81F4-1CDD420DA364}">
  <dimension ref="A1:F2"/>
  <sheetViews>
    <sheetView workbookViewId="0">
      <selection activeCell="B2" sqref="B2"/>
    </sheetView>
  </sheetViews>
  <sheetFormatPr defaultRowHeight="14.35" x14ac:dyDescent="0.5"/>
  <cols>
    <col min="1" max="1" width="15.703125" bestFit="1" customWidth="1"/>
    <col min="2" max="2" width="5.41015625" bestFit="1" customWidth="1"/>
    <col min="3" max="5" width="5.41015625" customWidth="1"/>
    <col min="6" max="6" width="12.87890625" bestFit="1" customWidth="1"/>
  </cols>
  <sheetData>
    <row r="1" spans="1:6" x14ac:dyDescent="0.5">
      <c r="A1" s="1" t="s">
        <v>0</v>
      </c>
      <c r="B1" s="1" t="s">
        <v>1</v>
      </c>
      <c r="C1" s="1" t="s">
        <v>169</v>
      </c>
      <c r="D1" s="1" t="s">
        <v>49</v>
      </c>
      <c r="E1" s="1" t="s">
        <v>163</v>
      </c>
      <c r="F1" s="1" t="s">
        <v>2</v>
      </c>
    </row>
    <row r="2" spans="1:6" x14ac:dyDescent="0.5">
      <c r="A2" t="s">
        <v>14</v>
      </c>
      <c r="B2">
        <f>D2</f>
        <v>0.91</v>
      </c>
      <c r="C2">
        <f>D2</f>
        <v>0.91</v>
      </c>
      <c r="D2">
        <f>[1]Glucagon!$B$2</f>
        <v>0.91</v>
      </c>
      <c r="E2">
        <f>C2/D2</f>
        <v>1</v>
      </c>
      <c r="F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"/>
  <sheetViews>
    <sheetView zoomScale="90" zoomScaleNormal="90" workbookViewId="0">
      <selection activeCell="E43" sqref="E43"/>
    </sheetView>
  </sheetViews>
  <sheetFormatPr defaultRowHeight="14.35" x14ac:dyDescent="0.5"/>
  <cols>
    <col min="1" max="1" width="14.1171875" customWidth="1"/>
    <col min="2" max="2" width="8.1171875" bestFit="1" customWidth="1"/>
    <col min="3" max="3" width="7.29296875" bestFit="1" customWidth="1"/>
    <col min="4" max="6" width="7.29296875" customWidth="1"/>
    <col min="7" max="7" width="12.87890625" bestFit="1" customWidth="1"/>
    <col min="32" max="32" width="4.05859375" bestFit="1" customWidth="1"/>
    <col min="33" max="33" width="4.8203125" customWidth="1"/>
    <col min="34" max="34" width="18.29296875" customWidth="1"/>
    <col min="35" max="36" width="6" customWidth="1"/>
    <col min="37" max="37" width="6" style="29" customWidth="1"/>
    <col min="38" max="39" width="6" customWidth="1"/>
    <col min="40" max="40" width="8.52734375" style="29" bestFit="1" customWidth="1"/>
    <col min="41" max="42" width="6" customWidth="1"/>
    <col min="43" max="43" width="13.8203125" style="29" bestFit="1" customWidth="1"/>
    <col min="45" max="45" width="6" customWidth="1"/>
    <col min="46" max="46" width="8.8203125" style="29" customWidth="1"/>
    <col min="47" max="47" width="6" style="57" customWidth="1"/>
    <col min="48" max="48" width="13.5859375" bestFit="1" customWidth="1"/>
  </cols>
  <sheetData>
    <row r="1" spans="1:48" x14ac:dyDescent="0.5">
      <c r="A1" s="1" t="s">
        <v>0</v>
      </c>
      <c r="B1" s="1" t="s">
        <v>1</v>
      </c>
      <c r="C1" s="1" t="s">
        <v>162</v>
      </c>
      <c r="D1" s="1" t="s">
        <v>172</v>
      </c>
      <c r="E1" s="1" t="s">
        <v>39</v>
      </c>
      <c r="F1" s="1" t="s">
        <v>40</v>
      </c>
      <c r="G1" s="1" t="s">
        <v>2</v>
      </c>
      <c r="AF1" s="70"/>
      <c r="AG1" s="16"/>
      <c r="AH1" s="72" t="s">
        <v>59</v>
      </c>
      <c r="AI1" s="74" t="s">
        <v>60</v>
      </c>
      <c r="AJ1" s="75"/>
      <c r="AK1" s="75"/>
      <c r="AL1" s="75"/>
      <c r="AM1" s="75"/>
      <c r="AN1" s="76"/>
      <c r="AO1" s="75" t="s">
        <v>61</v>
      </c>
      <c r="AP1" s="75"/>
      <c r="AQ1" s="75"/>
      <c r="AR1" s="75"/>
      <c r="AS1" s="75"/>
      <c r="AT1" s="75"/>
      <c r="AU1" s="74" t="s">
        <v>62</v>
      </c>
      <c r="AV1" s="76"/>
    </row>
    <row r="2" spans="1:48" ht="14.7" thickBot="1" x14ac:dyDescent="0.55000000000000004">
      <c r="A2" t="s">
        <v>37</v>
      </c>
      <c r="B2" s="2">
        <f>C2</f>
        <v>0.6</v>
      </c>
      <c r="C2" s="2">
        <v>0.6</v>
      </c>
      <c r="D2" s="2">
        <v>0.4</v>
      </c>
      <c r="E2" s="2">
        <v>0.4</v>
      </c>
      <c r="F2" s="2">
        <f>B2/E2</f>
        <v>1.4999999999999998</v>
      </c>
      <c r="G2" t="s">
        <v>12</v>
      </c>
      <c r="H2" t="s">
        <v>159</v>
      </c>
      <c r="AF2" s="71"/>
      <c r="AG2" s="17"/>
      <c r="AH2" s="73"/>
      <c r="AI2" s="18" t="s">
        <v>63</v>
      </c>
      <c r="AJ2" s="19" t="s">
        <v>64</v>
      </c>
      <c r="AK2" s="20" t="s">
        <v>65</v>
      </c>
      <c r="AL2" s="19" t="s">
        <v>63</v>
      </c>
      <c r="AM2" s="19" t="s">
        <v>64</v>
      </c>
      <c r="AN2" s="21" t="s">
        <v>65</v>
      </c>
      <c r="AO2" s="19" t="s">
        <v>63</v>
      </c>
      <c r="AP2" s="19" t="s">
        <v>64</v>
      </c>
      <c r="AQ2" s="20" t="s">
        <v>65</v>
      </c>
      <c r="AR2" s="17" t="s">
        <v>63</v>
      </c>
      <c r="AS2" s="17" t="s">
        <v>64</v>
      </c>
      <c r="AT2" s="22" t="s">
        <v>65</v>
      </c>
      <c r="AU2" s="23" t="s">
        <v>66</v>
      </c>
      <c r="AV2" s="24" t="s">
        <v>67</v>
      </c>
    </row>
    <row r="3" spans="1:48" x14ac:dyDescent="0.5">
      <c r="A3" t="s">
        <v>23</v>
      </c>
      <c r="B3" s="2">
        <f>C3*1.2</f>
        <v>0.6</v>
      </c>
      <c r="C3" s="2">
        <v>0.5</v>
      </c>
      <c r="D3" s="2">
        <v>0.3</v>
      </c>
      <c r="E3" s="2">
        <v>0.3</v>
      </c>
      <c r="F3" s="2">
        <f t="shared" ref="F3:F16" si="0">B3/E3</f>
        <v>2</v>
      </c>
      <c r="G3" t="s">
        <v>12</v>
      </c>
      <c r="H3" t="s">
        <v>160</v>
      </c>
      <c r="AF3" s="25" t="s">
        <v>68</v>
      </c>
      <c r="AG3" s="26" t="s">
        <v>69</v>
      </c>
      <c r="AH3" t="s">
        <v>70</v>
      </c>
      <c r="AI3" s="25">
        <v>32</v>
      </c>
      <c r="AK3" s="27" t="s">
        <v>71</v>
      </c>
      <c r="AL3">
        <f>AI3/100</f>
        <v>0.32</v>
      </c>
      <c r="AN3" s="28" t="s">
        <v>149</v>
      </c>
      <c r="AO3">
        <v>58.2</v>
      </c>
      <c r="AQ3" s="27" t="s">
        <v>72</v>
      </c>
      <c r="AR3">
        <f>AO3*0.001</f>
        <v>5.8200000000000002E-2</v>
      </c>
      <c r="AT3" s="29" t="s">
        <v>73</v>
      </c>
      <c r="AU3" s="30" t="s">
        <v>74</v>
      </c>
      <c r="AV3" s="31" t="s">
        <v>4</v>
      </c>
    </row>
    <row r="4" spans="1:48" x14ac:dyDescent="0.5">
      <c r="A4" t="s">
        <v>24</v>
      </c>
      <c r="B4" s="2">
        <f t="shared" ref="B4:B16" si="1">C4</f>
        <v>0.1</v>
      </c>
      <c r="C4" s="2">
        <v>0.1</v>
      </c>
      <c r="D4" s="2">
        <v>0.15</v>
      </c>
      <c r="E4" s="2">
        <v>0.15</v>
      </c>
      <c r="F4" s="2">
        <f t="shared" si="0"/>
        <v>0.66666666666666674</v>
      </c>
      <c r="G4" t="s">
        <v>12</v>
      </c>
      <c r="H4" t="s">
        <v>161</v>
      </c>
      <c r="AF4" s="25"/>
      <c r="AI4" s="25">
        <v>0.26</v>
      </c>
      <c r="AK4" s="27" t="s">
        <v>75</v>
      </c>
      <c r="AL4">
        <f>AI4</f>
        <v>0.26</v>
      </c>
      <c r="AN4" s="28" t="s">
        <v>149</v>
      </c>
      <c r="AO4">
        <v>12.3</v>
      </c>
      <c r="AQ4" s="27" t="s">
        <v>76</v>
      </c>
      <c r="AR4">
        <f>AO4/1000</f>
        <v>1.23E-2</v>
      </c>
      <c r="AT4" s="29" t="s">
        <v>73</v>
      </c>
      <c r="AU4" s="30" t="s">
        <v>77</v>
      </c>
      <c r="AV4" s="31" t="s">
        <v>6</v>
      </c>
    </row>
    <row r="5" spans="1:48" x14ac:dyDescent="0.5">
      <c r="A5" t="s">
        <v>25</v>
      </c>
      <c r="B5" s="2">
        <f>C5*0.95</f>
        <v>3.9557999999999995</v>
      </c>
      <c r="C5" s="2">
        <v>4.1639999999999997</v>
      </c>
      <c r="D5" s="2">
        <v>3.27</v>
      </c>
      <c r="E5" s="2">
        <v>3.27</v>
      </c>
      <c r="F5" s="2">
        <f t="shared" si="0"/>
        <v>1.2097247706422016</v>
      </c>
      <c r="G5" t="s">
        <v>170</v>
      </c>
      <c r="H5" t="s">
        <v>151</v>
      </c>
      <c r="AF5" s="25"/>
      <c r="AI5" s="25">
        <v>25</v>
      </c>
      <c r="AK5" s="27" t="s">
        <v>71</v>
      </c>
      <c r="AL5">
        <f>AI5/100</f>
        <v>0.25</v>
      </c>
      <c r="AN5" s="28" t="s">
        <v>149</v>
      </c>
      <c r="AO5">
        <v>40</v>
      </c>
      <c r="AQ5" s="27" t="s">
        <v>72</v>
      </c>
      <c r="AR5">
        <f>AO5*0.001</f>
        <v>0.04</v>
      </c>
      <c r="AT5" s="29" t="s">
        <v>73</v>
      </c>
      <c r="AU5" s="32" t="s">
        <v>78</v>
      </c>
      <c r="AV5" s="31" t="s">
        <v>8</v>
      </c>
    </row>
    <row r="6" spans="1:48" x14ac:dyDescent="0.5">
      <c r="A6" t="s">
        <v>26</v>
      </c>
      <c r="B6" s="2">
        <f>C6 * E6/7.333 *0.9</f>
        <v>61.173980635483424</v>
      </c>
      <c r="C6" s="2">
        <f>3.776</f>
        <v>3.7759999999999998</v>
      </c>
      <c r="D6" s="2">
        <v>132</v>
      </c>
      <c r="E6" s="58">
        <v>132</v>
      </c>
      <c r="F6" s="2">
        <f t="shared" si="0"/>
        <v>0.46343924723851077</v>
      </c>
      <c r="G6" t="s">
        <v>170</v>
      </c>
      <c r="H6" t="s">
        <v>151</v>
      </c>
      <c r="AF6" s="33" t="s">
        <v>79</v>
      </c>
      <c r="AG6" s="34" t="s">
        <v>80</v>
      </c>
      <c r="AH6" s="35" t="s">
        <v>81</v>
      </c>
      <c r="AI6" s="33">
        <v>4.0999999999999996</v>
      </c>
      <c r="AJ6" s="35"/>
      <c r="AK6" s="36" t="s">
        <v>75</v>
      </c>
      <c r="AL6" s="35">
        <f>AI6</f>
        <v>4.0999999999999996</v>
      </c>
      <c r="AM6" s="35"/>
      <c r="AN6" s="37" t="s">
        <v>149</v>
      </c>
      <c r="AO6" s="35">
        <v>15.6</v>
      </c>
      <c r="AP6" s="35"/>
      <c r="AQ6" s="36" t="s">
        <v>82</v>
      </c>
      <c r="AR6" s="35">
        <f>AO6*10^(-6)</f>
        <v>1.56E-5</v>
      </c>
      <c r="AS6" s="35"/>
      <c r="AT6" s="38" t="s">
        <v>73</v>
      </c>
      <c r="AU6" s="39" t="s">
        <v>83</v>
      </c>
      <c r="AV6" s="40" t="s">
        <v>4</v>
      </c>
    </row>
    <row r="7" spans="1:48" x14ac:dyDescent="0.5">
      <c r="A7" t="s">
        <v>27</v>
      </c>
      <c r="B7" s="2">
        <f t="shared" si="1"/>
        <v>1.837</v>
      </c>
      <c r="C7" s="2">
        <v>1.837</v>
      </c>
      <c r="D7" s="69">
        <v>5.93</v>
      </c>
      <c r="E7" s="2">
        <v>5.93</v>
      </c>
      <c r="F7" s="2">
        <f t="shared" si="0"/>
        <v>0.30978077571669477</v>
      </c>
      <c r="G7" t="s">
        <v>170</v>
      </c>
      <c r="H7" t="s">
        <v>151</v>
      </c>
      <c r="AF7" s="25"/>
      <c r="AI7" s="25">
        <v>2</v>
      </c>
      <c r="AK7" s="27" t="s">
        <v>75</v>
      </c>
      <c r="AL7">
        <f>AI7</f>
        <v>2</v>
      </c>
      <c r="AN7" s="28" t="s">
        <v>149</v>
      </c>
      <c r="AO7">
        <v>0.29699999999999999</v>
      </c>
      <c r="AQ7" s="27" t="s">
        <v>72</v>
      </c>
      <c r="AR7">
        <f>AO7*0.001</f>
        <v>2.9700000000000001E-4</v>
      </c>
      <c r="AT7" s="29" t="s">
        <v>73</v>
      </c>
      <c r="AU7" s="30" t="s">
        <v>84</v>
      </c>
      <c r="AV7" s="31" t="s">
        <v>6</v>
      </c>
    </row>
    <row r="8" spans="1:48" x14ac:dyDescent="0.5">
      <c r="A8" t="s">
        <v>28</v>
      </c>
      <c r="B8" s="2">
        <f t="shared" si="1"/>
        <v>3.577</v>
      </c>
      <c r="C8" s="2">
        <v>3.577</v>
      </c>
      <c r="D8" s="2">
        <v>3.02</v>
      </c>
      <c r="E8" s="2">
        <v>5.93</v>
      </c>
      <c r="F8" s="64">
        <f t="shared" si="0"/>
        <v>0.60320404721753795</v>
      </c>
      <c r="G8" t="s">
        <v>170</v>
      </c>
      <c r="H8" t="s">
        <v>151</v>
      </c>
      <c r="AF8" s="41"/>
      <c r="AG8" s="42"/>
      <c r="AH8" s="42"/>
      <c r="AI8" s="41"/>
      <c r="AJ8" s="42"/>
      <c r="AK8" s="43"/>
      <c r="AL8" s="42"/>
      <c r="AM8" s="42"/>
      <c r="AN8" s="44" t="s">
        <v>149</v>
      </c>
      <c r="AO8" s="42"/>
      <c r="AP8" s="42"/>
      <c r="AQ8" s="43"/>
      <c r="AR8" s="42"/>
      <c r="AS8" s="42"/>
      <c r="AT8" s="45" t="s">
        <v>73</v>
      </c>
      <c r="AU8" s="46"/>
      <c r="AV8" s="47" t="s">
        <v>85</v>
      </c>
    </row>
    <row r="9" spans="1:48" x14ac:dyDescent="0.5">
      <c r="A9" t="s">
        <v>29</v>
      </c>
      <c r="B9" s="2">
        <f>C9*0.8</f>
        <v>2.3008000000000002</v>
      </c>
      <c r="C9" s="2">
        <v>2.8759999999999999</v>
      </c>
      <c r="D9" s="2">
        <v>1.1100000000000001</v>
      </c>
      <c r="E9" s="2">
        <v>1.1100000000000001</v>
      </c>
      <c r="F9" s="64">
        <f t="shared" si="0"/>
        <v>2.0727927927927929</v>
      </c>
      <c r="G9" t="s">
        <v>170</v>
      </c>
      <c r="H9" t="s">
        <v>153</v>
      </c>
      <c r="AF9" s="25" t="s">
        <v>86</v>
      </c>
      <c r="AH9" t="s">
        <v>87</v>
      </c>
      <c r="AI9" s="25"/>
      <c r="AK9" s="27"/>
      <c r="AN9" s="28" t="s">
        <v>149</v>
      </c>
      <c r="AQ9" s="27"/>
      <c r="AT9" s="29" t="s">
        <v>73</v>
      </c>
      <c r="AU9" s="32"/>
      <c r="AV9" s="31"/>
    </row>
    <row r="10" spans="1:48" x14ac:dyDescent="0.5">
      <c r="A10" t="s">
        <v>31</v>
      </c>
      <c r="B10" s="2">
        <f>C10</f>
        <v>1.2E-4</v>
      </c>
      <c r="C10" s="4">
        <v>1.2E-4</v>
      </c>
      <c r="D10" s="4">
        <v>7.4700000000000001E-3</v>
      </c>
      <c r="E10" s="2">
        <v>7.4700000000000001E-3</v>
      </c>
      <c r="F10" s="64">
        <f t="shared" si="0"/>
        <v>1.6064257028112448E-2</v>
      </c>
      <c r="G10" s="65" t="s">
        <v>165</v>
      </c>
      <c r="H10" t="s">
        <v>157</v>
      </c>
      <c r="AF10" s="25" t="s">
        <v>88</v>
      </c>
      <c r="AH10" t="s">
        <v>89</v>
      </c>
      <c r="AI10" s="25"/>
      <c r="AK10" s="27"/>
      <c r="AN10" s="28" t="s">
        <v>149</v>
      </c>
      <c r="AQ10" s="27"/>
      <c r="AT10" s="29" t="s">
        <v>73</v>
      </c>
      <c r="AU10" s="32"/>
      <c r="AV10" s="31"/>
    </row>
    <row r="11" spans="1:48" x14ac:dyDescent="0.5">
      <c r="A11" t="s">
        <v>30</v>
      </c>
      <c r="B11" s="2">
        <f t="shared" si="1"/>
        <v>0.24879999999999999</v>
      </c>
      <c r="C11" s="3">
        <v>0.24879999999999999</v>
      </c>
      <c r="D11" s="3">
        <v>9.5799999999999996E-2</v>
      </c>
      <c r="E11" s="2">
        <v>9.5799999999999996E-2</v>
      </c>
      <c r="F11" s="64">
        <f t="shared" si="0"/>
        <v>2.5970772442588728</v>
      </c>
      <c r="G11" s="65" t="s">
        <v>165</v>
      </c>
      <c r="H11" t="s">
        <v>156</v>
      </c>
      <c r="AF11" s="25" t="s">
        <v>90</v>
      </c>
      <c r="AH11" t="s">
        <v>91</v>
      </c>
      <c r="AI11" s="25"/>
      <c r="AK11" s="27"/>
      <c r="AN11" s="28" t="s">
        <v>149</v>
      </c>
      <c r="AQ11" s="27"/>
      <c r="AT11" s="29" t="s">
        <v>73</v>
      </c>
      <c r="AU11" s="32"/>
      <c r="AV11" s="31"/>
    </row>
    <row r="12" spans="1:48" x14ac:dyDescent="0.5">
      <c r="A12" t="s">
        <v>32</v>
      </c>
      <c r="B12" s="2">
        <f t="shared" si="1"/>
        <v>1.4E-2</v>
      </c>
      <c r="C12" s="2">
        <v>1.4E-2</v>
      </c>
      <c r="D12" s="3">
        <v>4.82E-2</v>
      </c>
      <c r="E12" s="2">
        <v>4.82E-2</v>
      </c>
      <c r="F12" s="64">
        <f t="shared" si="0"/>
        <v>0.29045643153526973</v>
      </c>
      <c r="G12" s="65" t="s">
        <v>13</v>
      </c>
      <c r="H12" t="s">
        <v>154</v>
      </c>
      <c r="AF12" s="25" t="s">
        <v>92</v>
      </c>
      <c r="AH12" t="s">
        <v>93</v>
      </c>
      <c r="AI12" s="25"/>
      <c r="AK12" s="27"/>
      <c r="AN12" s="28" t="s">
        <v>149</v>
      </c>
      <c r="AQ12" s="27"/>
      <c r="AT12" s="29" t="s">
        <v>73</v>
      </c>
      <c r="AU12" s="32"/>
      <c r="AV12" s="31"/>
    </row>
    <row r="13" spans="1:48" x14ac:dyDescent="0.5">
      <c r="A13" t="s">
        <v>33</v>
      </c>
      <c r="B13" s="2">
        <f t="shared" si="1"/>
        <v>15.558</v>
      </c>
      <c r="C13" s="2">
        <v>15.558</v>
      </c>
      <c r="D13" s="2">
        <v>0.93100000000000005</v>
      </c>
      <c r="E13" s="2">
        <v>0.93100000000000005</v>
      </c>
      <c r="F13" s="64">
        <f t="shared" si="0"/>
        <v>16.711063372717508</v>
      </c>
      <c r="G13" t="s">
        <v>13</v>
      </c>
      <c r="H13" t="s">
        <v>152</v>
      </c>
      <c r="O13">
        <f>51+18+33</f>
        <v>102</v>
      </c>
      <c r="AF13" s="25" t="s">
        <v>94</v>
      </c>
      <c r="AH13" t="s">
        <v>95</v>
      </c>
      <c r="AI13" s="25"/>
      <c r="AK13" s="27"/>
      <c r="AN13" s="28" t="s">
        <v>149</v>
      </c>
      <c r="AQ13" s="27"/>
      <c r="AT13" s="29" t="s">
        <v>73</v>
      </c>
      <c r="AU13" s="32"/>
      <c r="AV13" s="31"/>
    </row>
    <row r="14" spans="1:48" x14ac:dyDescent="0.5">
      <c r="A14" t="s">
        <v>34</v>
      </c>
      <c r="B14" s="2">
        <f t="shared" si="1"/>
        <v>7.3849999999999998</v>
      </c>
      <c r="C14">
        <f>44310/6000</f>
        <v>7.3849999999999998</v>
      </c>
      <c r="D14">
        <v>6.33</v>
      </c>
      <c r="E14" s="2">
        <v>6.33</v>
      </c>
      <c r="F14" s="2">
        <f t="shared" si="0"/>
        <v>1.1666666666666665</v>
      </c>
      <c r="G14" t="s">
        <v>3</v>
      </c>
      <c r="H14" t="s">
        <v>155</v>
      </c>
      <c r="AF14" s="25" t="s">
        <v>96</v>
      </c>
      <c r="AH14" t="s">
        <v>97</v>
      </c>
      <c r="AI14" s="25"/>
      <c r="AK14" s="27"/>
      <c r="AN14" s="28" t="s">
        <v>149</v>
      </c>
      <c r="AQ14" s="27"/>
      <c r="AT14" s="29" t="s">
        <v>73</v>
      </c>
      <c r="AU14" s="32"/>
      <c r="AV14" s="31"/>
    </row>
    <row r="15" spans="1:48" x14ac:dyDescent="0.5">
      <c r="A15" t="s">
        <v>35</v>
      </c>
      <c r="B15" s="2">
        <f t="shared" si="1"/>
        <v>1.4500000000000001E-2</v>
      </c>
      <c r="C15" s="3">
        <v>1.4500000000000001E-2</v>
      </c>
      <c r="D15" s="4">
        <v>7.9399999999999991E-3</v>
      </c>
      <c r="E15" s="2">
        <v>7.9399999999999991E-3</v>
      </c>
      <c r="F15" s="2">
        <f t="shared" si="0"/>
        <v>1.8261964735516376</v>
      </c>
      <c r="H15" t="s">
        <v>158</v>
      </c>
      <c r="AF15" s="25" t="s">
        <v>98</v>
      </c>
      <c r="AH15" t="s">
        <v>99</v>
      </c>
      <c r="AI15" s="25"/>
      <c r="AK15" s="27"/>
      <c r="AN15" s="28" t="s">
        <v>149</v>
      </c>
      <c r="AQ15" s="27"/>
      <c r="AT15" s="29" t="s">
        <v>73</v>
      </c>
      <c r="AU15" s="32"/>
      <c r="AV15" s="31"/>
    </row>
    <row r="16" spans="1:48" x14ac:dyDescent="0.5">
      <c r="A16" t="s">
        <v>36</v>
      </c>
      <c r="B16" s="2">
        <f t="shared" si="1"/>
        <v>0.67083333333333328</v>
      </c>
      <c r="C16">
        <f>4025/6000</f>
        <v>0.67083333333333328</v>
      </c>
      <c r="D16">
        <v>0.57499999999999996</v>
      </c>
      <c r="E16" s="2">
        <v>0.57499999999999996</v>
      </c>
      <c r="F16" s="2">
        <f t="shared" si="0"/>
        <v>1.1666666666666667</v>
      </c>
      <c r="H16" t="s">
        <v>150</v>
      </c>
      <c r="AF16" s="25" t="s">
        <v>100</v>
      </c>
      <c r="AH16" t="s">
        <v>101</v>
      </c>
      <c r="AI16" s="25"/>
      <c r="AK16" s="27"/>
      <c r="AN16" s="28" t="s">
        <v>149</v>
      </c>
      <c r="AQ16" s="27"/>
      <c r="AT16" s="29" t="s">
        <v>73</v>
      </c>
      <c r="AU16" s="32"/>
      <c r="AV16" s="31"/>
    </row>
    <row r="17" spans="6:48" x14ac:dyDescent="0.5">
      <c r="F17" s="2"/>
      <c r="AF17" s="25" t="s">
        <v>102</v>
      </c>
      <c r="AH17" t="s">
        <v>103</v>
      </c>
      <c r="AI17" s="25"/>
      <c r="AK17" s="27"/>
      <c r="AN17" s="28" t="s">
        <v>149</v>
      </c>
      <c r="AQ17" s="27"/>
      <c r="AT17" s="29" t="s">
        <v>73</v>
      </c>
      <c r="AU17" s="32"/>
      <c r="AV17" s="31"/>
    </row>
    <row r="18" spans="6:48" x14ac:dyDescent="0.5">
      <c r="AF18" s="25" t="s">
        <v>104</v>
      </c>
      <c r="AH18" t="s">
        <v>105</v>
      </c>
      <c r="AI18" s="25"/>
      <c r="AK18" s="27"/>
      <c r="AN18" s="28" t="s">
        <v>149</v>
      </c>
      <c r="AQ18" s="27"/>
      <c r="AT18" s="29" t="s">
        <v>73</v>
      </c>
      <c r="AU18" s="32"/>
      <c r="AV18" s="31"/>
    </row>
    <row r="19" spans="6:48" x14ac:dyDescent="0.5">
      <c r="AF19" s="25" t="s">
        <v>106</v>
      </c>
      <c r="AH19" t="s">
        <v>107</v>
      </c>
      <c r="AI19" s="25">
        <v>30</v>
      </c>
      <c r="AJ19">
        <v>40</v>
      </c>
      <c r="AK19" s="27" t="s">
        <v>71</v>
      </c>
      <c r="AL19">
        <f>AI19/100</f>
        <v>0.3</v>
      </c>
      <c r="AM19">
        <f>AJ19/100</f>
        <v>0.4</v>
      </c>
      <c r="AN19" s="28" t="s">
        <v>149</v>
      </c>
      <c r="AO19">
        <v>50</v>
      </c>
      <c r="AP19">
        <v>120</v>
      </c>
      <c r="AQ19" s="27" t="s">
        <v>82</v>
      </c>
      <c r="AR19">
        <f>AO19/100</f>
        <v>0.5</v>
      </c>
      <c r="AS19">
        <f>AP19/100</f>
        <v>1.2</v>
      </c>
      <c r="AT19" s="29" t="s">
        <v>73</v>
      </c>
      <c r="AU19" s="30" t="s">
        <v>108</v>
      </c>
      <c r="AV19" s="31" t="s">
        <v>109</v>
      </c>
    </row>
    <row r="20" spans="6:48" x14ac:dyDescent="0.5">
      <c r="AF20" s="25"/>
      <c r="AI20" s="25">
        <v>980</v>
      </c>
      <c r="AJ20" s="48" t="s">
        <v>85</v>
      </c>
      <c r="AK20" s="27" t="s">
        <v>71</v>
      </c>
      <c r="AL20">
        <f>AI20/100</f>
        <v>9.8000000000000007</v>
      </c>
      <c r="AM20" s="48" t="s">
        <v>85</v>
      </c>
      <c r="AN20" s="28" t="s">
        <v>149</v>
      </c>
      <c r="AO20">
        <v>0.4</v>
      </c>
      <c r="AP20" s="48" t="s">
        <v>85</v>
      </c>
      <c r="AQ20" s="27" t="s">
        <v>110</v>
      </c>
      <c r="AR20">
        <f>AO20</f>
        <v>0.4</v>
      </c>
      <c r="AS20" t="str">
        <f>AP20</f>
        <v>-</v>
      </c>
      <c r="AT20" s="29" t="s">
        <v>73</v>
      </c>
      <c r="AU20" s="30" t="s">
        <v>111</v>
      </c>
      <c r="AV20" s="31" t="s">
        <v>6</v>
      </c>
    </row>
    <row r="21" spans="6:48" x14ac:dyDescent="0.5">
      <c r="AF21" s="25" t="s">
        <v>112</v>
      </c>
      <c r="AH21" t="s">
        <v>113</v>
      </c>
      <c r="AI21" s="25"/>
      <c r="AK21" s="27"/>
      <c r="AN21" s="28" t="s">
        <v>149</v>
      </c>
      <c r="AQ21" s="27"/>
      <c r="AT21" s="29" t="s">
        <v>73</v>
      </c>
      <c r="AU21" s="32"/>
      <c r="AV21" s="31"/>
    </row>
    <row r="22" spans="6:48" x14ac:dyDescent="0.5">
      <c r="AF22" s="25" t="s">
        <v>114</v>
      </c>
      <c r="AH22" t="s">
        <v>115</v>
      </c>
      <c r="AI22" s="25"/>
      <c r="AK22" s="27"/>
      <c r="AN22" s="28" t="s">
        <v>149</v>
      </c>
      <c r="AQ22" s="27"/>
      <c r="AT22" s="29" t="s">
        <v>73</v>
      </c>
      <c r="AU22" s="32"/>
      <c r="AV22" s="31"/>
    </row>
    <row r="23" spans="6:48" x14ac:dyDescent="0.5">
      <c r="AF23" s="25" t="s">
        <v>116</v>
      </c>
      <c r="AH23" t="s">
        <v>117</v>
      </c>
      <c r="AI23" s="25"/>
      <c r="AK23" s="27"/>
      <c r="AN23" s="28" t="s">
        <v>149</v>
      </c>
      <c r="AQ23" s="27"/>
      <c r="AT23" s="29" t="s">
        <v>73</v>
      </c>
      <c r="AU23" s="32"/>
      <c r="AV23" s="31"/>
    </row>
    <row r="24" spans="6:48" x14ac:dyDescent="0.5">
      <c r="AF24" s="25" t="s">
        <v>118</v>
      </c>
      <c r="AH24" t="s">
        <v>119</v>
      </c>
      <c r="AI24" s="25"/>
      <c r="AK24" s="27"/>
      <c r="AN24" s="28" t="s">
        <v>149</v>
      </c>
      <c r="AQ24" s="27"/>
      <c r="AT24" s="29" t="s">
        <v>73</v>
      </c>
      <c r="AU24" s="32"/>
      <c r="AV24" s="31"/>
    </row>
    <row r="25" spans="6:48" x14ac:dyDescent="0.5">
      <c r="AF25" s="25" t="s">
        <v>120</v>
      </c>
      <c r="AH25" t="s">
        <v>121</v>
      </c>
      <c r="AI25" s="25"/>
      <c r="AK25" s="27"/>
      <c r="AN25" s="28" t="s">
        <v>149</v>
      </c>
      <c r="AQ25" s="27"/>
      <c r="AT25" s="29" t="s">
        <v>73</v>
      </c>
      <c r="AU25" s="32"/>
      <c r="AV25" s="31"/>
    </row>
    <row r="26" spans="6:48" x14ac:dyDescent="0.5">
      <c r="AF26" s="25" t="s">
        <v>122</v>
      </c>
      <c r="AH26" t="s">
        <v>123</v>
      </c>
      <c r="AI26" s="25"/>
      <c r="AK26" s="27"/>
      <c r="AN26" s="28" t="s">
        <v>149</v>
      </c>
      <c r="AQ26" s="27"/>
      <c r="AT26" s="29" t="s">
        <v>73</v>
      </c>
      <c r="AU26" s="32"/>
      <c r="AV26" s="31"/>
    </row>
    <row r="27" spans="6:48" x14ac:dyDescent="0.5">
      <c r="AF27" s="25" t="s">
        <v>124</v>
      </c>
      <c r="AH27" s="49" t="s">
        <v>125</v>
      </c>
      <c r="AI27" s="25"/>
      <c r="AK27" s="27"/>
      <c r="AN27" s="28" t="s">
        <v>149</v>
      </c>
      <c r="AQ27" s="27"/>
      <c r="AT27" s="29" t="s">
        <v>73</v>
      </c>
      <c r="AU27" s="32"/>
      <c r="AV27" s="31"/>
    </row>
    <row r="28" spans="6:48" x14ac:dyDescent="0.5">
      <c r="AF28" s="25" t="s">
        <v>126</v>
      </c>
      <c r="AH28" s="49" t="s">
        <v>127</v>
      </c>
      <c r="AI28" s="25"/>
      <c r="AK28" s="27"/>
      <c r="AN28" s="28" t="s">
        <v>149</v>
      </c>
      <c r="AQ28" s="27"/>
      <c r="AT28" s="29" t="s">
        <v>73</v>
      </c>
      <c r="AU28" s="32"/>
      <c r="AV28" s="31"/>
    </row>
    <row r="29" spans="6:48" x14ac:dyDescent="0.5">
      <c r="AF29" s="25" t="s">
        <v>128</v>
      </c>
      <c r="AH29" t="s">
        <v>129</v>
      </c>
      <c r="AI29" s="25"/>
      <c r="AK29" s="27"/>
      <c r="AN29" s="28" t="s">
        <v>149</v>
      </c>
      <c r="AQ29" s="27"/>
      <c r="AT29" s="29" t="s">
        <v>73</v>
      </c>
      <c r="AU29" s="32"/>
      <c r="AV29" s="31"/>
    </row>
    <row r="30" spans="6:48" x14ac:dyDescent="0.5">
      <c r="AF30" s="25" t="s">
        <v>130</v>
      </c>
      <c r="AH30" t="s">
        <v>131</v>
      </c>
      <c r="AI30" s="25"/>
      <c r="AK30" s="27"/>
      <c r="AN30" s="28" t="s">
        <v>149</v>
      </c>
      <c r="AQ30" s="27"/>
      <c r="AT30" s="29" t="s">
        <v>73</v>
      </c>
      <c r="AU30" s="32"/>
      <c r="AV30" s="31"/>
    </row>
    <row r="31" spans="6:48" x14ac:dyDescent="0.5">
      <c r="AF31" s="25" t="s">
        <v>132</v>
      </c>
      <c r="AH31" t="s">
        <v>133</v>
      </c>
      <c r="AI31" s="25"/>
      <c r="AK31" s="27"/>
      <c r="AN31" s="28" t="s">
        <v>149</v>
      </c>
      <c r="AQ31" s="27"/>
      <c r="AT31" s="29" t="s">
        <v>73</v>
      </c>
      <c r="AU31" s="32"/>
      <c r="AV31" s="31"/>
    </row>
    <row r="32" spans="6:48" x14ac:dyDescent="0.5">
      <c r="AF32" s="25" t="s">
        <v>134</v>
      </c>
      <c r="AH32" t="s">
        <v>135</v>
      </c>
      <c r="AI32" s="25"/>
      <c r="AK32" s="27"/>
      <c r="AN32" s="28" t="s">
        <v>149</v>
      </c>
      <c r="AQ32" s="27"/>
      <c r="AT32" s="29" t="s">
        <v>73</v>
      </c>
      <c r="AU32" s="32"/>
      <c r="AV32" s="31"/>
    </row>
    <row r="33" spans="32:48" x14ac:dyDescent="0.5">
      <c r="AF33" s="25" t="s">
        <v>136</v>
      </c>
      <c r="AH33" t="s">
        <v>137</v>
      </c>
      <c r="AI33" s="25"/>
      <c r="AK33" s="27"/>
      <c r="AN33" s="28" t="s">
        <v>149</v>
      </c>
      <c r="AQ33" s="27"/>
      <c r="AT33" s="29" t="s">
        <v>73</v>
      </c>
      <c r="AU33" s="32"/>
      <c r="AV33" s="31"/>
    </row>
    <row r="34" spans="32:48" x14ac:dyDescent="0.5">
      <c r="AF34" s="25" t="s">
        <v>138</v>
      </c>
      <c r="AH34" t="s">
        <v>139</v>
      </c>
      <c r="AI34" s="25"/>
      <c r="AK34" s="27"/>
      <c r="AN34" s="28" t="s">
        <v>149</v>
      </c>
      <c r="AQ34" s="27"/>
      <c r="AT34" s="29" t="s">
        <v>73</v>
      </c>
      <c r="AU34" s="32"/>
      <c r="AV34" s="31"/>
    </row>
    <row r="35" spans="32:48" x14ac:dyDescent="0.5">
      <c r="AF35" s="25" t="s">
        <v>140</v>
      </c>
      <c r="AH35" s="49" t="s">
        <v>141</v>
      </c>
      <c r="AI35" s="25"/>
      <c r="AK35" s="27"/>
      <c r="AN35" s="28" t="s">
        <v>149</v>
      </c>
      <c r="AQ35" s="27"/>
      <c r="AT35" s="29" t="s">
        <v>73</v>
      </c>
      <c r="AU35" s="32"/>
      <c r="AV35" s="31"/>
    </row>
    <row r="36" spans="32:48" x14ac:dyDescent="0.5">
      <c r="AF36" s="25" t="s">
        <v>142</v>
      </c>
      <c r="AH36" s="49" t="s">
        <v>143</v>
      </c>
      <c r="AI36" s="25"/>
      <c r="AK36" s="27"/>
      <c r="AN36" s="28" t="s">
        <v>149</v>
      </c>
      <c r="AQ36" s="27"/>
      <c r="AT36" s="29" t="s">
        <v>73</v>
      </c>
      <c r="AU36" s="32"/>
      <c r="AV36" s="31"/>
    </row>
    <row r="37" spans="32:48" x14ac:dyDescent="0.5">
      <c r="AF37" s="25" t="s">
        <v>144</v>
      </c>
      <c r="AH37" t="s">
        <v>145</v>
      </c>
      <c r="AI37" s="25"/>
      <c r="AK37" s="27"/>
      <c r="AN37" s="28" t="s">
        <v>149</v>
      </c>
      <c r="AQ37" s="27"/>
      <c r="AT37" s="29" t="s">
        <v>73</v>
      </c>
      <c r="AU37" s="32"/>
      <c r="AV37" s="31"/>
    </row>
    <row r="38" spans="32:48" x14ac:dyDescent="0.5">
      <c r="AF38" s="25" t="s">
        <v>146</v>
      </c>
      <c r="AH38" t="s">
        <v>147</v>
      </c>
      <c r="AI38" s="25"/>
      <c r="AK38" s="27"/>
      <c r="AN38" s="28" t="s">
        <v>149</v>
      </c>
      <c r="AQ38" s="27"/>
      <c r="AT38" s="29" t="s">
        <v>73</v>
      </c>
      <c r="AU38" s="32"/>
      <c r="AV38" s="31"/>
    </row>
    <row r="39" spans="32:48" ht="14.7" thickBot="1" x14ac:dyDescent="0.55000000000000004">
      <c r="AF39" s="50"/>
      <c r="AG39" s="51"/>
      <c r="AH39" s="51"/>
      <c r="AI39" s="50"/>
      <c r="AJ39" s="51"/>
      <c r="AK39" s="52"/>
      <c r="AL39" s="51"/>
      <c r="AM39" s="51"/>
      <c r="AN39" s="53" t="s">
        <v>149</v>
      </c>
      <c r="AO39" s="51"/>
      <c r="AP39" s="51"/>
      <c r="AQ39" s="52"/>
      <c r="AR39" s="51"/>
      <c r="AS39" s="51"/>
      <c r="AT39" s="54" t="s">
        <v>73</v>
      </c>
      <c r="AU39" s="55"/>
      <c r="AV39" s="56"/>
    </row>
    <row r="42" spans="32:48" x14ac:dyDescent="0.5">
      <c r="AH42" t="s">
        <v>148</v>
      </c>
    </row>
  </sheetData>
  <mergeCells count="5">
    <mergeCell ref="AF1:AF2"/>
    <mergeCell ref="AH1:AH2"/>
    <mergeCell ref="AI1:AN1"/>
    <mergeCell ref="AO1:AT1"/>
    <mergeCell ref="AU1:AV1"/>
  </mergeCells>
  <hyperlinks>
    <hyperlink ref="AU19" r:id="rId1" xr:uid="{DD8E769F-33DB-43EB-882C-7DD81CECE695}"/>
    <hyperlink ref="AU20" r:id="rId2" xr:uid="{44ABD164-6C01-4728-9C9B-583BD22765FD}"/>
    <hyperlink ref="AU3" r:id="rId3" xr:uid="{463F88E4-80AD-4E04-A70B-A81D517C9B16}"/>
    <hyperlink ref="AU4" r:id="rId4" xr:uid="{318BE4F6-51D7-4421-8A2D-BAE51F7B307C}"/>
    <hyperlink ref="AU7" r:id="rId5" xr:uid="{11ED05FC-FF3C-460C-B80B-1897A667B9E0}"/>
    <hyperlink ref="AU6" r:id="rId6" xr:uid="{9294466D-B6F9-48AC-BE85-F782717493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18B5-CB06-4274-A986-6A63A4BE0EE8}">
  <dimension ref="A1:R24"/>
  <sheetViews>
    <sheetView zoomScale="105" workbookViewId="0">
      <selection activeCell="C8" sqref="C8"/>
    </sheetView>
  </sheetViews>
  <sheetFormatPr defaultRowHeight="14.35" x14ac:dyDescent="0.5"/>
  <cols>
    <col min="1" max="1" width="9.29296875" bestFit="1" customWidth="1"/>
    <col min="2" max="2" width="21.64453125" bestFit="1" customWidth="1"/>
    <col min="3" max="3" width="7.29296875" bestFit="1" customWidth="1"/>
    <col min="4" max="4" width="9.41015625" bestFit="1" customWidth="1"/>
    <col min="5" max="5" width="9.41015625" customWidth="1"/>
    <col min="6" max="6" width="12.3515625" customWidth="1"/>
    <col min="7" max="7" width="9.87890625" bestFit="1" customWidth="1"/>
    <col min="8" max="8" width="11.234375" bestFit="1" customWidth="1"/>
    <col min="9" max="9" width="17.17578125" bestFit="1" customWidth="1"/>
    <col min="10" max="10" width="16.52734375" bestFit="1" customWidth="1"/>
    <col min="11" max="11" width="11.8203125" bestFit="1" customWidth="1"/>
    <col min="12" max="12" width="11.234375" bestFit="1" customWidth="1"/>
  </cols>
  <sheetData>
    <row r="1" spans="1:18" x14ac:dyDescent="0.5">
      <c r="A1" s="1" t="s">
        <v>0</v>
      </c>
      <c r="B1" s="1" t="s">
        <v>43</v>
      </c>
      <c r="C1" s="1" t="s">
        <v>1</v>
      </c>
      <c r="D1" s="1" t="s">
        <v>2</v>
      </c>
      <c r="E1" s="1" t="s">
        <v>166</v>
      </c>
      <c r="F1" s="1" t="s">
        <v>41</v>
      </c>
      <c r="G1" s="1" t="s">
        <v>49</v>
      </c>
      <c r="H1" s="1" t="s">
        <v>55</v>
      </c>
      <c r="I1" s="1" t="s">
        <v>167</v>
      </c>
      <c r="J1" s="1" t="s">
        <v>46</v>
      </c>
      <c r="K1" s="11" t="s">
        <v>56</v>
      </c>
    </row>
    <row r="2" spans="1:18" x14ac:dyDescent="0.5">
      <c r="A2" t="s">
        <v>16</v>
      </c>
      <c r="B2" t="s">
        <v>47</v>
      </c>
      <c r="C2" s="4">
        <f>E2</f>
        <v>2.5999999999999999E-2</v>
      </c>
      <c r="D2" s="8" t="s">
        <v>13</v>
      </c>
      <c r="E2" s="4">
        <v>2.5999999999999999E-2</v>
      </c>
      <c r="F2" s="4">
        <f>-LN(0.01)/(K2)*1.053</f>
        <v>6.4370496883557046E-2</v>
      </c>
      <c r="G2" s="7">
        <f>VLOOKUP(A2, [1]SIMOmodel!$A$2:$B$6, 2, FALSE)</f>
        <v>2.8237000000000002E-2</v>
      </c>
      <c r="H2" s="68">
        <f>C2/G2</f>
        <v>0.92077770301377615</v>
      </c>
      <c r="I2" s="7">
        <f>LN(2)/F2 /60</f>
        <v>0.17946813476102602</v>
      </c>
      <c r="J2" s="7">
        <f>LN(0.01)/(-C2)/60</f>
        <v>2.9520321705051864</v>
      </c>
      <c r="K2" s="66">
        <f>AVERAGE(56,57.5)+K12</f>
        <v>75.333335000000005</v>
      </c>
      <c r="L2" s="2">
        <f>SUM($K$2:K2)/60</f>
        <v>1.2555555833333334</v>
      </c>
      <c r="M2" s="10" t="s">
        <v>48</v>
      </c>
    </row>
    <row r="3" spans="1:18" x14ac:dyDescent="0.5">
      <c r="A3" t="s">
        <v>18</v>
      </c>
      <c r="B3" t="s">
        <v>51</v>
      </c>
      <c r="C3" s="4">
        <f t="shared" ref="C3:C7" si="0">E3</f>
        <v>3.2000000000000001E-2</v>
      </c>
      <c r="D3" s="8" t="s">
        <v>13</v>
      </c>
      <c r="E3" s="4">
        <v>3.2000000000000001E-2</v>
      </c>
      <c r="F3" s="4">
        <f>F4</f>
        <v>1.847740979575873E-2</v>
      </c>
      <c r="G3" s="7">
        <f>VLOOKUP(A3, [1]SIMOmodel!$A$2:$B$6, 2, FALSE)</f>
        <v>3.2967299999999998E-2</v>
      </c>
      <c r="H3" s="68">
        <f>C3/G3</f>
        <v>0.97065880433035168</v>
      </c>
      <c r="I3" s="7">
        <f t="shared" ref="I3:I4" si="1">LN(2)/F3 /60</f>
        <v>0.62522037109249751</v>
      </c>
      <c r="J3" s="7">
        <f>LN(0.01)/(-C3)/60</f>
        <v>2.3985261385354639</v>
      </c>
      <c r="K3" s="66"/>
      <c r="M3" s="4">
        <f>J3/2</f>
        <v>1.199263069267732</v>
      </c>
    </row>
    <row r="4" spans="1:18" ht="13.7" customHeight="1" x14ac:dyDescent="0.5">
      <c r="A4" t="s">
        <v>19</v>
      </c>
      <c r="B4" t="s">
        <v>171</v>
      </c>
      <c r="C4" s="4">
        <f t="shared" si="0"/>
        <v>2.9000000000000001E-2</v>
      </c>
      <c r="D4" s="8" t="s">
        <v>13</v>
      </c>
      <c r="E4" s="4">
        <v>2.9000000000000001E-2</v>
      </c>
      <c r="F4" s="4">
        <f>-LN(0.01)/($K$4)*0.76</f>
        <v>1.847740979575873E-2</v>
      </c>
      <c r="G4" s="7">
        <f>VLOOKUP(A4, [1]SIMOmodel!$A$2:$B$6, 2, FALSE)</f>
        <v>3.44046E-2</v>
      </c>
      <c r="H4" s="68">
        <f t="shared" ref="H4:H6" si="2">C4/G4</f>
        <v>0.84291054103230389</v>
      </c>
      <c r="I4" s="7">
        <f t="shared" si="1"/>
        <v>0.62522037109249751</v>
      </c>
      <c r="J4" s="7">
        <f>LN(0.01)/(-C4)/60</f>
        <v>2.6466495321770638</v>
      </c>
      <c r="K4" s="66">
        <f>K11-K7-K5-K12</f>
        <v>189.41666499999999</v>
      </c>
      <c r="L4" s="2">
        <f>SUM($K$2:K4)/60</f>
        <v>4.4124999999999996</v>
      </c>
      <c r="M4" s="2">
        <f>K4/60</f>
        <v>3.1569444166666667</v>
      </c>
    </row>
    <row r="5" spans="1:18" hidden="1" x14ac:dyDescent="0.5">
      <c r="A5" t="s">
        <v>20</v>
      </c>
      <c r="B5" t="s">
        <v>42</v>
      </c>
      <c r="C5" s="4">
        <f t="shared" si="0"/>
        <v>0</v>
      </c>
      <c r="D5" s="8" t="s">
        <v>13</v>
      </c>
      <c r="E5" s="4">
        <f>G13</f>
        <v>0</v>
      </c>
      <c r="F5" s="4" t="e">
        <f t="shared" ref="F5" si="3">-LN(0.01)/(K5*3)</f>
        <v>#DIV/0!</v>
      </c>
      <c r="G5" s="7">
        <f>VLOOKUP(A5, [1]SIMOmodel!$A$2:$B$6, 2, FALSE)</f>
        <v>5.1380200000000001E-2</v>
      </c>
      <c r="H5" s="68">
        <f t="shared" si="2"/>
        <v>0</v>
      </c>
      <c r="I5" s="7" t="e">
        <f>LN(2)/F5 /60</f>
        <v>#DIV/0!</v>
      </c>
      <c r="J5" s="7" t="e">
        <f t="shared" ref="J5" si="4">LN(0.01)/(-F5)/60</f>
        <v>#DIV/0!</v>
      </c>
      <c r="K5" s="66">
        <v>0</v>
      </c>
    </row>
    <row r="6" spans="1:18" x14ac:dyDescent="0.5">
      <c r="A6" t="s">
        <v>20</v>
      </c>
      <c r="B6" t="s">
        <v>42</v>
      </c>
      <c r="C6" s="4">
        <f t="shared" si="0"/>
        <v>2.5999999999999999E-2</v>
      </c>
      <c r="D6" s="8" t="s">
        <v>13</v>
      </c>
      <c r="E6" s="4">
        <v>2.5999999999999999E-2</v>
      </c>
      <c r="F6" s="4">
        <f>F4</f>
        <v>1.847740979575873E-2</v>
      </c>
      <c r="G6" s="4">
        <v>5.1380200000000001E-2</v>
      </c>
      <c r="H6" s="68">
        <f t="shared" si="2"/>
        <v>0.50603150630009219</v>
      </c>
      <c r="I6" s="7"/>
      <c r="J6" s="7">
        <f>LN(0.01)/(-C6)/60</f>
        <v>2.9520321705051864</v>
      </c>
      <c r="K6" s="66"/>
    </row>
    <row r="7" spans="1:18" x14ac:dyDescent="0.5">
      <c r="A7" t="s">
        <v>17</v>
      </c>
      <c r="B7" t="s">
        <v>52</v>
      </c>
      <c r="C7" s="4">
        <f t="shared" si="0"/>
        <v>3.5000000000000003E-2</v>
      </c>
      <c r="D7" s="8" t="s">
        <v>13</v>
      </c>
      <c r="E7" s="4">
        <v>3.5000000000000003E-2</v>
      </c>
      <c r="F7" s="67">
        <f>-LN(0.01)/(K7)*0.295</f>
        <v>2.3833775523973449E-2</v>
      </c>
      <c r="G7" s="7">
        <f>VLOOKUP(A7, [1]SIMOmodel!$A$2:$B$6, 2, FALSE)</f>
        <v>1.8094200000000001E-2</v>
      </c>
      <c r="H7" s="68">
        <f>C7/G7</f>
        <v>1.9343214952857823</v>
      </c>
      <c r="I7" s="7">
        <f>LN(2)/F7 /60</f>
        <v>0.48470931505217324</v>
      </c>
      <c r="J7" s="7">
        <f>LN(0.01)/(-C7)/60</f>
        <v>2.1929381838038529</v>
      </c>
      <c r="K7" s="66">
        <f>57</f>
        <v>57</v>
      </c>
      <c r="L7" s="2">
        <f>SUM($K$2:K7)/60</f>
        <v>5.3624999999999998</v>
      </c>
    </row>
    <row r="8" spans="1:18" x14ac:dyDescent="0.5">
      <c r="A8" t="s">
        <v>45</v>
      </c>
      <c r="B8" t="s">
        <v>44</v>
      </c>
      <c r="C8" s="4">
        <f>F8</f>
        <v>7.8046982832137108E-3</v>
      </c>
      <c r="D8" s="8" t="s">
        <v>13</v>
      </c>
      <c r="E8" s="4">
        <f>F8</f>
        <v>7.8046982832137108E-3</v>
      </c>
      <c r="F8" s="4">
        <f>-LN(0.01)/(K8)*0.98</f>
        <v>7.8046982832137108E-3</v>
      </c>
      <c r="G8" s="59">
        <f>LN(2)/(90)</f>
        <v>7.7016353395549476E-3</v>
      </c>
      <c r="I8" s="7">
        <f>LN(2)/C8</f>
        <v>88.811528057498549</v>
      </c>
      <c r="J8" s="7">
        <f>LN(0.01)/(-C8)/60</f>
        <v>9.8341836734693899</v>
      </c>
      <c r="K8" s="66">
        <f>15*60-K10</f>
        <v>578.25</v>
      </c>
      <c r="L8" s="2">
        <v>12</v>
      </c>
      <c r="M8" s="10" t="s">
        <v>50</v>
      </c>
    </row>
    <row r="9" spans="1:18" x14ac:dyDescent="0.5">
      <c r="E9">
        <f>SUM(E2:E8)</f>
        <v>0.15580469828321369</v>
      </c>
      <c r="F9" s="4">
        <f>F2+F3+F4+F7+F8</f>
        <v>0.13296379028226166</v>
      </c>
      <c r="G9">
        <f>SUM(G2:G8)</f>
        <v>0.22416513533955493</v>
      </c>
      <c r="I9" s="7"/>
      <c r="J9" s="4"/>
      <c r="K9" s="66"/>
    </row>
    <row r="10" spans="1:18" x14ac:dyDescent="0.5">
      <c r="J10" s="7"/>
      <c r="K10" s="66">
        <f>K3+K4+K5+K7+K2</f>
        <v>321.75</v>
      </c>
      <c r="L10" s="9" t="s">
        <v>53</v>
      </c>
      <c r="N10">
        <f>K10/60</f>
        <v>5.3624999999999998</v>
      </c>
    </row>
    <row r="11" spans="1:18" x14ac:dyDescent="0.5">
      <c r="J11" s="7"/>
      <c r="K11" s="66">
        <f>AVERAGE(255,275)</f>
        <v>265</v>
      </c>
      <c r="L11" s="9" t="s">
        <v>54</v>
      </c>
      <c r="N11">
        <f>K11/60</f>
        <v>4.416666666666667</v>
      </c>
      <c r="O11" s="2">
        <f>N11+L2-(K12/60)</f>
        <v>5.3625000000000007</v>
      </c>
    </row>
    <row r="12" spans="1:18" x14ac:dyDescent="0.5">
      <c r="K12">
        <f>AVERAGE(17.66667,19.5)</f>
        <v>18.583334999999998</v>
      </c>
      <c r="L12" t="s">
        <v>168</v>
      </c>
    </row>
    <row r="14" spans="1:18" x14ac:dyDescent="0.5">
      <c r="K14" s="2"/>
    </row>
    <row r="16" spans="1:18" x14ac:dyDescent="0.5">
      <c r="R16">
        <f>40/60</f>
        <v>0.66666666666666663</v>
      </c>
    </row>
    <row r="23" spans="10:11" x14ac:dyDescent="0.5">
      <c r="J23" s="4">
        <f>-LN(0.01)/(115)</f>
        <v>4.0044958139026879E-2</v>
      </c>
      <c r="K23">
        <f>J23*0.3</f>
        <v>1.2013487441708064E-2</v>
      </c>
    </row>
    <row r="24" spans="10:11" x14ac:dyDescent="0.5">
      <c r="K24">
        <f>J23*0.7</f>
        <v>2.8031470697318813E-2</v>
      </c>
    </row>
  </sheetData>
  <hyperlinks>
    <hyperlink ref="M2" r:id="rId1" xr:uid="{07460B55-60E1-48AB-97E6-242153F65A84}"/>
    <hyperlink ref="M8" r:id="rId2" xr:uid="{F11AA028-9226-425F-865A-A859B159EE1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Volume</vt:lpstr>
      <vt:lpstr>FlowRate</vt:lpstr>
      <vt:lpstr>Glucagon</vt:lpstr>
      <vt:lpstr>Insulin</vt:lpstr>
      <vt:lpstr>SIMOmodel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Rossen</dc:creator>
  <cp:lastModifiedBy>Anne Rossen</cp:lastModifiedBy>
  <dcterms:created xsi:type="dcterms:W3CDTF">2015-06-05T18:19:34Z</dcterms:created>
  <dcterms:modified xsi:type="dcterms:W3CDTF">2025-06-20T22:50:39Z</dcterms:modified>
</cp:coreProperties>
</file>