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ne\OneDrive\Desktop\Uni\Master Thesis\Models\WBM_Improved_fat_absorption\data - Kopi\"/>
    </mc:Choice>
  </mc:AlternateContent>
  <xr:revisionPtr revIDLastSave="0" documentId="13_ncr:1_{4CC87C17-EC43-4F71-9305-A41EEF90E446}" xr6:coauthVersionLast="47" xr6:coauthVersionMax="47" xr10:uidLastSave="{00000000-0000-0000-0000-000000000000}"/>
  <bookViews>
    <workbookView xWindow="15" yWindow="-16320" windowWidth="29040" windowHeight="16440" activeTab="3" xr2:uid="{662D8E27-B371-4312-AB71-68EE945A7946}"/>
  </bookViews>
  <sheets>
    <sheet name="stoichiometric_matrix" sheetId="2" r:id="rId1"/>
    <sheet name="tissue_reactions" sheetId="5" r:id="rId2"/>
    <sheet name="circulating_metabolites" sheetId="4" r:id="rId3"/>
    <sheet name="Km" sheetId="12" r:id="rId4"/>
    <sheet name="Vm" sheetId="14" r:id="rId5"/>
    <sheet name="mu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4" l="1"/>
  <c r="I30" i="14"/>
  <c r="J30" i="14" s="1"/>
  <c r="I29" i="14"/>
  <c r="J29" i="14" s="1"/>
  <c r="K29" i="14" s="1"/>
  <c r="I29" i="8"/>
  <c r="I22" i="8"/>
  <c r="J22" i="8" s="1"/>
  <c r="K22" i="8" s="1"/>
  <c r="H22" i="14"/>
  <c r="D22" i="14"/>
  <c r="I30" i="8"/>
  <c r="J30" i="8"/>
  <c r="J22" i="14"/>
  <c r="E8" i="14"/>
  <c r="E10" i="14"/>
  <c r="E11" i="14"/>
  <c r="E13" i="14"/>
  <c r="E14" i="14"/>
  <c r="E15" i="14"/>
  <c r="E23" i="14"/>
  <c r="J2" i="8"/>
  <c r="K2" i="8"/>
  <c r="K32" i="14"/>
  <c r="K31" i="14"/>
  <c r="K28" i="14"/>
  <c r="K27" i="14"/>
  <c r="K26" i="14"/>
  <c r="K25" i="14"/>
  <c r="K24" i="14"/>
  <c r="K23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30" i="8" l="1"/>
  <c r="J29" i="8"/>
  <c r="K29" i="8" s="1"/>
  <c r="K22" i="14"/>
  <c r="K30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3" i="14"/>
  <c r="J24" i="14"/>
  <c r="J25" i="14"/>
  <c r="J26" i="14"/>
  <c r="J27" i="14"/>
  <c r="J28" i="14"/>
  <c r="J31" i="14"/>
  <c r="J32" i="14"/>
  <c r="F24" i="8" l="1"/>
  <c r="I24" i="14"/>
  <c r="F24" i="14"/>
  <c r="I8" i="14"/>
  <c r="H8" i="14"/>
  <c r="G8" i="14"/>
  <c r="D8" i="14"/>
  <c r="C8" i="14"/>
  <c r="F21" i="14"/>
  <c r="F8" i="14"/>
  <c r="H14" i="8"/>
  <c r="F6" i="8"/>
  <c r="F4" i="14"/>
  <c r="F7" i="14"/>
  <c r="G20" i="14"/>
  <c r="F20" i="14"/>
  <c r="F14" i="8"/>
  <c r="I19" i="14"/>
  <c r="I11" i="14"/>
  <c r="H11" i="14"/>
  <c r="G11" i="14"/>
  <c r="F11" i="14"/>
  <c r="D11" i="14"/>
  <c r="C11" i="14"/>
  <c r="F13" i="14"/>
  <c r="H14" i="14"/>
  <c r="G10" i="14"/>
  <c r="G13" i="14"/>
  <c r="I10" i="14"/>
  <c r="H10" i="14"/>
  <c r="F10" i="14"/>
  <c r="D10" i="14"/>
  <c r="C10" i="14"/>
  <c r="D23" i="14"/>
  <c r="I23" i="14"/>
  <c r="H23" i="14"/>
  <c r="G23" i="14"/>
  <c r="I22" i="12"/>
  <c r="F24" i="12"/>
  <c r="D22" i="12"/>
  <c r="H12" i="14"/>
  <c r="H28" i="14"/>
  <c r="H15" i="14"/>
  <c r="I14" i="14"/>
  <c r="G9" i="14"/>
  <c r="H28" i="8"/>
  <c r="H27" i="8"/>
  <c r="H27" i="14"/>
  <c r="H4" i="8"/>
  <c r="F4" i="8"/>
  <c r="H6" i="8"/>
  <c r="G14" i="14"/>
  <c r="F14" i="14"/>
  <c r="D14" i="14"/>
  <c r="C14" i="14"/>
  <c r="C15" i="14"/>
  <c r="D15" i="14"/>
  <c r="F15" i="14"/>
  <c r="F9" i="14"/>
  <c r="I2" i="8"/>
  <c r="H2" i="8"/>
  <c r="F2" i="8"/>
  <c r="I15" i="14"/>
  <c r="G15" i="14"/>
  <c r="H22" i="12"/>
  <c r="J22" i="12"/>
  <c r="K22" i="12" s="1"/>
  <c r="F3" i="14"/>
  <c r="J32" i="12"/>
  <c r="K32" i="12" s="1"/>
  <c r="J31" i="12"/>
  <c r="K31" i="12" s="1"/>
  <c r="J30" i="12"/>
  <c r="K30" i="12" s="1"/>
  <c r="K29" i="12"/>
  <c r="J29" i="12"/>
  <c r="J28" i="12"/>
  <c r="K28" i="12" s="1"/>
  <c r="J27" i="12"/>
  <c r="K27" i="12" s="1"/>
  <c r="J26" i="12"/>
  <c r="K26" i="12" s="1"/>
  <c r="K25" i="12"/>
  <c r="J25" i="12"/>
  <c r="J24" i="12"/>
  <c r="K24" i="12" s="1"/>
  <c r="J23" i="12"/>
  <c r="K23" i="12" s="1"/>
  <c r="J21" i="12"/>
  <c r="K21" i="12" s="1"/>
  <c r="J20" i="12"/>
  <c r="K20" i="12" s="1"/>
  <c r="J19" i="12"/>
  <c r="K19" i="12" s="1"/>
  <c r="K18" i="12"/>
  <c r="J18" i="12"/>
  <c r="J17" i="12"/>
  <c r="K17" i="12" s="1"/>
  <c r="J16" i="12"/>
  <c r="K16" i="12" s="1"/>
  <c r="J15" i="12"/>
  <c r="K15" i="12" s="1"/>
  <c r="K14" i="12"/>
  <c r="J14" i="12"/>
  <c r="J13" i="12"/>
  <c r="K13" i="12" s="1"/>
  <c r="J12" i="12"/>
  <c r="K12" i="12" s="1"/>
  <c r="J11" i="12"/>
  <c r="K11" i="12" s="1"/>
  <c r="K10" i="12"/>
  <c r="J10" i="12"/>
  <c r="J9" i="12"/>
  <c r="K9" i="12" s="1"/>
  <c r="J8" i="12"/>
  <c r="K8" i="12" s="1"/>
  <c r="J7" i="12"/>
  <c r="K7" i="12" s="1"/>
  <c r="K6" i="12"/>
  <c r="J6" i="12"/>
  <c r="J5" i="12"/>
  <c r="K5" i="12" s="1"/>
  <c r="J4" i="12"/>
  <c r="K4" i="12" s="1"/>
  <c r="J3" i="12"/>
  <c r="K3" i="12" s="1"/>
  <c r="K2" i="12"/>
  <c r="J2" i="12"/>
  <c r="K32" i="5" l="1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</calcChain>
</file>

<file path=xl/sharedStrings.xml><?xml version="1.0" encoding="utf-8"?>
<sst xmlns="http://schemas.openxmlformats.org/spreadsheetml/2006/main" count="405" uniqueCount="100">
  <si>
    <t>Reaction</t>
  </si>
  <si>
    <t>GLC</t>
  </si>
  <si>
    <t>G6P</t>
  </si>
  <si>
    <t>GA3P</t>
  </si>
  <si>
    <t>PYR</t>
  </si>
  <si>
    <t>ACoA</t>
  </si>
  <si>
    <t>OXA</t>
  </si>
  <si>
    <t>CIT</t>
  </si>
  <si>
    <t>LAC</t>
  </si>
  <si>
    <t>AA</t>
  </si>
  <si>
    <t>FFA</t>
  </si>
  <si>
    <t>TGL</t>
  </si>
  <si>
    <t>GLR</t>
  </si>
  <si>
    <t>KET</t>
  </si>
  <si>
    <t>PRO</t>
  </si>
  <si>
    <t>TGL_AP</t>
  </si>
  <si>
    <t>INS</t>
  </si>
  <si>
    <t>GLU</t>
  </si>
  <si>
    <t>Metabolites</t>
  </si>
  <si>
    <t>GLY</t>
  </si>
  <si>
    <t>GLC -&gt; G6P</t>
  </si>
  <si>
    <t>G6P -&gt; GLC</t>
  </si>
  <si>
    <t>G6P -&gt; GA3P</t>
  </si>
  <si>
    <t>GA3P -&gt; G6P</t>
  </si>
  <si>
    <t>G6P -&gt; GLY</t>
  </si>
  <si>
    <t>GLY -&gt; G6P</t>
  </si>
  <si>
    <t>GA3P -&gt; PYR</t>
  </si>
  <si>
    <t>PYR -&gt; GA3P</t>
  </si>
  <si>
    <t>PYR -&gt; LAC</t>
  </si>
  <si>
    <t>LAC -&gt; PYR</t>
  </si>
  <si>
    <t>PYR -&gt; AA</t>
  </si>
  <si>
    <t>AA -&gt; PYR</t>
  </si>
  <si>
    <t>PYR -&gt; ACoA</t>
  </si>
  <si>
    <t>ACoA + OXA -&gt; CIT</t>
  </si>
  <si>
    <t>CIT -&gt; OXA</t>
  </si>
  <si>
    <t>OXA -&gt; PYR</t>
  </si>
  <si>
    <t>PYR -&gt; OXA</t>
  </si>
  <si>
    <t>GLR -&gt; GA3P</t>
  </si>
  <si>
    <t>GA3P -&gt; GLR</t>
  </si>
  <si>
    <t>3FFA + GLR -&gt; TGL</t>
  </si>
  <si>
    <t>TGL -&gt; 3FFA + GLR</t>
  </si>
  <si>
    <t>FFA -&gt; ACoA</t>
  </si>
  <si>
    <t>ACoA -&gt; FFA</t>
  </si>
  <si>
    <t>KET -&gt; ACoA</t>
  </si>
  <si>
    <t>ACoA -&gt; KET</t>
  </si>
  <si>
    <t>AA -&gt; PRO</t>
  </si>
  <si>
    <t>PRO -&gt; AA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</si>
  <si>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</si>
  <si>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</si>
  <si>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</si>
  <si>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</si>
  <si>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</si>
  <si>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</si>
  <si>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</si>
  <si>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</si>
  <si>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</si>
  <si>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</si>
  <si>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</si>
  <si>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</si>
  <si>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</si>
  <si>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</si>
  <si>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</si>
  <si>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</si>
  <si>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</si>
  <si>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</si>
  <si>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</si>
  <si>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</si>
  <si>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</si>
  <si>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</si>
  <si>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</si>
  <si>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</si>
  <si>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</si>
  <si>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</si>
  <si>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</si>
  <si>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</si>
  <si>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</si>
  <si>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</si>
  <si>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</si>
  <si>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3FFA + GLR -&gt; TGL_AP</t>
  </si>
  <si>
    <t>TGL_AP -&gt; 3FFA + GLR</t>
  </si>
  <si>
    <t>Insulin -&gt; Formation and Breakdown</t>
  </si>
  <si>
    <t>Glucagon -&gt; Formation and Breakdown</t>
  </si>
  <si>
    <t>circulating</t>
  </si>
  <si>
    <t>Brain</t>
  </si>
  <si>
    <t>Heart</t>
  </si>
  <si>
    <t>Gut</t>
  </si>
  <si>
    <t>Liver</t>
  </si>
  <si>
    <t>Kidney</t>
  </si>
  <si>
    <t>Muscle</t>
  </si>
  <si>
    <t>Adipose</t>
  </si>
  <si>
    <t>Vm [mM/min]</t>
  </si>
  <si>
    <t>Km  [mmol/L]</t>
  </si>
  <si>
    <t>mu</t>
  </si>
  <si>
    <t>[0.0000045, 0.00001, 0.00001]</t>
  </si>
  <si>
    <t>[0.0178, 0.05, 0.05]</t>
  </si>
  <si>
    <t>[0.1368, 0.1, 0.1]</t>
  </si>
  <si>
    <t>Adipose upper</t>
  </si>
  <si>
    <t>Adipose lower</t>
  </si>
  <si>
    <t>[0.0684, 0.05, 0.05]</t>
  </si>
  <si>
    <t>[0.00000225, 0.000005, 0.000005]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</si>
</sst>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"/>
    <numFmt numFmtId="166" formatCode="#,##0.000000000000000"/>
    <numFmt numFmtId="167" formatCode="#,##0.00000000000000000000000000000"/>
    <numFmt numFmtId="168" formatCode="0.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onsolas"/>
      <family val="3"/>
    </font>
    <font>
      <sz val="11"/>
      <color theme="0" tint="-0.49998474074526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0" tint="-0.1499984740745262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Consolas"/>
      <family val="3"/>
    </font>
    <font>
      <i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/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0" fontId="6" fillId="0" borderId="2" xfId="0" applyFont="1" applyBorder="1"/>
    <xf numFmtId="0" fontId="7" fillId="0" borderId="0" xfId="0" applyFont="1"/>
    <xf numFmtId="166" fontId="0" fillId="0" borderId="0" xfId="0" applyNumberFormat="1"/>
    <xf numFmtId="167" fontId="0" fillId="0" borderId="0" xfId="0" applyNumberFormat="1"/>
    <xf numFmtId="1" fontId="7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2" fillId="0" borderId="2" xfId="0" applyFont="1" applyFill="1" applyBorder="1"/>
    <xf numFmtId="0" fontId="12" fillId="0" borderId="3" xfId="0" applyFont="1" applyFill="1" applyBorder="1"/>
    <xf numFmtId="0" fontId="10" fillId="0" borderId="0" xfId="0" applyFont="1" applyFill="1"/>
    <xf numFmtId="0" fontId="10" fillId="0" borderId="1" xfId="0" applyFont="1" applyFill="1" applyBorder="1"/>
    <xf numFmtId="164" fontId="1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 vertical="center" indent="1"/>
    </xf>
    <xf numFmtId="16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5" fontId="0" fillId="0" borderId="0" xfId="0" applyNumberFormat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4" fontId="0" fillId="0" borderId="0" xfId="0" applyNumberForma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 vertical="center" indent="1"/>
    </xf>
    <xf numFmtId="164" fontId="0" fillId="0" borderId="0" xfId="0" applyNumberFormat="1" applyFill="1"/>
    <xf numFmtId="164" fontId="1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B6A8-93AB-4779-A1FE-77DEB2A68FD1}">
  <dimension ref="A1:T32"/>
  <sheetViews>
    <sheetView zoomScale="91" workbookViewId="0">
      <pane ySplit="1" topLeftCell="A2" activePane="bottomLeft" state="frozen"/>
      <selection pane="bottomLeft" activeCell="M44" sqref="M44"/>
    </sheetView>
  </sheetViews>
  <sheetFormatPr defaultRowHeight="14.35" x14ac:dyDescent="0.5"/>
  <cols>
    <col min="2" max="2" width="31.1171875" bestFit="1" customWidth="1"/>
    <col min="3" max="20" width="7.29296875" style="1" customWidth="1"/>
  </cols>
  <sheetData>
    <row r="1" spans="1:20" x14ac:dyDescent="0.5">
      <c r="A1" s="3" t="s">
        <v>0</v>
      </c>
      <c r="B1" s="4" t="s">
        <v>18</v>
      </c>
      <c r="C1" s="5" t="s">
        <v>1</v>
      </c>
      <c r="D1" s="5" t="s">
        <v>2</v>
      </c>
      <c r="E1" s="5" t="s">
        <v>19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</row>
    <row r="2" spans="1:20" x14ac:dyDescent="0.5">
      <c r="A2" t="s">
        <v>47</v>
      </c>
      <c r="B2" s="2" t="s">
        <v>20</v>
      </c>
      <c r="C2" s="1">
        <v>-1</v>
      </c>
      <c r="D2" s="1">
        <v>1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</row>
    <row r="3" spans="1:20" x14ac:dyDescent="0.5">
      <c r="A3" t="s">
        <v>48</v>
      </c>
      <c r="B3" s="2" t="s">
        <v>21</v>
      </c>
      <c r="C3" s="1">
        <v>1</v>
      </c>
      <c r="D3" s="1">
        <v>-1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</row>
    <row r="4" spans="1:20" x14ac:dyDescent="0.5">
      <c r="A4" t="s">
        <v>49</v>
      </c>
      <c r="B4" s="2" t="s">
        <v>22</v>
      </c>
      <c r="C4" s="9">
        <v>0</v>
      </c>
      <c r="D4" s="1">
        <v>-1</v>
      </c>
      <c r="E4" s="9">
        <v>0</v>
      </c>
      <c r="F4" s="1">
        <v>2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1:20" x14ac:dyDescent="0.5">
      <c r="A5" t="s">
        <v>50</v>
      </c>
      <c r="B5" s="2" t="s">
        <v>23</v>
      </c>
      <c r="C5" s="9">
        <v>0</v>
      </c>
      <c r="D5" s="1">
        <v>1</v>
      </c>
      <c r="E5" s="9">
        <v>0</v>
      </c>
      <c r="F5" s="1">
        <v>-2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x14ac:dyDescent="0.5">
      <c r="A6" t="s">
        <v>51</v>
      </c>
      <c r="B6" s="2" t="s">
        <v>24</v>
      </c>
      <c r="C6" s="9">
        <v>0</v>
      </c>
      <c r="D6" s="1">
        <v>-1</v>
      </c>
      <c r="E6" s="1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x14ac:dyDescent="0.5">
      <c r="A7" t="s">
        <v>52</v>
      </c>
      <c r="B7" s="2" t="s">
        <v>25</v>
      </c>
      <c r="C7" s="9">
        <v>0</v>
      </c>
      <c r="D7" s="1">
        <v>1</v>
      </c>
      <c r="E7" s="1">
        <v>-1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 x14ac:dyDescent="0.5">
      <c r="A8" t="s">
        <v>53</v>
      </c>
      <c r="B8" s="2" t="s">
        <v>26</v>
      </c>
      <c r="C8" s="9">
        <v>0</v>
      </c>
      <c r="D8" s="9">
        <v>0</v>
      </c>
      <c r="E8" s="9">
        <v>0</v>
      </c>
      <c r="F8" s="1">
        <v>-1</v>
      </c>
      <c r="G8" s="1">
        <v>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 x14ac:dyDescent="0.5">
      <c r="A9" t="s">
        <v>54</v>
      </c>
      <c r="B9" s="2" t="s">
        <v>27</v>
      </c>
      <c r="C9" s="9">
        <v>0</v>
      </c>
      <c r="D9" s="9">
        <v>0</v>
      </c>
      <c r="E9" s="9">
        <v>0</v>
      </c>
      <c r="F9" s="1">
        <v>1</v>
      </c>
      <c r="G9" s="1">
        <v>-1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 x14ac:dyDescent="0.5">
      <c r="A10" t="s">
        <v>55</v>
      </c>
      <c r="B10" s="2" t="s">
        <v>28</v>
      </c>
      <c r="C10" s="9">
        <v>0</v>
      </c>
      <c r="D10" s="9">
        <v>0</v>
      </c>
      <c r="E10" s="9">
        <v>0</v>
      </c>
      <c r="F10" s="9">
        <v>0</v>
      </c>
      <c r="G10" s="1">
        <v>-1</v>
      </c>
      <c r="H10" s="9">
        <v>0</v>
      </c>
      <c r="I10" s="9">
        <v>0</v>
      </c>
      <c r="J10" s="9">
        <v>0</v>
      </c>
      <c r="K10" s="1">
        <v>1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1:20" x14ac:dyDescent="0.5">
      <c r="A11" t="s">
        <v>56</v>
      </c>
      <c r="B11" s="2" t="s">
        <v>29</v>
      </c>
      <c r="C11" s="9">
        <v>0</v>
      </c>
      <c r="D11" s="9">
        <v>0</v>
      </c>
      <c r="E11" s="9">
        <v>0</v>
      </c>
      <c r="F11" s="9">
        <v>0</v>
      </c>
      <c r="G11" s="1">
        <v>1</v>
      </c>
      <c r="H11" s="9">
        <v>0</v>
      </c>
      <c r="I11" s="9">
        <v>0</v>
      </c>
      <c r="J11" s="9">
        <v>0</v>
      </c>
      <c r="K11" s="1">
        <v>-1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1:20" x14ac:dyDescent="0.5">
      <c r="A12" t="s">
        <v>57</v>
      </c>
      <c r="B12" s="2" t="s">
        <v>30</v>
      </c>
      <c r="C12" s="9">
        <v>0</v>
      </c>
      <c r="D12" s="9">
        <v>0</v>
      </c>
      <c r="E12" s="9">
        <v>0</v>
      </c>
      <c r="F12" s="9">
        <v>0</v>
      </c>
      <c r="G12" s="1">
        <v>-1</v>
      </c>
      <c r="H12" s="9">
        <v>0</v>
      </c>
      <c r="I12" s="9">
        <v>0</v>
      </c>
      <c r="J12" s="9">
        <v>0</v>
      </c>
      <c r="K12" s="9">
        <v>0</v>
      </c>
      <c r="L12" s="1">
        <v>1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1:20" x14ac:dyDescent="0.5">
      <c r="A13" t="s">
        <v>58</v>
      </c>
      <c r="B13" s="2" t="s">
        <v>31</v>
      </c>
      <c r="C13" s="9">
        <v>0</v>
      </c>
      <c r="D13" s="9">
        <v>0</v>
      </c>
      <c r="E13" s="9">
        <v>0</v>
      </c>
      <c r="F13" s="9">
        <v>0</v>
      </c>
      <c r="G13" s="1">
        <v>1</v>
      </c>
      <c r="H13" s="9">
        <v>0</v>
      </c>
      <c r="I13" s="9">
        <v>0</v>
      </c>
      <c r="J13" s="9">
        <v>0</v>
      </c>
      <c r="K13" s="9">
        <v>0</v>
      </c>
      <c r="L13" s="1">
        <v>-1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1:20" x14ac:dyDescent="0.5">
      <c r="A14" t="s">
        <v>59</v>
      </c>
      <c r="B14" s="2" t="s">
        <v>32</v>
      </c>
      <c r="C14" s="9">
        <v>0</v>
      </c>
      <c r="D14" s="9">
        <v>0</v>
      </c>
      <c r="E14" s="9">
        <v>0</v>
      </c>
      <c r="F14" s="9">
        <v>0</v>
      </c>
      <c r="G14" s="1">
        <v>-1</v>
      </c>
      <c r="H14" s="1">
        <v>1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1:20" x14ac:dyDescent="0.5">
      <c r="A15" t="s">
        <v>60</v>
      </c>
      <c r="B15" s="2" t="s">
        <v>33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1">
        <v>-1</v>
      </c>
      <c r="I15" s="1">
        <v>-1</v>
      </c>
      <c r="J15" s="1">
        <v>1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1:20" x14ac:dyDescent="0.5">
      <c r="A16" t="s">
        <v>61</v>
      </c>
      <c r="B16" s="2" t="s">
        <v>34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1">
        <v>1</v>
      </c>
      <c r="J16" s="1">
        <v>-1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1:20" x14ac:dyDescent="0.5">
      <c r="A17" t="s">
        <v>62</v>
      </c>
      <c r="B17" s="2" t="s">
        <v>35</v>
      </c>
      <c r="C17" s="9">
        <v>0</v>
      </c>
      <c r="D17" s="9">
        <v>0</v>
      </c>
      <c r="E17" s="9">
        <v>0</v>
      </c>
      <c r="F17" s="9">
        <v>0</v>
      </c>
      <c r="G17" s="1">
        <v>1</v>
      </c>
      <c r="H17" s="9">
        <v>0</v>
      </c>
      <c r="I17" s="1">
        <v>-1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1:20" x14ac:dyDescent="0.5">
      <c r="A18" t="s">
        <v>63</v>
      </c>
      <c r="B18" s="2" t="s">
        <v>36</v>
      </c>
      <c r="C18" s="9">
        <v>0</v>
      </c>
      <c r="D18" s="9">
        <v>0</v>
      </c>
      <c r="E18" s="9">
        <v>0</v>
      </c>
      <c r="F18" s="9">
        <v>0</v>
      </c>
      <c r="G18" s="1">
        <v>-1</v>
      </c>
      <c r="H18" s="9">
        <v>0</v>
      </c>
      <c r="I18" s="1">
        <v>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5">
      <c r="A19" t="s">
        <v>64</v>
      </c>
      <c r="B19" s="2" t="s">
        <v>38</v>
      </c>
      <c r="C19" s="9">
        <v>0</v>
      </c>
      <c r="D19" s="9">
        <v>0</v>
      </c>
      <c r="E19" s="9">
        <v>0</v>
      </c>
      <c r="F19" s="1">
        <v>-1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1">
        <v>1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1:20" x14ac:dyDescent="0.5">
      <c r="A20" t="s">
        <v>65</v>
      </c>
      <c r="B20" s="2" t="s">
        <v>37</v>
      </c>
      <c r="C20" s="9">
        <v>0</v>
      </c>
      <c r="D20" s="9">
        <v>0</v>
      </c>
      <c r="E20" s="9">
        <v>0</v>
      </c>
      <c r="F20" s="1">
        <v>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1">
        <v>-1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 x14ac:dyDescent="0.5">
      <c r="A21" t="s">
        <v>66</v>
      </c>
      <c r="B21" s="2" t="s">
        <v>39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-3</v>
      </c>
      <c r="N21" s="1">
        <v>1</v>
      </c>
      <c r="O21" s="1">
        <v>-1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5">
      <c r="A22" t="s">
        <v>67</v>
      </c>
      <c r="B22" s="2" t="s">
        <v>40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3</v>
      </c>
      <c r="N22" s="1">
        <v>-1</v>
      </c>
      <c r="O22" s="1">
        <v>1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 x14ac:dyDescent="0.5">
      <c r="A23" t="s">
        <v>68</v>
      </c>
      <c r="B23" s="2" t="s">
        <v>41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1">
        <v>7</v>
      </c>
      <c r="I23" s="9">
        <v>0</v>
      </c>
      <c r="J23" s="9">
        <v>0</v>
      </c>
      <c r="K23" s="9">
        <v>0</v>
      </c>
      <c r="L23" s="9">
        <v>0</v>
      </c>
      <c r="M23" s="1">
        <v>-1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 x14ac:dyDescent="0.5">
      <c r="A24" t="s">
        <v>69</v>
      </c>
      <c r="B24" s="2" t="s">
        <v>42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1">
        <v>-7</v>
      </c>
      <c r="I24" s="9">
        <v>0</v>
      </c>
      <c r="J24" s="9">
        <v>0</v>
      </c>
      <c r="K24" s="9">
        <v>0</v>
      </c>
      <c r="L24" s="9">
        <v>0</v>
      </c>
      <c r="M24" s="1">
        <v>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5">
      <c r="A25" t="s">
        <v>70</v>
      </c>
      <c r="B25" s="2" t="s">
        <v>43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1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1">
        <v>-1</v>
      </c>
      <c r="Q25" s="9">
        <v>0</v>
      </c>
      <c r="R25" s="9">
        <v>0</v>
      </c>
      <c r="S25" s="9">
        <v>0</v>
      </c>
      <c r="T25" s="9">
        <v>0</v>
      </c>
    </row>
    <row r="26" spans="1:20" x14ac:dyDescent="0.5">
      <c r="A26" t="s">
        <v>71</v>
      </c>
      <c r="B26" s="2" t="s">
        <v>44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1">
        <v>-1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1">
        <v>1</v>
      </c>
      <c r="Q26" s="9">
        <v>0</v>
      </c>
      <c r="R26" s="9">
        <v>0</v>
      </c>
      <c r="S26" s="9">
        <v>0</v>
      </c>
      <c r="T26" s="9">
        <v>0</v>
      </c>
    </row>
    <row r="27" spans="1:20" x14ac:dyDescent="0.5">
      <c r="A27" t="s">
        <v>72</v>
      </c>
      <c r="B27" s="2" t="s">
        <v>45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">
        <v>-1</v>
      </c>
      <c r="M27" s="9">
        <v>0</v>
      </c>
      <c r="N27" s="9">
        <v>0</v>
      </c>
      <c r="O27" s="9">
        <v>0</v>
      </c>
      <c r="P27" s="9">
        <v>0</v>
      </c>
      <c r="Q27" s="1">
        <v>1</v>
      </c>
      <c r="R27" s="9">
        <v>0</v>
      </c>
      <c r="S27" s="9">
        <v>0</v>
      </c>
      <c r="T27" s="9">
        <v>0</v>
      </c>
    </row>
    <row r="28" spans="1:20" x14ac:dyDescent="0.5">
      <c r="A28" t="s">
        <v>73</v>
      </c>
      <c r="B28" s="2" t="s">
        <v>46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">
        <v>1</v>
      </c>
      <c r="M28" s="9">
        <v>0</v>
      </c>
      <c r="N28" s="9">
        <v>0</v>
      </c>
      <c r="O28" s="9">
        <v>0</v>
      </c>
      <c r="P28" s="9">
        <v>0</v>
      </c>
      <c r="Q28" s="1">
        <v>-1</v>
      </c>
      <c r="R28" s="9">
        <v>0</v>
      </c>
      <c r="S28" s="9">
        <v>0</v>
      </c>
      <c r="T28" s="9">
        <v>0</v>
      </c>
    </row>
    <row r="29" spans="1:20" x14ac:dyDescent="0.5">
      <c r="A29" t="s">
        <v>74</v>
      </c>
      <c r="B29" s="2" t="s">
        <v>78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1">
        <v>-3</v>
      </c>
      <c r="N29" s="9">
        <v>0</v>
      </c>
      <c r="O29" s="1">
        <v>-1</v>
      </c>
      <c r="P29" s="9">
        <v>0</v>
      </c>
      <c r="Q29" s="9">
        <v>0</v>
      </c>
      <c r="R29" s="1">
        <v>1</v>
      </c>
      <c r="S29" s="9">
        <v>0</v>
      </c>
      <c r="T29" s="9">
        <v>0</v>
      </c>
    </row>
    <row r="30" spans="1:20" x14ac:dyDescent="0.5">
      <c r="A30" t="s">
        <v>75</v>
      </c>
      <c r="B30" s="2" t="s">
        <v>79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1">
        <v>3</v>
      </c>
      <c r="N30" s="9">
        <v>0</v>
      </c>
      <c r="O30" s="1">
        <v>1</v>
      </c>
      <c r="P30" s="9">
        <v>0</v>
      </c>
      <c r="Q30" s="9">
        <v>0</v>
      </c>
      <c r="R30" s="1">
        <v>-1</v>
      </c>
      <c r="S30" s="9">
        <v>0</v>
      </c>
      <c r="T30" s="9">
        <v>0</v>
      </c>
    </row>
    <row r="31" spans="1:20" x14ac:dyDescent="0.5">
      <c r="A31" t="s">
        <v>76</v>
      </c>
      <c r="B31" s="2" t="s">
        <v>80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1">
        <v>1</v>
      </c>
      <c r="T31" s="9">
        <v>0</v>
      </c>
    </row>
    <row r="32" spans="1:20" x14ac:dyDescent="0.5">
      <c r="A32" t="s">
        <v>77</v>
      </c>
      <c r="B32" s="2" t="s">
        <v>81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057F-CD47-431F-8259-80D112803A34}">
  <dimension ref="A1:K32"/>
  <sheetViews>
    <sheetView workbookViewId="0">
      <pane ySplit="1" topLeftCell="A8" activePane="bottomLeft" state="frozen"/>
      <selection pane="bottomLeft" activeCell="B38" sqref="B38"/>
    </sheetView>
  </sheetViews>
  <sheetFormatPr defaultRowHeight="14.35" x14ac:dyDescent="0.5"/>
  <cols>
    <col min="2" max="2" width="31.1171875" bestFit="1" customWidth="1"/>
    <col min="9" max="9" width="8.9375" style="13"/>
    <col min="10" max="10" width="12.52734375" bestFit="1" customWidth="1"/>
    <col min="11" max="11" width="12.05859375" bestFit="1" customWidth="1"/>
  </cols>
  <sheetData>
    <row r="1" spans="1:11" x14ac:dyDescent="0.5">
      <c r="A1" s="8" t="s">
        <v>0</v>
      </c>
      <c r="B1" s="7" t="s">
        <v>18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12" t="s">
        <v>89</v>
      </c>
      <c r="J1" s="8" t="s">
        <v>96</v>
      </c>
      <c r="K1" s="8" t="s">
        <v>97</v>
      </c>
    </row>
    <row r="2" spans="1:11" x14ac:dyDescent="0.5">
      <c r="A2" t="s">
        <v>47</v>
      </c>
      <c r="B2" s="2" t="s">
        <v>20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f>$I2</f>
        <v>1</v>
      </c>
      <c r="K2" s="1">
        <f t="shared" ref="K2:K32" si="0">$I2</f>
        <v>1</v>
      </c>
    </row>
    <row r="3" spans="1:11" x14ac:dyDescent="0.5">
      <c r="A3" t="s">
        <v>48</v>
      </c>
      <c r="B3" s="2" t="s">
        <v>21</v>
      </c>
      <c r="C3" s="9">
        <v>0</v>
      </c>
      <c r="D3" s="9">
        <v>0</v>
      </c>
      <c r="E3" s="9">
        <v>0</v>
      </c>
      <c r="F3" s="1">
        <v>1</v>
      </c>
      <c r="G3" s="1">
        <v>1</v>
      </c>
      <c r="H3" s="9">
        <v>0</v>
      </c>
      <c r="I3" s="9">
        <v>0</v>
      </c>
      <c r="J3" s="11">
        <f t="shared" ref="J3:J32" si="1">$I3</f>
        <v>0</v>
      </c>
      <c r="K3" s="11">
        <f t="shared" si="0"/>
        <v>0</v>
      </c>
    </row>
    <row r="4" spans="1:11" x14ac:dyDescent="0.5">
      <c r="A4" t="s">
        <v>49</v>
      </c>
      <c r="B4" s="2" t="s">
        <v>22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f t="shared" si="1"/>
        <v>1</v>
      </c>
      <c r="K4" s="1">
        <f t="shared" si="0"/>
        <v>1</v>
      </c>
    </row>
    <row r="5" spans="1:11" x14ac:dyDescent="0.5">
      <c r="A5" t="s">
        <v>50</v>
      </c>
      <c r="B5" s="2" t="s">
        <v>23</v>
      </c>
      <c r="C5" s="9">
        <v>0</v>
      </c>
      <c r="D5" s="9">
        <v>0</v>
      </c>
      <c r="E5" s="9">
        <v>0</v>
      </c>
      <c r="F5" s="1">
        <v>1</v>
      </c>
      <c r="G5" s="1">
        <v>1</v>
      </c>
      <c r="H5" s="9">
        <v>0</v>
      </c>
      <c r="I5" s="9">
        <v>0</v>
      </c>
      <c r="J5" s="11">
        <f t="shared" si="1"/>
        <v>0</v>
      </c>
      <c r="K5" s="11">
        <f t="shared" si="0"/>
        <v>0</v>
      </c>
    </row>
    <row r="6" spans="1:11" x14ac:dyDescent="0.5">
      <c r="A6" t="s">
        <v>51</v>
      </c>
      <c r="B6" s="2" t="s">
        <v>24</v>
      </c>
      <c r="C6" s="9">
        <v>0</v>
      </c>
      <c r="D6" s="9">
        <v>0</v>
      </c>
      <c r="E6" s="9">
        <v>0</v>
      </c>
      <c r="F6" s="1">
        <v>1</v>
      </c>
      <c r="G6" s="9">
        <v>0</v>
      </c>
      <c r="H6" s="1">
        <v>1</v>
      </c>
      <c r="I6" s="1">
        <v>0</v>
      </c>
      <c r="J6" s="11">
        <f t="shared" si="1"/>
        <v>0</v>
      </c>
      <c r="K6" s="11">
        <f t="shared" si="0"/>
        <v>0</v>
      </c>
    </row>
    <row r="7" spans="1:11" x14ac:dyDescent="0.5">
      <c r="A7" t="s">
        <v>52</v>
      </c>
      <c r="B7" s="2" t="s">
        <v>25</v>
      </c>
      <c r="C7" s="9">
        <v>0</v>
      </c>
      <c r="D7" s="9">
        <v>0</v>
      </c>
      <c r="E7" s="9">
        <v>0</v>
      </c>
      <c r="F7" s="1">
        <v>1</v>
      </c>
      <c r="G7" s="9">
        <v>0</v>
      </c>
      <c r="H7" s="1">
        <v>1</v>
      </c>
      <c r="I7" s="1">
        <v>0</v>
      </c>
      <c r="J7" s="11">
        <f t="shared" si="1"/>
        <v>0</v>
      </c>
      <c r="K7" s="11">
        <f t="shared" si="0"/>
        <v>0</v>
      </c>
    </row>
    <row r="8" spans="1:11" x14ac:dyDescent="0.5">
      <c r="A8" t="s">
        <v>53</v>
      </c>
      <c r="B8" s="2" t="s">
        <v>26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f t="shared" si="1"/>
        <v>1</v>
      </c>
      <c r="K8" s="1">
        <f t="shared" si="0"/>
        <v>1</v>
      </c>
    </row>
    <row r="9" spans="1:11" x14ac:dyDescent="0.5">
      <c r="A9" t="s">
        <v>54</v>
      </c>
      <c r="B9" s="2" t="s">
        <v>27</v>
      </c>
      <c r="C9" s="9">
        <v>0</v>
      </c>
      <c r="D9" s="9">
        <v>0</v>
      </c>
      <c r="E9" s="9">
        <v>0</v>
      </c>
      <c r="F9" s="1">
        <v>1</v>
      </c>
      <c r="G9" s="1">
        <v>1</v>
      </c>
      <c r="H9" s="9">
        <v>0</v>
      </c>
      <c r="I9" s="9">
        <v>0</v>
      </c>
      <c r="J9" s="11">
        <f t="shared" si="1"/>
        <v>0</v>
      </c>
      <c r="K9" s="11">
        <f t="shared" si="0"/>
        <v>0</v>
      </c>
    </row>
    <row r="10" spans="1:11" x14ac:dyDescent="0.5">
      <c r="A10" t="s">
        <v>55</v>
      </c>
      <c r="B10" s="2" t="s">
        <v>28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f t="shared" si="1"/>
        <v>1</v>
      </c>
      <c r="K10" s="1">
        <f t="shared" si="0"/>
        <v>1</v>
      </c>
    </row>
    <row r="11" spans="1:11" x14ac:dyDescent="0.5">
      <c r="A11" t="s">
        <v>56</v>
      </c>
      <c r="B11" s="2" t="s">
        <v>29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f t="shared" si="1"/>
        <v>1</v>
      </c>
      <c r="K11" s="1">
        <f t="shared" si="0"/>
        <v>1</v>
      </c>
    </row>
    <row r="12" spans="1:11" x14ac:dyDescent="0.5">
      <c r="A12" t="s">
        <v>57</v>
      </c>
      <c r="B12" s="2" t="s">
        <v>30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1">
        <v>1</v>
      </c>
      <c r="I12" s="9">
        <v>0</v>
      </c>
      <c r="J12" s="11">
        <f t="shared" si="1"/>
        <v>0</v>
      </c>
      <c r="K12" s="11">
        <f t="shared" si="0"/>
        <v>0</v>
      </c>
    </row>
    <row r="13" spans="1:11" x14ac:dyDescent="0.5">
      <c r="A13" t="s">
        <v>58</v>
      </c>
      <c r="B13" s="2" t="s">
        <v>31</v>
      </c>
      <c r="C13" s="9">
        <v>0</v>
      </c>
      <c r="D13" s="9">
        <v>0</v>
      </c>
      <c r="E13" s="1">
        <v>1</v>
      </c>
      <c r="F13" s="1">
        <v>1</v>
      </c>
      <c r="G13" s="1">
        <v>1</v>
      </c>
      <c r="H13" s="9">
        <v>0</v>
      </c>
      <c r="I13" s="9">
        <v>0</v>
      </c>
      <c r="J13" s="11">
        <f t="shared" si="1"/>
        <v>0</v>
      </c>
      <c r="K13" s="11">
        <f t="shared" si="0"/>
        <v>0</v>
      </c>
    </row>
    <row r="14" spans="1:11" x14ac:dyDescent="0.5">
      <c r="A14" t="s">
        <v>59</v>
      </c>
      <c r="B14" s="2" t="s">
        <v>32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f t="shared" si="1"/>
        <v>1</v>
      </c>
      <c r="K14" s="1">
        <f t="shared" si="0"/>
        <v>1</v>
      </c>
    </row>
    <row r="15" spans="1:11" x14ac:dyDescent="0.5">
      <c r="A15" t="s">
        <v>60</v>
      </c>
      <c r="B15" s="2" t="s">
        <v>33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f t="shared" si="1"/>
        <v>1</v>
      </c>
      <c r="K15" s="1">
        <f t="shared" si="0"/>
        <v>1</v>
      </c>
    </row>
    <row r="16" spans="1:11" x14ac:dyDescent="0.5">
      <c r="A16" t="s">
        <v>61</v>
      </c>
      <c r="B16" s="2" t="s">
        <v>34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f t="shared" si="1"/>
        <v>1</v>
      </c>
      <c r="K16" s="1">
        <f t="shared" si="0"/>
        <v>1</v>
      </c>
    </row>
    <row r="17" spans="1:11" x14ac:dyDescent="0.5">
      <c r="A17" t="s">
        <v>62</v>
      </c>
      <c r="B17" s="2" t="s">
        <v>35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f t="shared" si="1"/>
        <v>1</v>
      </c>
      <c r="K17" s="1">
        <f t="shared" si="0"/>
        <v>1</v>
      </c>
    </row>
    <row r="18" spans="1:11" x14ac:dyDescent="0.5">
      <c r="A18" t="s">
        <v>63</v>
      </c>
      <c r="B18" s="2" t="s">
        <v>36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f t="shared" si="1"/>
        <v>1</v>
      </c>
      <c r="K18" s="1">
        <f t="shared" si="0"/>
        <v>1</v>
      </c>
    </row>
    <row r="19" spans="1:11" x14ac:dyDescent="0.5">
      <c r="A19" s="27" t="s">
        <v>64</v>
      </c>
      <c r="B19" s="28" t="s">
        <v>38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1">
        <v>1</v>
      </c>
      <c r="J19" s="1">
        <f t="shared" si="1"/>
        <v>1</v>
      </c>
      <c r="K19" s="1">
        <f t="shared" si="0"/>
        <v>1</v>
      </c>
    </row>
    <row r="20" spans="1:11" x14ac:dyDescent="0.5">
      <c r="A20" s="27" t="s">
        <v>65</v>
      </c>
      <c r="B20" s="28" t="s">
        <v>37</v>
      </c>
      <c r="C20" s="9">
        <v>0</v>
      </c>
      <c r="D20" s="9">
        <v>0</v>
      </c>
      <c r="E20" s="9">
        <v>0</v>
      </c>
      <c r="F20" s="1">
        <v>1</v>
      </c>
      <c r="G20" s="1">
        <v>1</v>
      </c>
      <c r="H20" s="9">
        <v>0</v>
      </c>
      <c r="I20" s="9">
        <v>0</v>
      </c>
      <c r="J20" s="11">
        <f t="shared" si="1"/>
        <v>0</v>
      </c>
      <c r="K20" s="11">
        <f t="shared" si="0"/>
        <v>0</v>
      </c>
    </row>
    <row r="21" spans="1:11" x14ac:dyDescent="0.5">
      <c r="A21" s="27" t="s">
        <v>66</v>
      </c>
      <c r="B21" s="28" t="s">
        <v>39</v>
      </c>
      <c r="C21" s="9">
        <v>0</v>
      </c>
      <c r="D21" s="9">
        <v>0</v>
      </c>
      <c r="E21" s="9">
        <v>0</v>
      </c>
      <c r="F21" s="1">
        <v>1</v>
      </c>
      <c r="G21" s="9">
        <v>0</v>
      </c>
      <c r="H21" s="9">
        <v>0</v>
      </c>
      <c r="I21" s="9">
        <v>0</v>
      </c>
      <c r="J21" s="11">
        <f t="shared" si="1"/>
        <v>0</v>
      </c>
      <c r="K21" s="11">
        <f t="shared" si="0"/>
        <v>0</v>
      </c>
    </row>
    <row r="22" spans="1:11" x14ac:dyDescent="0.5">
      <c r="A22" s="27" t="s">
        <v>67</v>
      </c>
      <c r="B22" s="28" t="s">
        <v>40</v>
      </c>
      <c r="C22" s="9">
        <v>0</v>
      </c>
      <c r="D22" s="1">
        <v>1</v>
      </c>
      <c r="E22" s="9">
        <v>0</v>
      </c>
      <c r="F22" s="9">
        <v>0</v>
      </c>
      <c r="G22" s="9">
        <v>0</v>
      </c>
      <c r="H22" s="1">
        <v>1</v>
      </c>
      <c r="I22" s="1">
        <v>1</v>
      </c>
      <c r="J22" s="1">
        <f t="shared" si="1"/>
        <v>1</v>
      </c>
      <c r="K22" s="1">
        <f t="shared" si="0"/>
        <v>1</v>
      </c>
    </row>
    <row r="23" spans="1:11" x14ac:dyDescent="0.5">
      <c r="A23" s="27" t="s">
        <v>68</v>
      </c>
      <c r="B23" s="28" t="s">
        <v>41</v>
      </c>
      <c r="C23" s="9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f t="shared" si="1"/>
        <v>1</v>
      </c>
      <c r="K23" s="1">
        <f t="shared" si="0"/>
        <v>1</v>
      </c>
    </row>
    <row r="24" spans="1:11" x14ac:dyDescent="0.5">
      <c r="A24" s="27" t="s">
        <v>69</v>
      </c>
      <c r="B24" s="28" t="s">
        <v>42</v>
      </c>
      <c r="C24" s="9">
        <v>0</v>
      </c>
      <c r="D24" s="9">
        <v>0</v>
      </c>
      <c r="E24" s="9">
        <v>0</v>
      </c>
      <c r="F24" s="1">
        <v>1</v>
      </c>
      <c r="G24" s="9">
        <v>0</v>
      </c>
      <c r="H24" s="9">
        <v>0</v>
      </c>
      <c r="I24" s="1">
        <v>1</v>
      </c>
      <c r="J24" s="1">
        <f t="shared" si="1"/>
        <v>1</v>
      </c>
      <c r="K24" s="1">
        <f t="shared" si="0"/>
        <v>1</v>
      </c>
    </row>
    <row r="25" spans="1:11" x14ac:dyDescent="0.5">
      <c r="A25" s="27" t="s">
        <v>70</v>
      </c>
      <c r="B25" s="28" t="s">
        <v>43</v>
      </c>
      <c r="C25" s="1">
        <v>1</v>
      </c>
      <c r="D25" s="1">
        <v>1</v>
      </c>
      <c r="E25" s="9">
        <v>0</v>
      </c>
      <c r="F25" s="9">
        <v>0</v>
      </c>
      <c r="G25" s="9">
        <v>0</v>
      </c>
      <c r="H25" s="1">
        <v>1</v>
      </c>
      <c r="I25" s="9">
        <v>0</v>
      </c>
      <c r="J25" s="11">
        <f t="shared" si="1"/>
        <v>0</v>
      </c>
      <c r="K25" s="11">
        <f t="shared" si="0"/>
        <v>0</v>
      </c>
    </row>
    <row r="26" spans="1:11" x14ac:dyDescent="0.5">
      <c r="A26" s="27" t="s">
        <v>71</v>
      </c>
      <c r="B26" s="28" t="s">
        <v>44</v>
      </c>
      <c r="C26" s="9">
        <v>0</v>
      </c>
      <c r="D26" s="9">
        <v>0</v>
      </c>
      <c r="E26" s="9">
        <v>0</v>
      </c>
      <c r="F26" s="1">
        <v>1</v>
      </c>
      <c r="G26" s="9">
        <v>0</v>
      </c>
      <c r="H26" s="9">
        <v>0</v>
      </c>
      <c r="I26" s="9">
        <v>0</v>
      </c>
      <c r="J26" s="11">
        <f t="shared" si="1"/>
        <v>0</v>
      </c>
      <c r="K26" s="11">
        <f t="shared" si="0"/>
        <v>0</v>
      </c>
    </row>
    <row r="27" spans="1:11" x14ac:dyDescent="0.5">
      <c r="A27" s="27" t="s">
        <v>72</v>
      </c>
      <c r="B27" s="28" t="s">
        <v>45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1">
        <v>1</v>
      </c>
      <c r="I27" s="9">
        <v>0</v>
      </c>
      <c r="J27" s="11">
        <f t="shared" si="1"/>
        <v>0</v>
      </c>
      <c r="K27" s="11">
        <f t="shared" si="0"/>
        <v>0</v>
      </c>
    </row>
    <row r="28" spans="1:11" x14ac:dyDescent="0.5">
      <c r="A28" s="27" t="s">
        <v>73</v>
      </c>
      <c r="B28" s="28" t="s">
        <v>46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1">
        <v>1</v>
      </c>
      <c r="I28" s="9">
        <v>0</v>
      </c>
      <c r="J28" s="11">
        <f t="shared" si="1"/>
        <v>0</v>
      </c>
      <c r="K28" s="11">
        <f t="shared" si="0"/>
        <v>0</v>
      </c>
    </row>
    <row r="29" spans="1:11" x14ac:dyDescent="0.5">
      <c r="A29" s="27" t="s">
        <v>74</v>
      </c>
      <c r="B29" s="28" t="s">
        <v>78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">
        <v>1</v>
      </c>
      <c r="J29" s="1">
        <f t="shared" si="1"/>
        <v>1</v>
      </c>
      <c r="K29" s="1">
        <f t="shared" si="0"/>
        <v>1</v>
      </c>
    </row>
    <row r="30" spans="1:11" x14ac:dyDescent="0.5">
      <c r="A30" s="27" t="s">
        <v>75</v>
      </c>
      <c r="B30" s="28" t="s">
        <v>79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1">
        <v>1</v>
      </c>
      <c r="J30" s="1">
        <f t="shared" si="1"/>
        <v>1</v>
      </c>
      <c r="K30" s="1">
        <f t="shared" si="0"/>
        <v>1</v>
      </c>
    </row>
    <row r="31" spans="1:11" x14ac:dyDescent="0.5">
      <c r="A31" s="27" t="s">
        <v>76</v>
      </c>
      <c r="B31" s="28" t="s">
        <v>80</v>
      </c>
      <c r="C31" s="9">
        <v>0</v>
      </c>
      <c r="D31" s="9">
        <v>0</v>
      </c>
      <c r="E31" s="9">
        <v>0</v>
      </c>
      <c r="F31" s="1">
        <v>1</v>
      </c>
      <c r="G31" s="1">
        <v>1</v>
      </c>
      <c r="H31" s="1">
        <v>1</v>
      </c>
      <c r="I31" s="1">
        <v>1</v>
      </c>
      <c r="J31" s="1">
        <f t="shared" si="1"/>
        <v>1</v>
      </c>
      <c r="K31" s="1">
        <f t="shared" si="0"/>
        <v>1</v>
      </c>
    </row>
    <row r="32" spans="1:11" x14ac:dyDescent="0.5">
      <c r="A32" t="s">
        <v>77</v>
      </c>
      <c r="B32" s="2" t="s">
        <v>81</v>
      </c>
      <c r="C32" s="9">
        <v>0</v>
      </c>
      <c r="D32" s="9">
        <v>0</v>
      </c>
      <c r="E32" s="9">
        <v>0</v>
      </c>
      <c r="F32" s="1">
        <v>1</v>
      </c>
      <c r="G32" s="9">
        <v>0</v>
      </c>
      <c r="H32" s="9">
        <v>0</v>
      </c>
      <c r="I32" s="9">
        <v>0</v>
      </c>
      <c r="J32" s="11">
        <f t="shared" si="1"/>
        <v>0</v>
      </c>
      <c r="K32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06A6-D16C-44B1-9A7E-D1474506BC87}">
  <dimension ref="A1:S5"/>
  <sheetViews>
    <sheetView workbookViewId="0">
      <selection activeCell="S23" sqref="S23"/>
    </sheetView>
  </sheetViews>
  <sheetFormatPr defaultRowHeight="14.35" x14ac:dyDescent="0.5"/>
  <cols>
    <col min="1" max="1" width="10.29296875" bestFit="1" customWidth="1"/>
    <col min="2" max="19" width="7.29296875" style="1" customWidth="1"/>
  </cols>
  <sheetData>
    <row r="1" spans="1:19" x14ac:dyDescent="0.5">
      <c r="A1" s="7" t="s">
        <v>18</v>
      </c>
      <c r="B1" s="6" t="s">
        <v>1</v>
      </c>
      <c r="C1" s="6" t="s">
        <v>2</v>
      </c>
      <c r="D1" s="6" t="s">
        <v>19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</row>
    <row r="2" spans="1:19" x14ac:dyDescent="0.5">
      <c r="A2" s="2" t="s">
        <v>82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1</v>
      </c>
      <c r="S2" s="1">
        <v>1</v>
      </c>
    </row>
    <row r="3" spans="1:19" x14ac:dyDescent="0.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19A1-E29B-45F1-A69A-612B078EF20B}">
  <dimension ref="A1:O34"/>
  <sheetViews>
    <sheetView tabSelected="1" zoomScale="72" zoomScaleNormal="72" workbookViewId="0">
      <selection activeCell="D41" sqref="D41"/>
    </sheetView>
  </sheetViews>
  <sheetFormatPr defaultRowHeight="14.35" x14ac:dyDescent="0.5"/>
  <cols>
    <col min="1" max="1" width="11.703125" customWidth="1"/>
    <col min="2" max="2" width="24.9375" customWidth="1"/>
    <col min="3" max="9" width="21.8203125" style="1" customWidth="1"/>
    <col min="10" max="11" width="25.41015625" bestFit="1" customWidth="1"/>
    <col min="13" max="13" width="9.76171875" bestFit="1" customWidth="1"/>
    <col min="14" max="15" width="10.76171875" bestFit="1" customWidth="1"/>
  </cols>
  <sheetData>
    <row r="1" spans="1:15" x14ac:dyDescent="0.5">
      <c r="A1" s="18" t="s">
        <v>91</v>
      </c>
      <c r="B1" s="19" t="s">
        <v>18</v>
      </c>
      <c r="C1" s="18" t="s">
        <v>83</v>
      </c>
      <c r="D1" s="18" t="s">
        <v>84</v>
      </c>
      <c r="E1" s="18" t="s">
        <v>85</v>
      </c>
      <c r="F1" s="18" t="s">
        <v>86</v>
      </c>
      <c r="G1" s="18" t="s">
        <v>87</v>
      </c>
      <c r="H1" s="18" t="s">
        <v>88</v>
      </c>
      <c r="I1" s="18" t="s">
        <v>89</v>
      </c>
      <c r="J1" s="18" t="s">
        <v>96</v>
      </c>
      <c r="K1" s="18" t="s">
        <v>97</v>
      </c>
      <c r="L1" s="20"/>
      <c r="M1" s="20"/>
      <c r="N1" s="20"/>
      <c r="O1" s="20"/>
    </row>
    <row r="2" spans="1:15" x14ac:dyDescent="0.5">
      <c r="A2" s="20" t="s">
        <v>47</v>
      </c>
      <c r="B2" s="21" t="s">
        <v>20</v>
      </c>
      <c r="C2" s="22">
        <v>1</v>
      </c>
      <c r="D2" s="22">
        <v>3</v>
      </c>
      <c r="E2" s="22">
        <v>17</v>
      </c>
      <c r="F2" s="22">
        <v>17</v>
      </c>
      <c r="G2" s="22">
        <v>17</v>
      </c>
      <c r="H2" s="22">
        <v>5</v>
      </c>
      <c r="I2" s="22">
        <v>5</v>
      </c>
      <c r="J2" s="22">
        <f>I2</f>
        <v>5</v>
      </c>
      <c r="K2" s="22">
        <f>J2</f>
        <v>5</v>
      </c>
      <c r="L2" s="20"/>
      <c r="M2" s="20"/>
      <c r="N2" s="20"/>
      <c r="O2" s="20"/>
    </row>
    <row r="3" spans="1:15" x14ac:dyDescent="0.5">
      <c r="A3" s="20" t="s">
        <v>48</v>
      </c>
      <c r="B3" s="21" t="s">
        <v>21</v>
      </c>
      <c r="C3" s="23">
        <v>0</v>
      </c>
      <c r="D3" s="23">
        <v>0</v>
      </c>
      <c r="E3" s="23">
        <v>0</v>
      </c>
      <c r="F3" s="22">
        <v>1.0000000000000001E-5</v>
      </c>
      <c r="G3" s="22">
        <v>1.0000000000000001E-5</v>
      </c>
      <c r="H3" s="23">
        <v>0</v>
      </c>
      <c r="I3" s="23">
        <v>0</v>
      </c>
      <c r="J3" s="22">
        <f t="shared" ref="J3:K31" si="0">I3</f>
        <v>0</v>
      </c>
      <c r="K3" s="22">
        <f t="shared" si="0"/>
        <v>0</v>
      </c>
      <c r="L3" s="20"/>
      <c r="M3" s="20"/>
      <c r="N3" s="20"/>
      <c r="O3" s="20"/>
    </row>
    <row r="4" spans="1:15" x14ac:dyDescent="0.5">
      <c r="A4" s="20" t="s">
        <v>49</v>
      </c>
      <c r="B4" s="21" t="s">
        <v>22</v>
      </c>
      <c r="C4" s="22">
        <v>4.1999999999999997E-3</v>
      </c>
      <c r="D4" s="22">
        <v>4.1999999999999997E-3</v>
      </c>
      <c r="E4" s="22">
        <v>4.1999999999999997E-3</v>
      </c>
      <c r="F4" s="22">
        <v>0.25750000000000001</v>
      </c>
      <c r="G4" s="22">
        <v>4.1999999999999997E-3</v>
      </c>
      <c r="H4" s="22">
        <v>4.1999999999999997E-3</v>
      </c>
      <c r="I4" s="22">
        <v>4.1999999999999997E-3</v>
      </c>
      <c r="J4" s="22">
        <f t="shared" si="0"/>
        <v>4.1999999999999997E-3</v>
      </c>
      <c r="K4" s="22">
        <f t="shared" si="0"/>
        <v>4.1999999999999997E-3</v>
      </c>
      <c r="L4" s="20"/>
      <c r="M4" s="20"/>
      <c r="N4" s="20"/>
      <c r="O4" s="20"/>
    </row>
    <row r="5" spans="1:15" x14ac:dyDescent="0.5">
      <c r="A5" s="20" t="s">
        <v>50</v>
      </c>
      <c r="B5" s="21" t="s">
        <v>23</v>
      </c>
      <c r="C5" s="23">
        <v>0</v>
      </c>
      <c r="D5" s="23">
        <v>0</v>
      </c>
      <c r="E5" s="23">
        <v>0</v>
      </c>
      <c r="F5" s="22">
        <v>1.0000000000000001E-5</v>
      </c>
      <c r="G5" s="22">
        <v>1.0000000000000001E-5</v>
      </c>
      <c r="H5" s="23">
        <v>0</v>
      </c>
      <c r="I5" s="23">
        <v>0</v>
      </c>
      <c r="J5" s="22">
        <f t="shared" si="0"/>
        <v>0</v>
      </c>
      <c r="K5" s="22">
        <f t="shared" si="0"/>
        <v>0</v>
      </c>
      <c r="L5" s="20"/>
      <c r="M5" s="20"/>
      <c r="N5" s="20"/>
      <c r="O5" s="20"/>
    </row>
    <row r="6" spans="1:15" x14ac:dyDescent="0.5">
      <c r="A6" s="20" t="s">
        <v>51</v>
      </c>
      <c r="B6" s="21" t="s">
        <v>24</v>
      </c>
      <c r="C6" s="23">
        <v>0</v>
      </c>
      <c r="D6" s="23">
        <v>0</v>
      </c>
      <c r="E6" s="23">
        <v>0</v>
      </c>
      <c r="F6" s="22">
        <v>0.25750000000000001</v>
      </c>
      <c r="G6" s="23">
        <v>0</v>
      </c>
      <c r="H6" s="22">
        <v>8.9300000000000004E-2</v>
      </c>
      <c r="I6" s="23">
        <v>0</v>
      </c>
      <c r="J6" s="22">
        <f t="shared" si="0"/>
        <v>0</v>
      </c>
      <c r="K6" s="22">
        <f t="shared" si="0"/>
        <v>0</v>
      </c>
      <c r="L6" s="20"/>
      <c r="M6" s="20"/>
      <c r="N6" s="20"/>
      <c r="O6" s="20"/>
    </row>
    <row r="7" spans="1:15" x14ac:dyDescent="0.5">
      <c r="A7" s="20" t="s">
        <v>52</v>
      </c>
      <c r="B7" s="21" t="s">
        <v>25</v>
      </c>
      <c r="C7" s="23">
        <v>0</v>
      </c>
      <c r="D7" s="23">
        <v>0</v>
      </c>
      <c r="E7" s="23">
        <v>0</v>
      </c>
      <c r="F7" s="22">
        <v>221.3</v>
      </c>
      <c r="G7" s="23">
        <v>0</v>
      </c>
      <c r="H7" s="22">
        <v>571.20000000000005</v>
      </c>
      <c r="I7" s="23">
        <v>0</v>
      </c>
      <c r="J7" s="22">
        <f t="shared" si="0"/>
        <v>0</v>
      </c>
      <c r="K7" s="22">
        <f t="shared" si="0"/>
        <v>0</v>
      </c>
      <c r="L7" s="20"/>
      <c r="M7" s="20"/>
      <c r="N7" s="20"/>
      <c r="O7" s="20"/>
    </row>
    <row r="8" spans="1:15" x14ac:dyDescent="0.5">
      <c r="A8" s="20" t="s">
        <v>53</v>
      </c>
      <c r="B8" s="21" t="s">
        <v>26</v>
      </c>
      <c r="C8" s="22">
        <v>1.86</v>
      </c>
      <c r="D8" s="22">
        <v>1.86</v>
      </c>
      <c r="E8" s="22">
        <v>1.86</v>
      </c>
      <c r="F8" s="22">
        <v>1.86</v>
      </c>
      <c r="G8" s="22">
        <v>1.86</v>
      </c>
      <c r="H8" s="22">
        <v>1.86</v>
      </c>
      <c r="I8" s="22">
        <v>1.86</v>
      </c>
      <c r="J8" s="22">
        <f t="shared" si="0"/>
        <v>1.86</v>
      </c>
      <c r="K8" s="22">
        <f t="shared" si="0"/>
        <v>1.86</v>
      </c>
      <c r="L8" s="20"/>
      <c r="M8" s="20"/>
      <c r="N8" s="20"/>
      <c r="O8" s="20"/>
    </row>
    <row r="9" spans="1:15" x14ac:dyDescent="0.5">
      <c r="A9" s="20" t="s">
        <v>54</v>
      </c>
      <c r="B9" s="21" t="s">
        <v>27</v>
      </c>
      <c r="C9" s="23">
        <v>0</v>
      </c>
      <c r="D9" s="23">
        <v>0</v>
      </c>
      <c r="E9" s="23">
        <v>0</v>
      </c>
      <c r="F9" s="22">
        <v>0.187</v>
      </c>
      <c r="G9" s="22">
        <v>0.187</v>
      </c>
      <c r="H9" s="23">
        <v>0</v>
      </c>
      <c r="I9" s="23">
        <v>0</v>
      </c>
      <c r="J9" s="22">
        <f t="shared" si="0"/>
        <v>0</v>
      </c>
      <c r="K9" s="22">
        <f t="shared" si="0"/>
        <v>0</v>
      </c>
      <c r="L9" s="20"/>
      <c r="M9" s="20"/>
      <c r="N9" s="20"/>
      <c r="O9" s="20"/>
    </row>
    <row r="10" spans="1:15" x14ac:dyDescent="0.5">
      <c r="A10" s="20" t="s">
        <v>55</v>
      </c>
      <c r="B10" s="21" t="s">
        <v>28</v>
      </c>
      <c r="C10" s="22">
        <v>6.5000000000000002E-2</v>
      </c>
      <c r="D10" s="22">
        <v>0.12189999999999999</v>
      </c>
      <c r="E10" s="22">
        <v>3.9100000000000003E-2</v>
      </c>
      <c r="F10" s="22">
        <v>0.2414</v>
      </c>
      <c r="G10" s="22">
        <v>0.30449999999999999</v>
      </c>
      <c r="H10" s="22">
        <v>0.50290000000000001</v>
      </c>
      <c r="I10" s="22">
        <v>2.2000000000000001E-3</v>
      </c>
      <c r="J10" s="22">
        <f t="shared" si="0"/>
        <v>2.2000000000000001E-3</v>
      </c>
      <c r="K10" s="22">
        <f t="shared" si="0"/>
        <v>2.2000000000000001E-3</v>
      </c>
      <c r="L10" s="20"/>
      <c r="M10" s="20"/>
      <c r="N10" s="20"/>
      <c r="O10" s="20"/>
    </row>
    <row r="11" spans="1:15" x14ac:dyDescent="0.5">
      <c r="A11" s="20" t="s">
        <v>56</v>
      </c>
      <c r="B11" s="21" t="s">
        <v>29</v>
      </c>
      <c r="C11" s="22">
        <v>4.5068000000000001</v>
      </c>
      <c r="D11" s="22">
        <v>3.3714</v>
      </c>
      <c r="E11" s="22">
        <v>1.1989000000000001</v>
      </c>
      <c r="F11" s="22">
        <v>1.0518000000000001</v>
      </c>
      <c r="G11" s="22">
        <v>0.32390000000000002</v>
      </c>
      <c r="H11" s="22">
        <v>0.3821</v>
      </c>
      <c r="I11" s="22">
        <v>1.9798</v>
      </c>
      <c r="J11" s="22">
        <f t="shared" si="0"/>
        <v>1.9798</v>
      </c>
      <c r="K11" s="22">
        <f t="shared" si="0"/>
        <v>1.9798</v>
      </c>
      <c r="L11" s="20"/>
      <c r="M11" s="20"/>
      <c r="N11" s="20"/>
      <c r="O11" s="20"/>
    </row>
    <row r="12" spans="1:15" x14ac:dyDescent="0.5">
      <c r="A12" s="20" t="s">
        <v>57</v>
      </c>
      <c r="B12" s="21" t="s">
        <v>30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2">
        <v>7.4299999999999995E-4</v>
      </c>
      <c r="I12" s="23">
        <v>0</v>
      </c>
      <c r="J12" s="22">
        <f t="shared" si="0"/>
        <v>0</v>
      </c>
      <c r="K12" s="22">
        <f t="shared" si="0"/>
        <v>0</v>
      </c>
      <c r="L12" s="20"/>
      <c r="M12" s="20"/>
      <c r="N12" s="20"/>
      <c r="O12" s="20"/>
    </row>
    <row r="13" spans="1:15" x14ac:dyDescent="0.5">
      <c r="A13" s="20" t="s">
        <v>58</v>
      </c>
      <c r="B13" s="21" t="s">
        <v>31</v>
      </c>
      <c r="C13" s="23">
        <v>0</v>
      </c>
      <c r="D13" s="23">
        <v>0</v>
      </c>
      <c r="E13" s="22">
        <v>8.5500000000000007</v>
      </c>
      <c r="F13" s="22">
        <v>2.85</v>
      </c>
      <c r="G13" s="22">
        <v>2.85</v>
      </c>
      <c r="H13" s="23">
        <v>0</v>
      </c>
      <c r="I13" s="23">
        <v>0</v>
      </c>
      <c r="J13" s="22">
        <f t="shared" si="0"/>
        <v>0</v>
      </c>
      <c r="K13" s="22">
        <f t="shared" si="0"/>
        <v>0</v>
      </c>
      <c r="L13" s="20"/>
      <c r="M13" s="20"/>
      <c r="N13" s="20"/>
      <c r="O13" s="20"/>
    </row>
    <row r="14" spans="1:15" x14ac:dyDescent="0.5">
      <c r="A14" s="20" t="s">
        <v>59</v>
      </c>
      <c r="B14" s="21" t="s">
        <v>32</v>
      </c>
      <c r="C14" s="22">
        <v>0.187</v>
      </c>
      <c r="D14" s="22">
        <v>0.187</v>
      </c>
      <c r="E14" s="22">
        <v>0.56100000000000005</v>
      </c>
      <c r="F14" s="22">
        <v>0.187</v>
      </c>
      <c r="G14" s="22">
        <v>0.187</v>
      </c>
      <c r="H14" s="22">
        <v>0.187</v>
      </c>
      <c r="I14" s="22">
        <v>1.87</v>
      </c>
      <c r="J14" s="22">
        <f t="shared" si="0"/>
        <v>1.87</v>
      </c>
      <c r="K14" s="22">
        <f t="shared" si="0"/>
        <v>1.87</v>
      </c>
      <c r="L14" s="20"/>
      <c r="M14" s="20"/>
      <c r="N14" s="20"/>
      <c r="O14" s="20"/>
    </row>
    <row r="15" spans="1:15" x14ac:dyDescent="0.5">
      <c r="A15" s="20" t="s">
        <v>60</v>
      </c>
      <c r="B15" s="21" t="s">
        <v>33</v>
      </c>
      <c r="C15" s="22" t="s">
        <v>93</v>
      </c>
      <c r="D15" s="22" t="s">
        <v>93</v>
      </c>
      <c r="E15" s="22" t="s">
        <v>93</v>
      </c>
      <c r="F15" s="22" t="s">
        <v>93</v>
      </c>
      <c r="G15" s="22" t="s">
        <v>93</v>
      </c>
      <c r="H15" s="22" t="s">
        <v>93</v>
      </c>
      <c r="I15" s="22" t="s">
        <v>93</v>
      </c>
      <c r="J15" s="22" t="str">
        <f t="shared" si="0"/>
        <v>[0.0000045, 0.00001, 0.00001]</v>
      </c>
      <c r="K15" s="22" t="str">
        <f t="shared" si="0"/>
        <v>[0.0000045, 0.00001, 0.00001]</v>
      </c>
      <c r="L15" s="22" t="s">
        <v>99</v>
      </c>
      <c r="M15" s="20"/>
      <c r="N15" s="20"/>
      <c r="O15" s="20"/>
    </row>
    <row r="16" spans="1:15" x14ac:dyDescent="0.5">
      <c r="A16" s="20" t="s">
        <v>61</v>
      </c>
      <c r="B16" s="21" t="s">
        <v>34</v>
      </c>
      <c r="C16" s="22">
        <v>2.5099999999999998</v>
      </c>
      <c r="D16" s="22">
        <v>2.5099999999999998</v>
      </c>
      <c r="E16" s="22">
        <v>2.5099999999999998</v>
      </c>
      <c r="F16" s="22">
        <v>2.5099999999999998</v>
      </c>
      <c r="G16" s="22">
        <v>2.5099999999999998</v>
      </c>
      <c r="H16" s="22">
        <v>2.5099999999999998</v>
      </c>
      <c r="I16" s="22">
        <v>2.5099999999999998</v>
      </c>
      <c r="J16" s="22">
        <f t="shared" si="0"/>
        <v>2.5099999999999998</v>
      </c>
      <c r="K16" s="22">
        <f t="shared" si="0"/>
        <v>2.5099999999999998</v>
      </c>
      <c r="L16" s="20"/>
      <c r="M16" s="20"/>
      <c r="N16" s="20"/>
      <c r="O16" s="20"/>
    </row>
    <row r="17" spans="1:15" x14ac:dyDescent="0.5">
      <c r="A17" s="20" t="s">
        <v>62</v>
      </c>
      <c r="B17" s="21" t="s">
        <v>35</v>
      </c>
      <c r="C17" s="22">
        <v>3.0000000000000001E-3</v>
      </c>
      <c r="D17" s="22">
        <v>3.0000000000000001E-3</v>
      </c>
      <c r="E17" s="22">
        <v>3.0000000000000001E-3</v>
      </c>
      <c r="F17" s="22">
        <v>3.0000000000000001E-3</v>
      </c>
      <c r="G17" s="22">
        <v>3.0000000000000001E-3</v>
      </c>
      <c r="H17" s="22">
        <v>3.0000000000000001E-3</v>
      </c>
      <c r="I17" s="22">
        <v>3.0000000000000001E-3</v>
      </c>
      <c r="J17" s="22">
        <f t="shared" si="0"/>
        <v>3.0000000000000001E-3</v>
      </c>
      <c r="K17" s="22">
        <f t="shared" si="0"/>
        <v>3.0000000000000001E-3</v>
      </c>
      <c r="L17" s="20"/>
      <c r="M17" s="20"/>
      <c r="N17" s="20"/>
      <c r="O17" s="20"/>
    </row>
    <row r="18" spans="1:15" x14ac:dyDescent="0.5">
      <c r="A18" s="20" t="s">
        <v>63</v>
      </c>
      <c r="B18" s="21" t="s">
        <v>36</v>
      </c>
      <c r="C18" s="22">
        <v>0.187</v>
      </c>
      <c r="D18" s="22">
        <v>0.187</v>
      </c>
      <c r="E18" s="22">
        <v>0.187</v>
      </c>
      <c r="F18" s="22">
        <v>0.187</v>
      </c>
      <c r="G18" s="22">
        <v>0.187</v>
      </c>
      <c r="H18" s="22">
        <v>0.187</v>
      </c>
      <c r="I18" s="22">
        <v>0.187</v>
      </c>
      <c r="J18" s="22">
        <f t="shared" si="0"/>
        <v>0.187</v>
      </c>
      <c r="K18" s="22">
        <f t="shared" si="0"/>
        <v>0.187</v>
      </c>
      <c r="L18" s="20"/>
      <c r="M18" s="20"/>
      <c r="N18" s="20"/>
      <c r="O18" s="20"/>
    </row>
    <row r="19" spans="1:15" x14ac:dyDescent="0.5">
      <c r="A19" s="20" t="s">
        <v>64</v>
      </c>
      <c r="B19" s="21" t="s">
        <v>38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2">
        <v>1.6E-2</v>
      </c>
      <c r="J19" s="22">
        <f t="shared" si="0"/>
        <v>1.6E-2</v>
      </c>
      <c r="K19" s="22">
        <f t="shared" si="0"/>
        <v>1.6E-2</v>
      </c>
      <c r="L19" s="20"/>
      <c r="M19" s="20"/>
      <c r="N19" s="20"/>
      <c r="O19" s="20"/>
    </row>
    <row r="20" spans="1:15" x14ac:dyDescent="0.5">
      <c r="A20" s="20" t="s">
        <v>65</v>
      </c>
      <c r="B20" s="21" t="s">
        <v>37</v>
      </c>
      <c r="C20" s="23">
        <v>0</v>
      </c>
      <c r="D20" s="23">
        <v>0</v>
      </c>
      <c r="E20" s="23">
        <v>0</v>
      </c>
      <c r="F20" s="22">
        <v>0.05</v>
      </c>
      <c r="G20" s="22">
        <v>0.05</v>
      </c>
      <c r="H20" s="23">
        <v>0</v>
      </c>
      <c r="I20" s="23">
        <v>0</v>
      </c>
      <c r="J20" s="22">
        <f t="shared" si="0"/>
        <v>0</v>
      </c>
      <c r="K20" s="22">
        <f t="shared" si="0"/>
        <v>0</v>
      </c>
      <c r="L20" s="20"/>
      <c r="M20" s="20"/>
      <c r="N20" s="20"/>
      <c r="O20" s="20"/>
    </row>
    <row r="21" spans="1:15" x14ac:dyDescent="0.5">
      <c r="A21" s="20" t="s">
        <v>66</v>
      </c>
      <c r="B21" s="21" t="s">
        <v>39</v>
      </c>
      <c r="C21" s="23">
        <v>0</v>
      </c>
      <c r="D21" s="23">
        <v>0</v>
      </c>
      <c r="E21" s="23">
        <v>0</v>
      </c>
      <c r="F21" s="22" t="s">
        <v>94</v>
      </c>
      <c r="G21" s="23">
        <v>0</v>
      </c>
      <c r="H21" s="23">
        <v>0</v>
      </c>
      <c r="I21" s="23">
        <v>0</v>
      </c>
      <c r="J21" s="22">
        <f t="shared" si="0"/>
        <v>0</v>
      </c>
      <c r="K21" s="22">
        <f t="shared" si="0"/>
        <v>0</v>
      </c>
      <c r="L21" s="20"/>
      <c r="M21" s="20"/>
      <c r="N21" s="20"/>
      <c r="O21" s="20"/>
    </row>
    <row r="22" spans="1:15" x14ac:dyDescent="0.5">
      <c r="A22" s="20" t="s">
        <v>67</v>
      </c>
      <c r="B22" s="21" t="s">
        <v>40</v>
      </c>
      <c r="C22" s="23">
        <v>0</v>
      </c>
      <c r="D22" s="22">
        <f>11.21</f>
        <v>11.21</v>
      </c>
      <c r="E22" s="23">
        <v>0</v>
      </c>
      <c r="F22" s="23">
        <v>0</v>
      </c>
      <c r="G22" s="23">
        <v>0</v>
      </c>
      <c r="H22" s="22">
        <f>11.21*1/2</f>
        <v>5.6050000000000004</v>
      </c>
      <c r="I22" s="22">
        <f>63.525</f>
        <v>63.524999999999999</v>
      </c>
      <c r="J22" s="22">
        <f t="shared" si="0"/>
        <v>63.524999999999999</v>
      </c>
      <c r="K22" s="22">
        <f t="shared" si="0"/>
        <v>63.524999999999999</v>
      </c>
      <c r="L22" s="20"/>
      <c r="M22" s="20"/>
      <c r="N22" s="20"/>
      <c r="O22" s="20"/>
    </row>
    <row r="23" spans="1:15" x14ac:dyDescent="0.5">
      <c r="A23" s="20" t="s">
        <v>68</v>
      </c>
      <c r="B23" s="21" t="s">
        <v>41</v>
      </c>
      <c r="C23" s="23">
        <v>0</v>
      </c>
      <c r="D23" s="22">
        <v>0.45</v>
      </c>
      <c r="E23" s="22">
        <v>1.35</v>
      </c>
      <c r="F23" s="22">
        <v>1.385</v>
      </c>
      <c r="G23" s="22">
        <v>0.45</v>
      </c>
      <c r="H23" s="22">
        <v>0.45</v>
      </c>
      <c r="I23" s="22">
        <v>0.45</v>
      </c>
      <c r="J23" s="22">
        <f t="shared" si="0"/>
        <v>0.45</v>
      </c>
      <c r="K23" s="22">
        <f t="shared" si="0"/>
        <v>0.45</v>
      </c>
      <c r="L23" s="20"/>
      <c r="M23" s="20"/>
      <c r="N23" s="20"/>
      <c r="O23" s="20"/>
    </row>
    <row r="24" spans="1:15" x14ac:dyDescent="0.5">
      <c r="A24" s="20" t="s">
        <v>69</v>
      </c>
      <c r="B24" s="21" t="s">
        <v>42</v>
      </c>
      <c r="C24" s="23">
        <v>0</v>
      </c>
      <c r="D24" s="23">
        <v>0</v>
      </c>
      <c r="E24" s="23">
        <v>0</v>
      </c>
      <c r="F24" s="22">
        <f>0.5</f>
        <v>0.5</v>
      </c>
      <c r="G24" s="23">
        <v>0</v>
      </c>
      <c r="H24" s="23">
        <v>0</v>
      </c>
      <c r="I24" s="22">
        <v>1</v>
      </c>
      <c r="J24" s="22">
        <f t="shared" si="0"/>
        <v>1</v>
      </c>
      <c r="K24" s="22">
        <f t="shared" si="0"/>
        <v>1</v>
      </c>
      <c r="L24" s="20"/>
      <c r="M24" s="20"/>
      <c r="N24" s="20"/>
      <c r="O24" s="20"/>
    </row>
    <row r="25" spans="1:15" x14ac:dyDescent="0.5">
      <c r="A25" s="20" t="s">
        <v>70</v>
      </c>
      <c r="B25" s="21" t="s">
        <v>43</v>
      </c>
      <c r="C25" s="22">
        <v>5</v>
      </c>
      <c r="D25" s="24">
        <v>0.5</v>
      </c>
      <c r="E25" s="23">
        <v>0</v>
      </c>
      <c r="F25" s="23">
        <v>0</v>
      </c>
      <c r="G25" s="23">
        <v>0</v>
      </c>
      <c r="H25" s="22">
        <v>0.5</v>
      </c>
      <c r="I25" s="23">
        <v>0</v>
      </c>
      <c r="J25" s="22">
        <f t="shared" si="0"/>
        <v>0</v>
      </c>
      <c r="K25" s="22">
        <f t="shared" si="0"/>
        <v>0</v>
      </c>
      <c r="L25" s="20"/>
      <c r="M25" s="20"/>
      <c r="N25" s="20"/>
      <c r="O25" s="20"/>
    </row>
    <row r="26" spans="1:15" x14ac:dyDescent="0.5">
      <c r="A26" s="20" t="s">
        <v>71</v>
      </c>
      <c r="B26" s="21" t="s">
        <v>44</v>
      </c>
      <c r="C26" s="23">
        <v>0</v>
      </c>
      <c r="D26" s="23">
        <v>0</v>
      </c>
      <c r="E26" s="23">
        <v>0</v>
      </c>
      <c r="F26" s="22">
        <v>2</v>
      </c>
      <c r="G26" s="23">
        <v>0</v>
      </c>
      <c r="H26" s="23">
        <v>0</v>
      </c>
      <c r="I26" s="23">
        <v>0</v>
      </c>
      <c r="J26" s="22">
        <f t="shared" si="0"/>
        <v>0</v>
      </c>
      <c r="K26" s="22">
        <f t="shared" si="0"/>
        <v>0</v>
      </c>
      <c r="L26" s="20"/>
      <c r="M26" s="20"/>
      <c r="N26" s="20"/>
      <c r="O26" s="20"/>
    </row>
    <row r="27" spans="1:15" x14ac:dyDescent="0.5">
      <c r="A27" s="20" t="s">
        <v>72</v>
      </c>
      <c r="B27" s="21" t="s">
        <v>45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2">
        <v>11.4</v>
      </c>
      <c r="I27" s="23">
        <v>0</v>
      </c>
      <c r="J27" s="22">
        <f t="shared" si="0"/>
        <v>0</v>
      </c>
      <c r="K27" s="22">
        <f t="shared" si="0"/>
        <v>0</v>
      </c>
      <c r="L27" s="20"/>
      <c r="M27" s="20"/>
      <c r="N27" s="20"/>
      <c r="O27" s="20"/>
    </row>
    <row r="28" spans="1:15" x14ac:dyDescent="0.5">
      <c r="A28" s="20" t="s">
        <v>73</v>
      </c>
      <c r="B28" s="21" t="s">
        <v>46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2">
        <v>11541</v>
      </c>
      <c r="I28" s="23">
        <v>0</v>
      </c>
      <c r="J28" s="22">
        <f t="shared" si="0"/>
        <v>0</v>
      </c>
      <c r="K28" s="22">
        <f t="shared" si="0"/>
        <v>0</v>
      </c>
      <c r="L28" s="20"/>
      <c r="M28" s="20"/>
      <c r="N28" s="20"/>
      <c r="O28" s="20"/>
    </row>
    <row r="29" spans="1:15" x14ac:dyDescent="0.5">
      <c r="A29" s="20" t="s">
        <v>74</v>
      </c>
      <c r="B29" s="21" t="s">
        <v>78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2" t="s">
        <v>95</v>
      </c>
      <c r="J29" s="22" t="str">
        <f t="shared" si="0"/>
        <v>[0.1368, 0.1, 0.1]</v>
      </c>
      <c r="K29" s="22" t="str">
        <f t="shared" si="0"/>
        <v>[0.1368, 0.1, 0.1]</v>
      </c>
      <c r="L29" s="22" t="s">
        <v>98</v>
      </c>
      <c r="M29" s="25"/>
      <c r="N29" s="20"/>
      <c r="O29" s="20"/>
    </row>
    <row r="30" spans="1:15" x14ac:dyDescent="0.5">
      <c r="A30" s="20" t="s">
        <v>75</v>
      </c>
      <c r="B30" s="21" t="s">
        <v>79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2">
        <v>5978</v>
      </c>
      <c r="J30" s="22">
        <f t="shared" si="0"/>
        <v>5978</v>
      </c>
      <c r="K30" s="22">
        <f t="shared" si="0"/>
        <v>5978</v>
      </c>
      <c r="L30" s="20"/>
      <c r="M30" s="20"/>
      <c r="N30" s="20"/>
      <c r="O30" s="20"/>
    </row>
    <row r="31" spans="1:15" x14ac:dyDescent="0.5">
      <c r="A31" s="20" t="s">
        <v>76</v>
      </c>
      <c r="B31" s="21" t="s">
        <v>80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2">
        <f t="shared" si="0"/>
        <v>0</v>
      </c>
      <c r="K31" s="22">
        <f t="shared" si="0"/>
        <v>0</v>
      </c>
      <c r="L31" s="20"/>
      <c r="M31" s="20"/>
      <c r="N31" s="20"/>
      <c r="O31" s="20"/>
    </row>
    <row r="32" spans="1:15" x14ac:dyDescent="0.5">
      <c r="A32" s="20" t="s">
        <v>77</v>
      </c>
      <c r="B32" s="21" t="s">
        <v>81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2">
        <f>I32</f>
        <v>0</v>
      </c>
      <c r="K32" s="22">
        <f t="shared" ref="K32" si="1">J32</f>
        <v>0</v>
      </c>
      <c r="L32" s="20"/>
      <c r="M32" s="20"/>
      <c r="N32" s="20"/>
      <c r="O32" s="20"/>
    </row>
    <row r="33" spans="1:15" x14ac:dyDescent="0.5">
      <c r="A33" s="20"/>
      <c r="B33" s="20"/>
      <c r="C33" s="26"/>
      <c r="D33" s="26"/>
      <c r="E33" s="26"/>
      <c r="F33" s="26"/>
      <c r="G33" s="26"/>
      <c r="H33" s="26"/>
      <c r="I33" s="26"/>
      <c r="J33" s="20"/>
      <c r="K33" s="20"/>
      <c r="L33" s="20"/>
      <c r="M33" s="20"/>
      <c r="N33" s="20"/>
      <c r="O33" s="20"/>
    </row>
    <row r="34" spans="1:15" x14ac:dyDescent="0.5">
      <c r="A34" s="20"/>
      <c r="B34" s="20"/>
      <c r="C34" s="26"/>
      <c r="D34" s="26"/>
      <c r="E34" s="26"/>
      <c r="F34" s="26"/>
      <c r="G34" s="26"/>
      <c r="H34" s="26"/>
      <c r="I34" s="26"/>
      <c r="J34" s="20"/>
      <c r="K34" s="20"/>
      <c r="L34" s="20"/>
      <c r="M34" s="20"/>
      <c r="N34" s="20"/>
      <c r="O3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A478-BA8F-4B4C-BBDB-CE0D28DD717D}">
  <dimension ref="A1:L32"/>
  <sheetViews>
    <sheetView zoomScale="80" zoomScaleNormal="80" workbookViewId="0">
      <selection activeCell="M35" sqref="M35"/>
    </sheetView>
  </sheetViews>
  <sheetFormatPr defaultRowHeight="14.35" x14ac:dyDescent="0.5"/>
  <cols>
    <col min="1" max="1" width="11.703125" bestFit="1" customWidth="1"/>
    <col min="2" max="2" width="31.1171875" bestFit="1" customWidth="1"/>
    <col min="3" max="3" width="9.5859375" customWidth="1"/>
    <col min="4" max="4" width="10.52734375" bestFit="1" customWidth="1"/>
    <col min="5" max="9" width="9.5859375" customWidth="1"/>
    <col min="10" max="10" width="12.52734375" bestFit="1" customWidth="1"/>
    <col min="11" max="11" width="12.05859375" bestFit="1" customWidth="1"/>
  </cols>
  <sheetData>
    <row r="1" spans="1:12" x14ac:dyDescent="0.5">
      <c r="A1" s="30" t="s">
        <v>90</v>
      </c>
      <c r="B1" s="31" t="s">
        <v>18</v>
      </c>
      <c r="C1" s="30" t="s">
        <v>83</v>
      </c>
      <c r="D1" s="30" t="s">
        <v>84</v>
      </c>
      <c r="E1" s="30" t="s">
        <v>85</v>
      </c>
      <c r="F1" s="30" t="s">
        <v>86</v>
      </c>
      <c r="G1" s="30" t="s">
        <v>87</v>
      </c>
      <c r="H1" s="30" t="s">
        <v>88</v>
      </c>
      <c r="I1" s="30" t="s">
        <v>89</v>
      </c>
      <c r="J1" s="30" t="s">
        <v>96</v>
      </c>
      <c r="K1" s="30" t="s">
        <v>97</v>
      </c>
      <c r="L1" s="27"/>
    </row>
    <row r="2" spans="1:12" x14ac:dyDescent="0.5">
      <c r="A2" s="27" t="s">
        <v>47</v>
      </c>
      <c r="B2" s="28" t="s">
        <v>20</v>
      </c>
      <c r="C2" s="32">
        <v>0.39629999999999999</v>
      </c>
      <c r="D2" s="32">
        <v>0.12429999999999999</v>
      </c>
      <c r="E2" s="32">
        <v>0.25640000000000002</v>
      </c>
      <c r="F2" s="32">
        <v>0.4274</v>
      </c>
      <c r="G2" s="32">
        <v>0.25640000000000002</v>
      </c>
      <c r="H2" s="32">
        <v>0.2331</v>
      </c>
      <c r="I2" s="32">
        <v>7.7700000000000005E-2</v>
      </c>
      <c r="J2" s="33">
        <f>I2</f>
        <v>7.7700000000000005E-2</v>
      </c>
      <c r="K2" s="33">
        <f t="shared" ref="K2:K28" si="0">I2+(I2-J2)</f>
        <v>7.7700000000000005E-2</v>
      </c>
      <c r="L2" s="27"/>
    </row>
    <row r="3" spans="1:12" x14ac:dyDescent="0.5">
      <c r="A3" s="27" t="s">
        <v>48</v>
      </c>
      <c r="B3" s="28" t="s">
        <v>21</v>
      </c>
      <c r="C3" s="34">
        <v>0</v>
      </c>
      <c r="D3" s="34">
        <v>0</v>
      </c>
      <c r="E3" s="34">
        <v>0</v>
      </c>
      <c r="F3" s="32">
        <f>0.622</f>
        <v>0.622</v>
      </c>
      <c r="G3" s="32">
        <v>0.15540000000000001</v>
      </c>
      <c r="H3" s="34">
        <v>0</v>
      </c>
      <c r="I3" s="34">
        <v>0</v>
      </c>
      <c r="J3" s="35">
        <f t="shared" ref="J3:J32" si="1">I3</f>
        <v>0</v>
      </c>
      <c r="K3" s="35">
        <f t="shared" si="0"/>
        <v>0</v>
      </c>
      <c r="L3" s="27"/>
    </row>
    <row r="4" spans="1:12" x14ac:dyDescent="0.5">
      <c r="A4" s="27" t="s">
        <v>49</v>
      </c>
      <c r="B4" s="28" t="s">
        <v>22</v>
      </c>
      <c r="C4" s="32">
        <v>0.39629999999999999</v>
      </c>
      <c r="D4" s="32">
        <v>0.32800000000000001</v>
      </c>
      <c r="E4" s="32">
        <v>0.32800000000000001</v>
      </c>
      <c r="F4" s="32">
        <f>0.328 *0.5</f>
        <v>0.16400000000000001</v>
      </c>
      <c r="G4" s="32">
        <v>0.32800000000000001</v>
      </c>
      <c r="H4" s="32">
        <v>0.32800000000000001</v>
      </c>
      <c r="I4" s="32">
        <v>0.32800000000000001</v>
      </c>
      <c r="J4" s="33">
        <f t="shared" si="1"/>
        <v>0.32800000000000001</v>
      </c>
      <c r="K4" s="33">
        <f t="shared" si="0"/>
        <v>0.32800000000000001</v>
      </c>
      <c r="L4" s="27"/>
    </row>
    <row r="5" spans="1:12" x14ac:dyDescent="0.5">
      <c r="A5" s="27" t="s">
        <v>50</v>
      </c>
      <c r="B5" s="28" t="s">
        <v>23</v>
      </c>
      <c r="C5" s="34">
        <v>0</v>
      </c>
      <c r="D5" s="34">
        <v>0</v>
      </c>
      <c r="E5" s="34">
        <v>0</v>
      </c>
      <c r="F5" s="32">
        <v>0.2331</v>
      </c>
      <c r="G5" s="32">
        <v>0.15540000000000001</v>
      </c>
      <c r="H5" s="34">
        <v>0</v>
      </c>
      <c r="I5" s="34">
        <v>0</v>
      </c>
      <c r="J5" s="35">
        <f t="shared" si="1"/>
        <v>0</v>
      </c>
      <c r="K5" s="35">
        <f t="shared" si="0"/>
        <v>0</v>
      </c>
      <c r="L5" s="27"/>
    </row>
    <row r="6" spans="1:12" x14ac:dyDescent="0.5">
      <c r="A6" s="27" t="s">
        <v>51</v>
      </c>
      <c r="B6" s="28" t="s">
        <v>24</v>
      </c>
      <c r="C6" s="34">
        <v>0</v>
      </c>
      <c r="D6" s="34">
        <v>0</v>
      </c>
      <c r="E6" s="34">
        <v>0</v>
      </c>
      <c r="F6" s="32">
        <v>0.68159999999999998</v>
      </c>
      <c r="G6" s="34">
        <v>0</v>
      </c>
      <c r="H6" s="32">
        <v>0.49869999999999998</v>
      </c>
      <c r="I6" s="34">
        <v>0</v>
      </c>
      <c r="J6" s="35">
        <f t="shared" si="1"/>
        <v>0</v>
      </c>
      <c r="K6" s="35">
        <f t="shared" si="0"/>
        <v>0</v>
      </c>
      <c r="L6" s="27"/>
    </row>
    <row r="7" spans="1:12" x14ac:dyDescent="0.5">
      <c r="A7" s="27" t="s">
        <v>52</v>
      </c>
      <c r="B7" s="28" t="s">
        <v>25</v>
      </c>
      <c r="C7" s="34">
        <v>0</v>
      </c>
      <c r="D7" s="34">
        <v>0</v>
      </c>
      <c r="E7" s="34">
        <v>0</v>
      </c>
      <c r="F7" s="22">
        <f>0.389*0.8</f>
        <v>0.31120000000000003</v>
      </c>
      <c r="G7" s="34">
        <v>0</v>
      </c>
      <c r="H7" s="32">
        <v>0.44369999999999998</v>
      </c>
      <c r="I7" s="34">
        <v>0</v>
      </c>
      <c r="J7" s="35">
        <f t="shared" si="1"/>
        <v>0</v>
      </c>
      <c r="K7" s="35">
        <f t="shared" si="0"/>
        <v>0</v>
      </c>
      <c r="L7" s="27"/>
    </row>
    <row r="8" spans="1:12" x14ac:dyDescent="0.5">
      <c r="A8" s="27" t="s">
        <v>53</v>
      </c>
      <c r="B8" s="28" t="s">
        <v>26</v>
      </c>
      <c r="C8" s="32">
        <f>6.27</f>
        <v>6.27</v>
      </c>
      <c r="D8" s="32">
        <f>6.27</f>
        <v>6.27</v>
      </c>
      <c r="E8" s="32">
        <f>6.27</f>
        <v>6.27</v>
      </c>
      <c r="F8" s="32">
        <f>6.27 *2</f>
        <v>12.54</v>
      </c>
      <c r="G8" s="32">
        <f>6.27</f>
        <v>6.27</v>
      </c>
      <c r="H8" s="32">
        <f>6.27</f>
        <v>6.27</v>
      </c>
      <c r="I8" s="32">
        <f>6.27</f>
        <v>6.27</v>
      </c>
      <c r="J8" s="33">
        <f t="shared" si="1"/>
        <v>6.27</v>
      </c>
      <c r="K8" s="33">
        <f t="shared" si="0"/>
        <v>6.27</v>
      </c>
      <c r="L8" s="27"/>
    </row>
    <row r="9" spans="1:12" x14ac:dyDescent="0.5">
      <c r="A9" s="27" t="s">
        <v>54</v>
      </c>
      <c r="B9" s="28" t="s">
        <v>27</v>
      </c>
      <c r="C9" s="34">
        <v>0</v>
      </c>
      <c r="D9" s="34">
        <v>0</v>
      </c>
      <c r="E9" s="34">
        <v>0</v>
      </c>
      <c r="F9" s="22">
        <f>0.3857*2</f>
        <v>0.77139999999999997</v>
      </c>
      <c r="G9" s="22">
        <f>0.2741*2</f>
        <v>0.54820000000000002</v>
      </c>
      <c r="H9" s="34">
        <v>0</v>
      </c>
      <c r="I9" s="34">
        <v>0</v>
      </c>
      <c r="J9" s="35">
        <f t="shared" si="1"/>
        <v>0</v>
      </c>
      <c r="K9" s="35">
        <f t="shared" si="0"/>
        <v>0</v>
      </c>
      <c r="L9" s="27"/>
    </row>
    <row r="10" spans="1:12" x14ac:dyDescent="0.5">
      <c r="A10" s="27" t="s">
        <v>55</v>
      </c>
      <c r="B10" s="28" t="s">
        <v>28</v>
      </c>
      <c r="C10" s="32">
        <f>0.5571 *1.2 *1.1</f>
        <v>0.73537200000000003</v>
      </c>
      <c r="D10" s="32">
        <f>0.6116 *1.1</f>
        <v>0.67276000000000014</v>
      </c>
      <c r="E10" s="32">
        <f>0.6222 *1.1</f>
        <v>0.68442000000000003</v>
      </c>
      <c r="F10" s="32">
        <f>0.8949 *1.1</f>
        <v>0.9843900000000001</v>
      </c>
      <c r="G10" s="32">
        <f>0.2454 *1.4</f>
        <v>0.34355999999999998</v>
      </c>
      <c r="H10" s="32">
        <f>0.821 *1.1</f>
        <v>0.90310000000000001</v>
      </c>
      <c r="I10" s="32">
        <f>0.5166 *1.1</f>
        <v>0.56825999999999999</v>
      </c>
      <c r="J10" s="33">
        <f t="shared" si="1"/>
        <v>0.56825999999999999</v>
      </c>
      <c r="K10" s="33">
        <f t="shared" si="0"/>
        <v>0.56825999999999999</v>
      </c>
      <c r="L10" s="27"/>
    </row>
    <row r="11" spans="1:12" x14ac:dyDescent="0.5">
      <c r="A11" s="27" t="s">
        <v>56</v>
      </c>
      <c r="B11" s="28" t="s">
        <v>29</v>
      </c>
      <c r="C11" s="32">
        <f>1.4453</f>
        <v>1.4453</v>
      </c>
      <c r="D11" s="32">
        <f>0.7928</f>
        <v>0.79279999999999995</v>
      </c>
      <c r="E11" s="32">
        <f>0.9748</f>
        <v>0.9748</v>
      </c>
      <c r="F11" s="32">
        <f>1.4099 *1.2</f>
        <v>1.6918799999999998</v>
      </c>
      <c r="G11" s="32">
        <f>0.4144</f>
        <v>0.41439999999999999</v>
      </c>
      <c r="H11" s="32">
        <f>0.6852</f>
        <v>0.68520000000000003</v>
      </c>
      <c r="I11" s="32">
        <f>0.9326</f>
        <v>0.93259999999999998</v>
      </c>
      <c r="J11" s="33">
        <f t="shared" si="1"/>
        <v>0.93259999999999998</v>
      </c>
      <c r="K11" s="33">
        <f t="shared" si="0"/>
        <v>0.93259999999999998</v>
      </c>
      <c r="L11" s="27"/>
    </row>
    <row r="12" spans="1:12" x14ac:dyDescent="0.5">
      <c r="A12" s="27" t="s">
        <v>57</v>
      </c>
      <c r="B12" s="28" t="s">
        <v>30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2">
        <f>0.07761</f>
        <v>7.7609999999999998E-2</v>
      </c>
      <c r="I12" s="34">
        <v>0</v>
      </c>
      <c r="J12" s="35">
        <f t="shared" si="1"/>
        <v>0</v>
      </c>
      <c r="K12" s="35">
        <f t="shared" si="0"/>
        <v>0</v>
      </c>
      <c r="L12" s="27"/>
    </row>
    <row r="13" spans="1:12" x14ac:dyDescent="0.5">
      <c r="A13" s="27" t="s">
        <v>58</v>
      </c>
      <c r="B13" s="28" t="s">
        <v>31</v>
      </c>
      <c r="C13" s="34">
        <v>0</v>
      </c>
      <c r="D13" s="34">
        <v>0</v>
      </c>
      <c r="E13" s="22">
        <f>0.3766 *2</f>
        <v>0.75319999999999998</v>
      </c>
      <c r="F13" s="22">
        <f>(0.1856 + 0.343) * 1.8</f>
        <v>0.95147999999999999</v>
      </c>
      <c r="G13" s="22">
        <f>0.082 *1.8</f>
        <v>0.14760000000000001</v>
      </c>
      <c r="H13" s="34">
        <v>0</v>
      </c>
      <c r="I13" s="34">
        <v>0</v>
      </c>
      <c r="J13" s="35">
        <f t="shared" si="1"/>
        <v>0</v>
      </c>
      <c r="K13" s="35">
        <f t="shared" si="0"/>
        <v>0</v>
      </c>
      <c r="L13" s="27"/>
    </row>
    <row r="14" spans="1:12" x14ac:dyDescent="0.5">
      <c r="A14" s="27" t="s">
        <v>59</v>
      </c>
      <c r="B14" s="28" t="s">
        <v>32</v>
      </c>
      <c r="C14" s="22">
        <f>0.6953*2</f>
        <v>1.3906000000000001</v>
      </c>
      <c r="D14" s="22">
        <f>0.0454*2</f>
        <v>9.0800000000000006E-2</v>
      </c>
      <c r="E14" s="22">
        <f>0.4476*3</f>
        <v>1.3428</v>
      </c>
      <c r="F14" s="22">
        <f>0.343*2</f>
        <v>0.68600000000000005</v>
      </c>
      <c r="G14" s="22">
        <f>0.1166*2</f>
        <v>0.23319999999999999</v>
      </c>
      <c r="H14" s="22">
        <f>0.09892 *2</f>
        <v>0.19783999999999999</v>
      </c>
      <c r="I14" s="22">
        <f>0.00777*11</f>
        <v>8.5470000000000004E-2</v>
      </c>
      <c r="J14" s="38">
        <f t="shared" si="1"/>
        <v>8.5470000000000004E-2</v>
      </c>
      <c r="K14" s="38">
        <f t="shared" si="0"/>
        <v>8.5470000000000004E-2</v>
      </c>
      <c r="L14" s="27"/>
    </row>
    <row r="15" spans="1:12" x14ac:dyDescent="0.5">
      <c r="A15" s="27" t="s">
        <v>60</v>
      </c>
      <c r="B15" s="28" t="s">
        <v>33</v>
      </c>
      <c r="C15" s="22">
        <f>0.6953</f>
        <v>0.69530000000000003</v>
      </c>
      <c r="D15" s="22">
        <f>0.2562</f>
        <v>0.25619999999999998</v>
      </c>
      <c r="E15" s="22">
        <f>0.5968</f>
        <v>0.5968</v>
      </c>
      <c r="F15" s="22">
        <f>0.9881</f>
        <v>0.98809999999999998</v>
      </c>
      <c r="G15" s="22">
        <f>0.366</f>
        <v>0.36599999999999999</v>
      </c>
      <c r="H15" s="22">
        <f>0.6587 *1.5</f>
        <v>0.98804999999999987</v>
      </c>
      <c r="I15" s="22">
        <f>0.098474</f>
        <v>9.8474000000000006E-2</v>
      </c>
      <c r="J15" s="38">
        <f t="shared" si="1"/>
        <v>9.8474000000000006E-2</v>
      </c>
      <c r="K15" s="38">
        <f t="shared" si="0"/>
        <v>9.8474000000000006E-2</v>
      </c>
      <c r="L15" s="27"/>
    </row>
    <row r="16" spans="1:12" x14ac:dyDescent="0.5">
      <c r="A16" s="27" t="s">
        <v>61</v>
      </c>
      <c r="B16" s="28" t="s">
        <v>34</v>
      </c>
      <c r="C16" s="22">
        <v>39.340000000000003</v>
      </c>
      <c r="D16" s="22">
        <v>39.340000000000003</v>
      </c>
      <c r="E16" s="22">
        <v>39.340000000000003</v>
      </c>
      <c r="F16" s="22">
        <v>39.340000000000003</v>
      </c>
      <c r="G16" s="22">
        <v>39.340000000000003</v>
      </c>
      <c r="H16" s="22">
        <v>39.340000000000003</v>
      </c>
      <c r="I16" s="22">
        <v>39.340000000000003</v>
      </c>
      <c r="J16" s="38">
        <f t="shared" si="1"/>
        <v>39.340000000000003</v>
      </c>
      <c r="K16" s="38">
        <f t="shared" si="0"/>
        <v>39.340000000000003</v>
      </c>
      <c r="L16" s="27"/>
    </row>
    <row r="17" spans="1:12" x14ac:dyDescent="0.5">
      <c r="A17" s="27" t="s">
        <v>62</v>
      </c>
      <c r="B17" s="28" t="s">
        <v>35</v>
      </c>
      <c r="C17" s="32">
        <v>0.01</v>
      </c>
      <c r="D17" s="32">
        <v>0.01</v>
      </c>
      <c r="E17" s="32">
        <v>0.01</v>
      </c>
      <c r="F17" s="32">
        <v>0.01</v>
      </c>
      <c r="G17" s="32">
        <v>0.01</v>
      </c>
      <c r="H17" s="32">
        <v>0.01</v>
      </c>
      <c r="I17" s="22">
        <v>0.01</v>
      </c>
      <c r="J17" s="38">
        <f t="shared" si="1"/>
        <v>0.01</v>
      </c>
      <c r="K17" s="38">
        <f t="shared" si="0"/>
        <v>0.01</v>
      </c>
      <c r="L17" s="27"/>
    </row>
    <row r="18" spans="1:12" x14ac:dyDescent="0.5">
      <c r="A18" s="27" t="s">
        <v>63</v>
      </c>
      <c r="B18" s="28" t="s">
        <v>36</v>
      </c>
      <c r="C18" s="32">
        <v>0.01</v>
      </c>
      <c r="D18" s="32">
        <v>0.01</v>
      </c>
      <c r="E18" s="32">
        <v>0.01</v>
      </c>
      <c r="F18" s="32">
        <v>0.01</v>
      </c>
      <c r="G18" s="32">
        <v>0.01</v>
      </c>
      <c r="H18" s="32">
        <v>0.01</v>
      </c>
      <c r="I18" s="22">
        <v>0.01</v>
      </c>
      <c r="J18" s="38">
        <f t="shared" si="1"/>
        <v>0.01</v>
      </c>
      <c r="K18" s="38">
        <f t="shared" si="0"/>
        <v>0.01</v>
      </c>
      <c r="L18" s="27"/>
    </row>
    <row r="19" spans="1:12" x14ac:dyDescent="0.5">
      <c r="A19" s="27" t="s">
        <v>64</v>
      </c>
      <c r="B19" s="28" t="s">
        <v>38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22">
        <f>0.0155 * 4</f>
        <v>6.2E-2</v>
      </c>
      <c r="J19" s="38">
        <f t="shared" si="1"/>
        <v>6.2E-2</v>
      </c>
      <c r="K19" s="38">
        <f t="shared" si="0"/>
        <v>6.2E-2</v>
      </c>
      <c r="L19" s="27"/>
    </row>
    <row r="20" spans="1:12" x14ac:dyDescent="0.5">
      <c r="A20" s="27" t="s">
        <v>65</v>
      </c>
      <c r="B20" s="28" t="s">
        <v>37</v>
      </c>
      <c r="C20" s="34">
        <v>0</v>
      </c>
      <c r="D20" s="34">
        <v>0</v>
      </c>
      <c r="E20" s="34">
        <v>0</v>
      </c>
      <c r="F20" s="32">
        <f>0.0806 *0.5</f>
        <v>4.0300000000000002E-2</v>
      </c>
      <c r="G20" s="32">
        <f>0.0368*0.5</f>
        <v>1.84E-2</v>
      </c>
      <c r="H20" s="34">
        <v>0</v>
      </c>
      <c r="I20" s="34">
        <v>0</v>
      </c>
      <c r="J20" s="35">
        <f t="shared" si="1"/>
        <v>0</v>
      </c>
      <c r="K20" s="35">
        <f t="shared" si="0"/>
        <v>0</v>
      </c>
      <c r="L20" s="27"/>
    </row>
    <row r="21" spans="1:12" x14ac:dyDescent="0.5">
      <c r="A21" s="27" t="s">
        <v>66</v>
      </c>
      <c r="B21" s="28" t="s">
        <v>39</v>
      </c>
      <c r="C21" s="34">
        <v>0</v>
      </c>
      <c r="D21" s="34">
        <v>0</v>
      </c>
      <c r="E21" s="34">
        <v>0</v>
      </c>
      <c r="F21" s="32">
        <f>0.0213</f>
        <v>2.1299999999999999E-2</v>
      </c>
      <c r="G21" s="34">
        <v>0</v>
      </c>
      <c r="H21" s="34">
        <v>0</v>
      </c>
      <c r="I21" s="34">
        <v>0</v>
      </c>
      <c r="J21" s="35">
        <f t="shared" si="1"/>
        <v>0</v>
      </c>
      <c r="K21" s="35">
        <f t="shared" si="0"/>
        <v>0</v>
      </c>
      <c r="L21" s="27"/>
    </row>
    <row r="22" spans="1:12" x14ac:dyDescent="0.5">
      <c r="A22" s="27" t="s">
        <v>67</v>
      </c>
      <c r="B22" s="28" t="s">
        <v>40</v>
      </c>
      <c r="C22" s="34">
        <v>0</v>
      </c>
      <c r="D22" s="32">
        <f>0.0032*4</f>
        <v>1.2800000000000001E-2</v>
      </c>
      <c r="E22" s="34">
        <v>0</v>
      </c>
      <c r="F22" s="34">
        <v>0</v>
      </c>
      <c r="G22" s="34">
        <v>0</v>
      </c>
      <c r="H22" s="32">
        <f>0.0032*4</f>
        <v>1.2800000000000001E-2</v>
      </c>
      <c r="I22" s="32">
        <f>1.7897 *1.2</f>
        <v>2.14764</v>
      </c>
      <c r="J22" s="33">
        <f>I22 *1.5</f>
        <v>3.22146</v>
      </c>
      <c r="K22" s="33">
        <f t="shared" si="0"/>
        <v>1.07382</v>
      </c>
      <c r="L22" s="27"/>
    </row>
    <row r="23" spans="1:12" x14ac:dyDescent="0.5">
      <c r="A23" s="27" t="s">
        <v>68</v>
      </c>
      <c r="B23" s="28" t="s">
        <v>41</v>
      </c>
      <c r="C23" s="34">
        <v>0</v>
      </c>
      <c r="D23" s="22">
        <f>0.02645*2</f>
        <v>5.2900000000000003E-2</v>
      </c>
      <c r="E23" s="22">
        <f>0.0213*3</f>
        <v>6.3899999999999998E-2</v>
      </c>
      <c r="F23" s="32">
        <v>0.3</v>
      </c>
      <c r="G23" s="32">
        <f>0.0356*2</f>
        <v>7.1199999999999999E-2</v>
      </c>
      <c r="H23" s="22">
        <f>0.08004*2</f>
        <v>0.16008</v>
      </c>
      <c r="I23" s="22">
        <f>0.01296*2</f>
        <v>2.5919999999999999E-2</v>
      </c>
      <c r="J23" s="38">
        <f t="shared" si="1"/>
        <v>2.5919999999999999E-2</v>
      </c>
      <c r="K23" s="38">
        <f t="shared" si="0"/>
        <v>2.5919999999999999E-2</v>
      </c>
      <c r="L23" s="27"/>
    </row>
    <row r="24" spans="1:12" x14ac:dyDescent="0.5">
      <c r="A24" s="27" t="s">
        <v>69</v>
      </c>
      <c r="B24" s="28" t="s">
        <v>42</v>
      </c>
      <c r="C24" s="34">
        <v>0</v>
      </c>
      <c r="D24" s="34">
        <v>0</v>
      </c>
      <c r="E24" s="34">
        <v>0</v>
      </c>
      <c r="F24" s="32">
        <f>0.3 *1.3</f>
        <v>0.39</v>
      </c>
      <c r="G24" s="34">
        <v>0</v>
      </c>
      <c r="H24" s="34">
        <v>0</v>
      </c>
      <c r="I24" s="22">
        <f>0.01296*2 *1.3</f>
        <v>3.3695999999999997E-2</v>
      </c>
      <c r="J24" s="38">
        <f t="shared" si="1"/>
        <v>3.3695999999999997E-2</v>
      </c>
      <c r="K24" s="38">
        <f t="shared" si="0"/>
        <v>3.3695999999999997E-2</v>
      </c>
      <c r="L24" s="27"/>
    </row>
    <row r="25" spans="1:12" x14ac:dyDescent="0.5">
      <c r="A25" s="27" t="s">
        <v>70</v>
      </c>
      <c r="B25" s="28" t="s">
        <v>43</v>
      </c>
      <c r="C25" s="32">
        <v>1</v>
      </c>
      <c r="D25" s="36">
        <v>2.562E-2</v>
      </c>
      <c r="E25" s="34">
        <v>0</v>
      </c>
      <c r="F25" s="34">
        <v>0</v>
      </c>
      <c r="G25" s="34">
        <v>0</v>
      </c>
      <c r="H25" s="32">
        <v>6.5869999999999998E-2</v>
      </c>
      <c r="I25" s="34">
        <v>0</v>
      </c>
      <c r="J25" s="35">
        <f t="shared" si="1"/>
        <v>0</v>
      </c>
      <c r="K25" s="35">
        <f t="shared" si="0"/>
        <v>0</v>
      </c>
      <c r="L25" s="27"/>
    </row>
    <row r="26" spans="1:12" x14ac:dyDescent="0.5">
      <c r="A26" s="27" t="s">
        <v>71</v>
      </c>
      <c r="B26" s="28" t="s">
        <v>44</v>
      </c>
      <c r="C26" s="34">
        <v>0</v>
      </c>
      <c r="D26" s="34">
        <v>0</v>
      </c>
      <c r="E26" s="34">
        <v>0</v>
      </c>
      <c r="F26" s="32">
        <v>1</v>
      </c>
      <c r="G26" s="34">
        <v>0</v>
      </c>
      <c r="H26" s="34">
        <v>0</v>
      </c>
      <c r="I26" s="34">
        <v>0</v>
      </c>
      <c r="J26" s="35">
        <f t="shared" si="1"/>
        <v>0</v>
      </c>
      <c r="K26" s="35">
        <f t="shared" si="0"/>
        <v>0</v>
      </c>
      <c r="L26" s="27"/>
    </row>
    <row r="27" spans="1:12" x14ac:dyDescent="0.5">
      <c r="A27" s="27" t="s">
        <v>72</v>
      </c>
      <c r="B27" s="28" t="s">
        <v>45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2">
        <f>1.92</f>
        <v>1.92</v>
      </c>
      <c r="I27" s="34">
        <v>0</v>
      </c>
      <c r="J27" s="35">
        <f t="shared" si="1"/>
        <v>0</v>
      </c>
      <c r="K27" s="35">
        <f t="shared" si="0"/>
        <v>0</v>
      </c>
      <c r="L27" s="27"/>
    </row>
    <row r="28" spans="1:12" x14ac:dyDescent="0.5">
      <c r="A28" s="27" t="s">
        <v>73</v>
      </c>
      <c r="B28" s="28" t="s">
        <v>46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2">
        <f>2.4 *0.9</f>
        <v>2.16</v>
      </c>
      <c r="I28" s="34">
        <v>0</v>
      </c>
      <c r="J28" s="35">
        <f t="shared" si="1"/>
        <v>0</v>
      </c>
      <c r="K28" s="35">
        <f t="shared" si="0"/>
        <v>0</v>
      </c>
      <c r="L28" s="27"/>
    </row>
    <row r="29" spans="1:12" x14ac:dyDescent="0.5">
      <c r="A29" s="27" t="s">
        <v>74</v>
      </c>
      <c r="B29" s="28" t="s">
        <v>78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2">
        <f>0.3578 *1.5</f>
        <v>0.53669999999999995</v>
      </c>
      <c r="J29" s="33">
        <f>I29 * 0.8</f>
        <v>0.42935999999999996</v>
      </c>
      <c r="K29" s="33">
        <f>I29+(I29-J29)</f>
        <v>0.64403999999999995</v>
      </c>
      <c r="L29" s="37"/>
    </row>
    <row r="30" spans="1:12" x14ac:dyDescent="0.5">
      <c r="A30" s="27" t="s">
        <v>75</v>
      </c>
      <c r="B30" s="28" t="s">
        <v>79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22">
        <f>0.3158 *1</f>
        <v>0.31580000000000003</v>
      </c>
      <c r="J30" s="38">
        <f>I30 *1.1</f>
        <v>0.34738000000000008</v>
      </c>
      <c r="K30" s="38">
        <f t="shared" ref="K30:K32" si="2">I30+(I30-J30)</f>
        <v>0.28421999999999997</v>
      </c>
      <c r="L30" s="37"/>
    </row>
    <row r="31" spans="1:12" x14ac:dyDescent="0.5">
      <c r="A31" s="27" t="s">
        <v>76</v>
      </c>
      <c r="B31" s="28" t="s">
        <v>80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5">
        <f t="shared" si="1"/>
        <v>0</v>
      </c>
      <c r="K31" s="35">
        <f t="shared" si="2"/>
        <v>0</v>
      </c>
      <c r="L31" s="27"/>
    </row>
    <row r="32" spans="1:12" x14ac:dyDescent="0.5">
      <c r="A32" s="27" t="s">
        <v>77</v>
      </c>
      <c r="B32" s="28" t="s">
        <v>81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f t="shared" si="1"/>
        <v>0</v>
      </c>
      <c r="K32" s="34">
        <f t="shared" si="2"/>
        <v>0</v>
      </c>
      <c r="L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A5DA-CC06-444A-8E6D-2FFD85EE525C}">
  <dimension ref="A1:N33"/>
  <sheetViews>
    <sheetView zoomScale="84" zoomScaleNormal="84" workbookViewId="0">
      <pane ySplit="1" topLeftCell="A2" activePane="bottomLeft" state="frozen"/>
      <selection pane="bottomLeft" activeCell="J38" sqref="J38"/>
    </sheetView>
  </sheetViews>
  <sheetFormatPr defaultRowHeight="14.35" x14ac:dyDescent="0.5"/>
  <cols>
    <col min="1" max="1" width="11.703125" bestFit="1" customWidth="1"/>
    <col min="2" max="2" width="25.234375" customWidth="1"/>
    <col min="3" max="9" width="9.5859375" customWidth="1"/>
    <col min="10" max="10" width="12.703125" bestFit="1" customWidth="1"/>
    <col min="11" max="11" width="12.41015625" bestFit="1" customWidth="1"/>
    <col min="14" max="14" width="31.5859375" bestFit="1" customWidth="1"/>
  </cols>
  <sheetData>
    <row r="1" spans="1:11" x14ac:dyDescent="0.5">
      <c r="A1" s="8" t="s">
        <v>92</v>
      </c>
      <c r="B1" s="7" t="s">
        <v>18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8" t="s">
        <v>89</v>
      </c>
      <c r="J1" s="8" t="s">
        <v>96</v>
      </c>
      <c r="K1" s="8" t="s">
        <v>97</v>
      </c>
    </row>
    <row r="2" spans="1:11" x14ac:dyDescent="0.5">
      <c r="A2" t="s">
        <v>47</v>
      </c>
      <c r="B2" s="2" t="s">
        <v>20</v>
      </c>
      <c r="C2" s="16">
        <v>0</v>
      </c>
      <c r="D2" s="16">
        <v>0</v>
      </c>
      <c r="E2" s="16">
        <v>0</v>
      </c>
      <c r="F2" s="17">
        <f>4.2422*0.6</f>
        <v>2.5453200000000002</v>
      </c>
      <c r="G2" s="16">
        <v>0</v>
      </c>
      <c r="H2" s="17">
        <f>2.1557*0.8</f>
        <v>1.7245600000000001</v>
      </c>
      <c r="I2" s="17">
        <f>0.6352*0.8</f>
        <v>0.50816000000000006</v>
      </c>
      <c r="J2" s="10">
        <f>$I2</f>
        <v>0.50816000000000006</v>
      </c>
      <c r="K2" s="10">
        <f>I2+(I2-J2)</f>
        <v>0.50816000000000006</v>
      </c>
    </row>
    <row r="3" spans="1:11" x14ac:dyDescent="0.5">
      <c r="A3" t="s">
        <v>48</v>
      </c>
      <c r="B3" s="2" t="s">
        <v>21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</row>
    <row r="4" spans="1:11" x14ac:dyDescent="0.5">
      <c r="A4" t="s">
        <v>49</v>
      </c>
      <c r="B4" s="2" t="s">
        <v>22</v>
      </c>
      <c r="C4" s="16">
        <v>0</v>
      </c>
      <c r="D4" s="16">
        <v>0</v>
      </c>
      <c r="E4" s="16">
        <v>0</v>
      </c>
      <c r="F4" s="17">
        <f>3</f>
        <v>3</v>
      </c>
      <c r="G4" s="16">
        <v>0</v>
      </c>
      <c r="H4" s="17">
        <f>0.1</f>
        <v>0.1</v>
      </c>
      <c r="I4" s="16">
        <v>0</v>
      </c>
      <c r="J4" s="16">
        <v>0</v>
      </c>
      <c r="K4" s="16">
        <v>0</v>
      </c>
    </row>
    <row r="5" spans="1:11" x14ac:dyDescent="0.5">
      <c r="A5" t="s">
        <v>50</v>
      </c>
      <c r="B5" s="2" t="s">
        <v>23</v>
      </c>
      <c r="C5" s="16">
        <v>0</v>
      </c>
      <c r="D5" s="16">
        <v>0</v>
      </c>
      <c r="E5" s="16">
        <v>0</v>
      </c>
      <c r="F5" s="17">
        <v>0.5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</row>
    <row r="6" spans="1:11" x14ac:dyDescent="0.5">
      <c r="A6" t="s">
        <v>51</v>
      </c>
      <c r="B6" s="2" t="s">
        <v>24</v>
      </c>
      <c r="C6" s="16">
        <v>0</v>
      </c>
      <c r="D6" s="16">
        <v>0</v>
      </c>
      <c r="E6" s="16">
        <v>0</v>
      </c>
      <c r="F6" s="17">
        <f>2*0.5</f>
        <v>1</v>
      </c>
      <c r="G6" s="16">
        <v>0</v>
      </c>
      <c r="H6" s="17">
        <f>3</f>
        <v>3</v>
      </c>
      <c r="I6" s="16">
        <v>0</v>
      </c>
      <c r="J6" s="16">
        <v>0</v>
      </c>
      <c r="K6" s="16">
        <v>0</v>
      </c>
    </row>
    <row r="7" spans="1:11" x14ac:dyDescent="0.5">
      <c r="A7" t="s">
        <v>52</v>
      </c>
      <c r="B7" s="2" t="s">
        <v>25</v>
      </c>
      <c r="C7" s="16">
        <v>0</v>
      </c>
      <c r="D7" s="16">
        <v>0</v>
      </c>
      <c r="E7" s="16">
        <v>0</v>
      </c>
      <c r="F7" s="17">
        <v>0.5</v>
      </c>
      <c r="G7" s="16">
        <v>0</v>
      </c>
      <c r="H7" s="17">
        <v>0.2</v>
      </c>
      <c r="I7" s="16">
        <v>0</v>
      </c>
      <c r="J7" s="16">
        <v>0</v>
      </c>
      <c r="K7" s="16">
        <v>0</v>
      </c>
    </row>
    <row r="8" spans="1:11" x14ac:dyDescent="0.5">
      <c r="A8" t="s">
        <v>53</v>
      </c>
      <c r="B8" s="2" t="s">
        <v>26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</row>
    <row r="9" spans="1:11" x14ac:dyDescent="0.5">
      <c r="A9" t="s">
        <v>54</v>
      </c>
      <c r="B9" s="2" t="s">
        <v>27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</row>
    <row r="10" spans="1:11" x14ac:dyDescent="0.5">
      <c r="A10" t="s">
        <v>55</v>
      </c>
      <c r="B10" s="2" t="s">
        <v>28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</row>
    <row r="11" spans="1:11" x14ac:dyDescent="0.5">
      <c r="A11" t="s">
        <v>56</v>
      </c>
      <c r="B11" s="2" t="s">
        <v>29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</row>
    <row r="12" spans="1:11" x14ac:dyDescent="0.5">
      <c r="A12" t="s">
        <v>57</v>
      </c>
      <c r="B12" s="2" t="s">
        <v>30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</row>
    <row r="13" spans="1:11" x14ac:dyDescent="0.5">
      <c r="A13" t="s">
        <v>58</v>
      </c>
      <c r="B13" s="2" t="s">
        <v>31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</row>
    <row r="14" spans="1:11" x14ac:dyDescent="0.5">
      <c r="A14" t="s">
        <v>59</v>
      </c>
      <c r="B14" s="2" t="s">
        <v>32</v>
      </c>
      <c r="C14" s="16">
        <v>0</v>
      </c>
      <c r="D14" s="16">
        <v>0</v>
      </c>
      <c r="E14" s="16">
        <v>0</v>
      </c>
      <c r="F14" s="17">
        <f>3</f>
        <v>3</v>
      </c>
      <c r="G14" s="16">
        <v>0</v>
      </c>
      <c r="H14" s="17">
        <f>0.5*0.05</f>
        <v>2.5000000000000001E-2</v>
      </c>
      <c r="I14" s="16">
        <v>0</v>
      </c>
      <c r="J14" s="16">
        <v>0</v>
      </c>
      <c r="K14" s="16">
        <v>0</v>
      </c>
    </row>
    <row r="15" spans="1:11" x14ac:dyDescent="0.5">
      <c r="A15" t="s">
        <v>60</v>
      </c>
      <c r="B15" s="2" t="s">
        <v>33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</row>
    <row r="16" spans="1:11" x14ac:dyDescent="0.5">
      <c r="A16" t="s">
        <v>61</v>
      </c>
      <c r="B16" s="2" t="s">
        <v>34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</row>
    <row r="17" spans="1:14" x14ac:dyDescent="0.5">
      <c r="A17" t="s">
        <v>62</v>
      </c>
      <c r="B17" s="2" t="s">
        <v>35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</row>
    <row r="18" spans="1:14" x14ac:dyDescent="0.5">
      <c r="A18" t="s">
        <v>63</v>
      </c>
      <c r="B18" s="2" t="s">
        <v>36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</row>
    <row r="19" spans="1:14" x14ac:dyDescent="0.5">
      <c r="A19" t="s">
        <v>64</v>
      </c>
      <c r="B19" s="2" t="s">
        <v>38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</row>
    <row r="20" spans="1:14" x14ac:dyDescent="0.5">
      <c r="A20" t="s">
        <v>65</v>
      </c>
      <c r="B20" s="2" t="s">
        <v>37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</row>
    <row r="21" spans="1:14" x14ac:dyDescent="0.5">
      <c r="A21" t="s">
        <v>66</v>
      </c>
      <c r="B21" s="2" t="s">
        <v>39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</row>
    <row r="22" spans="1:14" x14ac:dyDescent="0.5">
      <c r="A22" t="s">
        <v>67</v>
      </c>
      <c r="B22" s="2" t="s">
        <v>40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7">
        <f>4*0.06</f>
        <v>0.24</v>
      </c>
      <c r="J22" s="29">
        <f t="shared" ref="J3:J32" si="0">$I22</f>
        <v>0.24</v>
      </c>
      <c r="K22" s="29">
        <f t="shared" ref="K3:K32" si="1">I22+(I22-J22)</f>
        <v>0.24</v>
      </c>
    </row>
    <row r="23" spans="1:14" x14ac:dyDescent="0.5">
      <c r="A23" t="s">
        <v>68</v>
      </c>
      <c r="B23" s="2" t="s">
        <v>41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N23" s="15"/>
    </row>
    <row r="24" spans="1:14" x14ac:dyDescent="0.5">
      <c r="A24" t="s">
        <v>69</v>
      </c>
      <c r="B24" s="2" t="s">
        <v>42</v>
      </c>
      <c r="C24" s="16">
        <v>0</v>
      </c>
      <c r="D24" s="16">
        <v>0</v>
      </c>
      <c r="E24" s="16">
        <v>0</v>
      </c>
      <c r="F24" s="17">
        <f>3*0.2</f>
        <v>0.60000000000000009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N24" s="14"/>
    </row>
    <row r="25" spans="1:14" x14ac:dyDescent="0.5">
      <c r="A25" t="s">
        <v>70</v>
      </c>
      <c r="B25" s="2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</row>
    <row r="26" spans="1:14" x14ac:dyDescent="0.5">
      <c r="A26" t="s">
        <v>71</v>
      </c>
      <c r="B26" s="2" t="s">
        <v>44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</row>
    <row r="27" spans="1:14" x14ac:dyDescent="0.5">
      <c r="A27" t="s">
        <v>72</v>
      </c>
      <c r="B27" s="2" t="s">
        <v>45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7">
        <f>4*0.33</f>
        <v>1.32</v>
      </c>
      <c r="I27" s="16">
        <v>0</v>
      </c>
      <c r="J27" s="16">
        <v>0</v>
      </c>
      <c r="K27" s="16">
        <v>0</v>
      </c>
    </row>
    <row r="28" spans="1:14" x14ac:dyDescent="0.5">
      <c r="A28" t="s">
        <v>73</v>
      </c>
      <c r="B28" s="2" t="s">
        <v>46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7">
        <f>0.25*0.5</f>
        <v>0.125</v>
      </c>
      <c r="I28" s="16">
        <v>0</v>
      </c>
      <c r="J28" s="16">
        <v>0</v>
      </c>
      <c r="K28" s="16">
        <v>0</v>
      </c>
    </row>
    <row r="29" spans="1:14" x14ac:dyDescent="0.5">
      <c r="A29" t="s">
        <v>74</v>
      </c>
      <c r="B29" s="2" t="s">
        <v>78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7">
        <f>2*0.5</f>
        <v>1</v>
      </c>
      <c r="J29" s="29">
        <f t="shared" si="0"/>
        <v>1</v>
      </c>
      <c r="K29" s="29">
        <f t="shared" si="1"/>
        <v>1</v>
      </c>
    </row>
    <row r="30" spans="1:14" x14ac:dyDescent="0.5">
      <c r="A30" t="s">
        <v>75</v>
      </c>
      <c r="B30" s="2" t="s">
        <v>79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7">
        <f>0.1</f>
        <v>0.1</v>
      </c>
      <c r="J30" s="29">
        <f t="shared" si="0"/>
        <v>0.1</v>
      </c>
      <c r="K30" s="29">
        <f t="shared" si="1"/>
        <v>0.1</v>
      </c>
    </row>
    <row r="31" spans="1:14" x14ac:dyDescent="0.5">
      <c r="A31" t="s">
        <v>76</v>
      </c>
      <c r="B31" s="2" t="s">
        <v>80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</row>
    <row r="32" spans="1:14" x14ac:dyDescent="0.5">
      <c r="A32" t="s">
        <v>77</v>
      </c>
      <c r="B32" s="2" t="s">
        <v>81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</row>
    <row r="33" spans="3:11" x14ac:dyDescent="0.5">
      <c r="C33" s="1"/>
      <c r="D33" s="1"/>
      <c r="E33" s="1"/>
      <c r="F33" s="1"/>
      <c r="G33" s="1"/>
      <c r="H33" s="1"/>
      <c r="I33" s="1"/>
      <c r="J33" s="1"/>
      <c r="K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stoichiometric_matrix</vt:lpstr>
      <vt:lpstr>tissue_reactions</vt:lpstr>
      <vt:lpstr>circulating_metabolites</vt:lpstr>
      <vt:lpstr>Km</vt:lpstr>
      <vt:lpstr>Vm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Rossen</dc:creator>
  <cp:lastModifiedBy>Anne Rossen</cp:lastModifiedBy>
  <dcterms:created xsi:type="dcterms:W3CDTF">2025-02-10T20:07:48Z</dcterms:created>
  <dcterms:modified xsi:type="dcterms:W3CDTF">2025-06-20T23:03:58Z</dcterms:modified>
</cp:coreProperties>
</file>