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esktop\AR4-MK3\AR4-MK3 Documentation\"/>
    </mc:Choice>
  </mc:AlternateContent>
  <xr:revisionPtr revIDLastSave="0" documentId="13_ncr:1_{5AED1C65-F5E9-4A8F-95E5-FA19E871F0C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</sheets>
  <calcPr calcId="191029"/>
</workbook>
</file>

<file path=xl/calcChain.xml><?xml version="1.0" encoding="utf-8"?>
<calcChain xmlns="http://schemas.openxmlformats.org/spreadsheetml/2006/main">
  <c r="T18" i="1" l="1"/>
  <c r="Q40" i="1"/>
  <c r="N14" i="1"/>
  <c r="Q22" i="1" l="1"/>
  <c r="Q21" i="1"/>
  <c r="Q20" i="1"/>
  <c r="B16" i="1"/>
  <c r="C9" i="1"/>
  <c r="C6" i="1"/>
  <c r="B15" i="1" s="1"/>
  <c r="C5" i="1"/>
  <c r="B14" i="1" s="1"/>
  <c r="G15" i="2"/>
  <c r="D8" i="2"/>
  <c r="D17" i="2" s="1"/>
  <c r="D9" i="2"/>
  <c r="D21" i="2" s="1"/>
  <c r="D7" i="2"/>
  <c r="B11" i="2" s="1"/>
  <c r="B15" i="2" l="1"/>
  <c r="D15" i="2"/>
  <c r="H15" i="2" s="1"/>
  <c r="C11" i="2"/>
  <c r="C20" i="2"/>
  <c r="D20" i="2"/>
  <c r="B12" i="2"/>
  <c r="C12" i="2"/>
  <c r="C21" i="2"/>
  <c r="B17" i="2"/>
  <c r="N20" i="1"/>
  <c r="N26" i="1" s="1"/>
  <c r="O20" i="1"/>
  <c r="N27" i="1" s="1"/>
  <c r="P20" i="1"/>
  <c r="N28" i="1" s="1"/>
  <c r="N21" i="1"/>
  <c r="O26" i="1" s="1"/>
  <c r="O21" i="1"/>
  <c r="O27" i="1" s="1"/>
  <c r="P21" i="1"/>
  <c r="O28" i="1" s="1"/>
  <c r="N22" i="1"/>
  <c r="P26" i="1" s="1"/>
  <c r="O22" i="1"/>
  <c r="P27" i="1" s="1"/>
  <c r="P22" i="1"/>
  <c r="P28" i="1" s="1"/>
  <c r="E59" i="1"/>
  <c r="E58" i="1"/>
  <c r="E57" i="1"/>
  <c r="D59" i="1"/>
  <c r="C59" i="1"/>
  <c r="B59" i="1"/>
  <c r="D58" i="1"/>
  <c r="C58" i="1"/>
  <c r="B58" i="1"/>
  <c r="D57" i="1"/>
  <c r="C57" i="1"/>
  <c r="B57" i="1"/>
  <c r="Q26" i="1" l="1"/>
  <c r="Q28" i="1"/>
  <c r="Q27" i="1"/>
  <c r="H13" i="2"/>
  <c r="F15" i="2"/>
  <c r="F13" i="2"/>
  <c r="G14" i="2"/>
  <c r="H14" i="2"/>
  <c r="F14" i="2"/>
  <c r="G13" i="2"/>
  <c r="O49" i="1"/>
  <c r="F17" i="2" l="1" a="1"/>
  <c r="AA28" i="1"/>
  <c r="G18" i="2" l="1"/>
  <c r="H18" i="2"/>
  <c r="F19" i="2"/>
  <c r="F17" i="2"/>
  <c r="C24" i="2" s="1"/>
  <c r="D24" i="2" s="1"/>
  <c r="G19" i="2"/>
  <c r="G17" i="2"/>
  <c r="H19" i="2"/>
  <c r="H17" i="2"/>
  <c r="F18" i="2"/>
  <c r="T23" i="1"/>
  <c r="Y16" i="1"/>
  <c r="Z16" i="1"/>
  <c r="AA16" i="1"/>
  <c r="AA22" i="1"/>
  <c r="C4" i="1"/>
  <c r="B13" i="1" s="1"/>
  <c r="E53" i="1"/>
  <c r="E47" i="1"/>
  <c r="E41" i="1"/>
  <c r="E35" i="1"/>
  <c r="E29" i="1"/>
  <c r="E23" i="1"/>
  <c r="C18" i="1"/>
  <c r="C53" i="1" s="1"/>
  <c r="C17" i="1"/>
  <c r="D47" i="1" s="1"/>
  <c r="C16" i="1"/>
  <c r="D41" i="1" s="1"/>
  <c r="C15" i="1"/>
  <c r="C14" i="1"/>
  <c r="Z22" i="1" s="1"/>
  <c r="C13" i="1"/>
  <c r="D23" i="1" s="1"/>
  <c r="B18" i="1"/>
  <c r="E51" i="1" s="1"/>
  <c r="C8" i="1"/>
  <c r="B17" i="1" s="1"/>
  <c r="C7" i="1"/>
  <c r="E33" i="1"/>
  <c r="E28" i="1"/>
  <c r="C26" i="2" l="1"/>
  <c r="D26" i="2" s="1"/>
  <c r="C25" i="2"/>
  <c r="D25" i="2" s="1"/>
  <c r="D53" i="1"/>
  <c r="Y28" i="1"/>
  <c r="Z28" i="1"/>
  <c r="C35" i="1"/>
  <c r="Y22" i="1"/>
  <c r="C23" i="1"/>
  <c r="B27" i="1"/>
  <c r="B28" i="1"/>
  <c r="D27" i="1"/>
  <c r="E27" i="1"/>
  <c r="E46" i="1"/>
  <c r="C46" i="1"/>
  <c r="B46" i="1"/>
  <c r="C45" i="1"/>
  <c r="B45" i="1"/>
  <c r="E45" i="1"/>
  <c r="D46" i="1"/>
  <c r="D45" i="1"/>
  <c r="B22" i="1"/>
  <c r="E21" i="1"/>
  <c r="D21" i="1"/>
  <c r="C21" i="1"/>
  <c r="B21" i="1"/>
  <c r="E22" i="1"/>
  <c r="D22" i="1"/>
  <c r="C22" i="1"/>
  <c r="B40" i="1"/>
  <c r="C40" i="1"/>
  <c r="E39" i="1"/>
  <c r="D39" i="1"/>
  <c r="C39" i="1"/>
  <c r="E40" i="1"/>
  <c r="B39" i="1"/>
  <c r="D40" i="1"/>
  <c r="D33" i="1"/>
  <c r="C29" i="1"/>
  <c r="B34" i="1"/>
  <c r="C47" i="1"/>
  <c r="B52" i="1"/>
  <c r="D28" i="1"/>
  <c r="D51" i="1"/>
  <c r="D29" i="1"/>
  <c r="C34" i="1"/>
  <c r="C52" i="1"/>
  <c r="D34" i="1"/>
  <c r="D52" i="1"/>
  <c r="E34" i="1"/>
  <c r="E52" i="1"/>
  <c r="C27" i="1"/>
  <c r="D35" i="1"/>
  <c r="B33" i="1"/>
  <c r="C41" i="1"/>
  <c r="B51" i="1"/>
  <c r="C28" i="1"/>
  <c r="C33" i="1"/>
  <c r="C51" i="1"/>
  <c r="G24" i="1" l="1" a="1"/>
  <c r="J26" i="1" l="1"/>
  <c r="G25" i="1"/>
  <c r="H26" i="1"/>
  <c r="G26" i="1"/>
  <c r="J27" i="1"/>
  <c r="J24" i="1"/>
  <c r="I27" i="1"/>
  <c r="I24" i="1"/>
  <c r="I26" i="1"/>
  <c r="H27" i="1"/>
  <c r="H24" i="1"/>
  <c r="J25" i="1"/>
  <c r="G27" i="1"/>
  <c r="G24" i="1"/>
  <c r="I25" i="1"/>
  <c r="H25" i="1"/>
  <c r="G30" i="1" l="1" a="1"/>
  <c r="J31" i="1" l="1"/>
  <c r="G30" i="1"/>
  <c r="H31" i="1"/>
  <c r="G31" i="1"/>
  <c r="H33" i="1"/>
  <c r="H30" i="1"/>
  <c r="J32" i="1"/>
  <c r="I32" i="1"/>
  <c r="G33" i="1"/>
  <c r="H32" i="1"/>
  <c r="I31" i="1"/>
  <c r="J33" i="1"/>
  <c r="G32" i="1"/>
  <c r="J30" i="1"/>
  <c r="I33" i="1"/>
  <c r="I30" i="1"/>
  <c r="G36" i="1" l="1" a="1"/>
  <c r="J39" i="1" l="1"/>
  <c r="J36" i="1"/>
  <c r="I38" i="1"/>
  <c r="H39" i="1"/>
  <c r="H36" i="1"/>
  <c r="G39" i="1"/>
  <c r="G36" i="1"/>
  <c r="G38" i="1"/>
  <c r="H38" i="1"/>
  <c r="J37" i="1"/>
  <c r="I37" i="1"/>
  <c r="I39" i="1"/>
  <c r="H37" i="1"/>
  <c r="I36" i="1"/>
  <c r="G37" i="1"/>
  <c r="J38" i="1"/>
  <c r="G42" i="1" l="1" a="1"/>
  <c r="J44" i="1" s="1"/>
  <c r="G42" i="1" l="1"/>
  <c r="J45" i="1"/>
  <c r="H45" i="1"/>
  <c r="I42" i="1"/>
  <c r="I45" i="1"/>
  <c r="J42" i="1"/>
  <c r="H43" i="1"/>
  <c r="G44" i="1"/>
  <c r="G43" i="1"/>
  <c r="I44" i="1"/>
  <c r="J43" i="1"/>
  <c r="H44" i="1"/>
  <c r="G45" i="1"/>
  <c r="I43" i="1"/>
  <c r="H42" i="1"/>
  <c r="G48" i="1" l="1" a="1"/>
  <c r="G49" i="1" s="1"/>
  <c r="H49" i="1" l="1"/>
  <c r="J50" i="1"/>
  <c r="G48" i="1"/>
  <c r="H48" i="1"/>
  <c r="G50" i="1"/>
  <c r="I49" i="1"/>
  <c r="H51" i="1"/>
  <c r="J51" i="1"/>
  <c r="J48" i="1"/>
  <c r="J49" i="1"/>
  <c r="I48" i="1"/>
  <c r="I50" i="1"/>
  <c r="H50" i="1"/>
  <c r="I51" i="1"/>
  <c r="G51" i="1"/>
  <c r="G54" i="1" l="1" a="1"/>
  <c r="G57" i="1" s="1"/>
  <c r="G56" i="1" l="1"/>
  <c r="G55" i="1"/>
  <c r="I56" i="1"/>
  <c r="J54" i="1"/>
  <c r="E4" i="1" s="1"/>
  <c r="Q14" i="1" s="1"/>
  <c r="H57" i="1"/>
  <c r="H56" i="1"/>
  <c r="H55" i="1"/>
  <c r="J56" i="1"/>
  <c r="E6" i="1" s="1"/>
  <c r="Q16" i="1" s="1"/>
  <c r="H54" i="1"/>
  <c r="J57" i="1"/>
  <c r="G54" i="1"/>
  <c r="I57" i="1"/>
  <c r="I54" i="1"/>
  <c r="J55" i="1"/>
  <c r="E5" i="1" s="1"/>
  <c r="Q15" i="1" s="1"/>
  <c r="I55" i="1"/>
  <c r="F8" i="1" l="1"/>
  <c r="E8" i="1" s="1"/>
  <c r="N16" i="1" l="1"/>
  <c r="F9" i="1"/>
  <c r="E9" i="1" s="1"/>
  <c r="O16" i="1" s="1"/>
  <c r="F7" i="1"/>
  <c r="E7" i="1" s="1"/>
  <c r="O15" i="1" l="1"/>
  <c r="O14" i="1"/>
  <c r="P15" i="1"/>
  <c r="P14" i="1"/>
  <c r="N15" i="1"/>
  <c r="P16" i="1"/>
  <c r="N32" i="1" l="1" a="1"/>
  <c r="O32" i="1" l="1"/>
  <c r="Q33" i="1"/>
  <c r="P35" i="1"/>
  <c r="P34" i="1"/>
  <c r="Q35" i="1"/>
  <c r="O34" i="1"/>
  <c r="O33" i="1"/>
  <c r="O35" i="1"/>
  <c r="N32" i="1"/>
  <c r="Q34" i="1"/>
  <c r="N34" i="1"/>
  <c r="N33" i="1"/>
  <c r="N35" i="1"/>
  <c r="P32" i="1"/>
  <c r="P33" i="1"/>
  <c r="Q32" i="1"/>
  <c r="N44" i="1" l="1" a="1"/>
  <c r="N45" i="1" l="1"/>
  <c r="N47" i="1"/>
  <c r="P45" i="1"/>
  <c r="P44" i="1"/>
  <c r="Q45" i="1"/>
  <c r="O44" i="1"/>
  <c r="N46" i="1"/>
  <c r="O45" i="1"/>
  <c r="Q44" i="1"/>
  <c r="Q46" i="1"/>
  <c r="T19" i="1" s="1"/>
  <c r="P46" i="1"/>
  <c r="O47" i="1"/>
  <c r="N44" i="1"/>
  <c r="O46" i="1"/>
  <c r="Q47" i="1"/>
  <c r="P47" i="1"/>
  <c r="O52" i="1" l="1"/>
  <c r="Q4" i="1" s="1"/>
  <c r="AA15" i="1" l="1"/>
  <c r="AA14" i="1"/>
  <c r="Z14" i="1"/>
  <c r="Y14" i="1"/>
  <c r="Z15" i="1"/>
  <c r="X15" i="1"/>
  <c r="Y15" i="1"/>
  <c r="X14" i="1"/>
  <c r="T14" i="1"/>
  <c r="S14" i="1"/>
  <c r="T16" i="1" l="1"/>
  <c r="T17" i="1" s="1"/>
  <c r="T20" i="1"/>
  <c r="T21" i="1" l="1"/>
  <c r="T22" i="1"/>
  <c r="T25" i="1" l="1"/>
  <c r="Q6" i="1" s="1"/>
  <c r="T24" i="1"/>
  <c r="Q5" i="1" s="1"/>
  <c r="AA27" i="1" l="1"/>
  <c r="X26" i="1"/>
  <c r="Z27" i="1"/>
  <c r="AA26" i="1"/>
  <c r="X27" i="1"/>
  <c r="Z26" i="1"/>
  <c r="Y27" i="1"/>
  <c r="Y26" i="1"/>
  <c r="Z21" i="1"/>
  <c r="AA20" i="1"/>
  <c r="X20" i="1"/>
  <c r="Y20" i="1"/>
  <c r="X21" i="1"/>
  <c r="AA21" i="1"/>
  <c r="Z20" i="1"/>
  <c r="Y21" i="1"/>
  <c r="AC16" i="1" l="1" a="1"/>
  <c r="AD17" i="1" s="1"/>
  <c r="AE17" i="1" l="1"/>
  <c r="AC18" i="1"/>
  <c r="AF19" i="1"/>
  <c r="AC17" i="1"/>
  <c r="AF16" i="1"/>
  <c r="AD19" i="1"/>
  <c r="AF17" i="1"/>
  <c r="AF18" i="1"/>
  <c r="AC16" i="1"/>
  <c r="AE19" i="1"/>
  <c r="AC19" i="1"/>
  <c r="AD18" i="1"/>
  <c r="AE18" i="1"/>
  <c r="AE16" i="1"/>
  <c r="AD16" i="1"/>
  <c r="AC23" i="1" a="1"/>
  <c r="AD24" i="1" l="1"/>
  <c r="AD30" i="1" s="1"/>
  <c r="AF24" i="1"/>
  <c r="AE23" i="1"/>
  <c r="AC31" i="1" s="1"/>
  <c r="AC23" i="1"/>
  <c r="AC29" i="1" s="1"/>
  <c r="AF23" i="1"/>
  <c r="AC24" i="1"/>
  <c r="AD29" i="1" s="1"/>
  <c r="AE25" i="1"/>
  <c r="AE31" i="1" s="1"/>
  <c r="AD25" i="1"/>
  <c r="AE30" i="1" s="1"/>
  <c r="AF26" i="1"/>
  <c r="AE24" i="1"/>
  <c r="AD31" i="1" s="1"/>
  <c r="AE26" i="1"/>
  <c r="AC25" i="1"/>
  <c r="AE29" i="1" s="1"/>
  <c r="AF25" i="1"/>
  <c r="AD23" i="1"/>
  <c r="AC30" i="1" s="1"/>
  <c r="AD26" i="1"/>
  <c r="AC26" i="1"/>
  <c r="X33" i="1" l="1" a="1"/>
  <c r="X33" i="1" l="1"/>
  <c r="Z35" i="1"/>
  <c r="Q8" i="1" s="1"/>
  <c r="X35" i="1"/>
  <c r="Y35" i="1"/>
  <c r="Z34" i="1"/>
  <c r="Z33" i="1"/>
  <c r="Y33" i="1"/>
  <c r="X34" i="1"/>
  <c r="Y34" i="1"/>
  <c r="Q7" i="1" l="1"/>
  <c r="Q9" i="1"/>
</calcChain>
</file>

<file path=xl/sharedStrings.xml><?xml version="1.0" encoding="utf-8"?>
<sst xmlns="http://schemas.openxmlformats.org/spreadsheetml/2006/main" count="109" uniqueCount="75">
  <si>
    <t>joint</t>
  </si>
  <si>
    <t>d</t>
  </si>
  <si>
    <t>a</t>
  </si>
  <si>
    <t>J1</t>
  </si>
  <si>
    <t>J2</t>
  </si>
  <si>
    <t>J3</t>
  </si>
  <si>
    <t>J4</t>
  </si>
  <si>
    <t>J5</t>
  </si>
  <si>
    <t>J6</t>
  </si>
  <si>
    <t>degrees</t>
  </si>
  <si>
    <t>radians</t>
  </si>
  <si>
    <t>INVERSE KINAMATICS</t>
  </si>
  <si>
    <t>FORWARD KINAMATICS</t>
  </si>
  <si>
    <t>IN</t>
  </si>
  <si>
    <t>OUT</t>
  </si>
  <si>
    <t xml:space="preserve">IN </t>
  </si>
  <si>
    <t>TOOL FRAME</t>
  </si>
  <si>
    <t>X</t>
  </si>
  <si>
    <t>Y</t>
  </si>
  <si>
    <t>Z</t>
  </si>
  <si>
    <t>DH params</t>
  </si>
  <si>
    <t>R 0-2</t>
  </si>
  <si>
    <t>R 0-3</t>
  </si>
  <si>
    <t>R 0-4</t>
  </si>
  <si>
    <t>R 0-6</t>
  </si>
  <si>
    <t>R 0-T</t>
  </si>
  <si>
    <t>Θ</t>
  </si>
  <si>
    <t>α</t>
  </si>
  <si>
    <t>INVERT TOOL FRAME</t>
  </si>
  <si>
    <t>R 0-5    (center spherica wrist)</t>
  </si>
  <si>
    <t>ΘB</t>
  </si>
  <si>
    <t>J2 ∠</t>
  </si>
  <si>
    <t>ΘC</t>
  </si>
  <si>
    <t>ΘD</t>
  </si>
  <si>
    <t>J3 ∠</t>
  </si>
  <si>
    <t>J1 ∠</t>
  </si>
  <si>
    <t>CALCULATE J1 ANGLE</t>
  </si>
  <si>
    <t>R 0-3 transposed</t>
  </si>
  <si>
    <t>R 3-6 (spherical wrist  orietation)</t>
  </si>
  <si>
    <t>WRIST CONF.</t>
  </si>
  <si>
    <t>ΘE</t>
  </si>
  <si>
    <t>R 0-6 negate</t>
  </si>
  <si>
    <t>R 0-6 reverse kin</t>
  </si>
  <si>
    <t>R 0-5 reverse kin    (center spherica wrist)</t>
  </si>
  <si>
    <r>
      <t xml:space="preserve">* excell uses wrong order for atan2 - </t>
    </r>
    <r>
      <rPr>
        <b/>
        <i/>
        <sz val="11"/>
        <color theme="4" tint="-0.249977111117893"/>
        <rFont val="Calibri"/>
        <family val="2"/>
        <scheme val="minor"/>
      </rPr>
      <t>note the order is (y,x)</t>
    </r>
    <r>
      <rPr>
        <i/>
        <sz val="11"/>
        <color theme="4" tint="-0.249977111117893"/>
        <rFont val="Calibri"/>
        <family val="2"/>
        <scheme val="minor"/>
      </rPr>
      <t xml:space="preserve"> instead of the correct formula (x.y)</t>
    </r>
  </si>
  <si>
    <t>yaw (RZ)</t>
  </si>
  <si>
    <t>pitch (RY)</t>
  </si>
  <si>
    <t>roll (RX)</t>
  </si>
  <si>
    <t>Rx</t>
  </si>
  <si>
    <t>Ry</t>
  </si>
  <si>
    <t>Rz</t>
  </si>
  <si>
    <t>L1</t>
  </si>
  <si>
    <t>L2</t>
  </si>
  <si>
    <t>L3</t>
  </si>
  <si>
    <t>L4</t>
  </si>
  <si>
    <t>USE J1,J2,J3 ANGLES TO FIND J3 ORENTATION</t>
  </si>
  <si>
    <t>CALC WRIST CENTER - FIND J1 ANGLE</t>
  </si>
  <si>
    <t>J1  *  ( -170 / 170 )</t>
  </si>
  <si>
    <t>J2 * ( -42  /  90 )</t>
  </si>
  <si>
    <t>J3 * ( -89  / 52 )</t>
  </si>
  <si>
    <t>J4 * ( -165  / 165 )</t>
  </si>
  <si>
    <t>J5 * ( -105  / 105 )</t>
  </si>
  <si>
    <t>J6 * ( -155  / 155 )</t>
  </si>
  <si>
    <t>R0-5 @ J1 ZERO</t>
  </si>
  <si>
    <t>X    =</t>
  </si>
  <si>
    <t>Y    =</t>
  </si>
  <si>
    <t>Z    =</t>
  </si>
  <si>
    <t>INPUT</t>
  </si>
  <si>
    <t>OUTPUT</t>
  </si>
  <si>
    <t>rZ</t>
  </si>
  <si>
    <t>rY</t>
  </si>
  <si>
    <t>rX</t>
  </si>
  <si>
    <t>rZY</t>
  </si>
  <si>
    <t>rZYX</t>
  </si>
  <si>
    <t>R 0-6(T) reverse kin ZYX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</si>
</sst>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"/>
    <numFmt numFmtId="166" formatCode="0.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4" tint="-0.249977111117893"/>
      <name val="Calibri"/>
      <family val="2"/>
      <scheme val="minor"/>
    </font>
    <font>
      <b/>
      <i/>
      <sz val="11"/>
      <color theme="4" tint="-0.249977111117893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72">
    <xf numFmtId="0" fontId="0" fillId="0" borderId="0" xfId="0"/>
    <xf numFmtId="164" fontId="3" fillId="3" borderId="0" xfId="0" applyNumberFormat="1" applyFont="1" applyFill="1"/>
    <xf numFmtId="164" fontId="1" fillId="3" borderId="0" xfId="0" applyNumberFormat="1" applyFont="1" applyFill="1"/>
    <xf numFmtId="164" fontId="0" fillId="3" borderId="0" xfId="0" applyNumberFormat="1" applyFill="1"/>
    <xf numFmtId="164" fontId="0" fillId="4" borderId="0" xfId="0" applyNumberFormat="1" applyFill="1"/>
    <xf numFmtId="164" fontId="3" fillId="2" borderId="0" xfId="0" applyNumberFormat="1" applyFont="1" applyFill="1"/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164" fontId="8" fillId="0" borderId="0" xfId="0" applyNumberFormat="1" applyFont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6" borderId="1" xfId="0" applyNumberFormat="1" applyFill="1" applyBorder="1" applyAlignment="1">
      <alignment horizontal="center"/>
    </xf>
    <xf numFmtId="164" fontId="12" fillId="0" borderId="0" xfId="0" applyNumberFormat="1" applyFont="1"/>
    <xf numFmtId="164" fontId="0" fillId="0" borderId="0" xfId="0" applyNumberFormat="1" applyAlignment="1">
      <alignment horizontal="center" wrapText="1"/>
    </xf>
    <xf numFmtId="164" fontId="0" fillId="0" borderId="0" xfId="0" applyNumberFormat="1" applyAlignment="1">
      <alignment wrapText="1"/>
    </xf>
    <xf numFmtId="164" fontId="0" fillId="4" borderId="0" xfId="0" applyNumberFormat="1" applyFill="1" applyAlignment="1">
      <alignment wrapText="1"/>
    </xf>
    <xf numFmtId="164" fontId="11" fillId="0" borderId="0" xfId="0" applyNumberFormat="1" applyFont="1" applyAlignment="1">
      <alignment horizontal="left" vertical="center"/>
    </xf>
    <xf numFmtId="164" fontId="0" fillId="0" borderId="2" xfId="0" applyNumberFormat="1" applyBorder="1" applyAlignment="1">
      <alignment horizontal="center"/>
    </xf>
    <xf numFmtId="164" fontId="5" fillId="5" borderId="3" xfId="0" applyNumberFormat="1" applyFont="1" applyFill="1" applyBorder="1" applyAlignment="1">
      <alignment horizontal="center"/>
    </xf>
    <xf numFmtId="164" fontId="5" fillId="5" borderId="4" xfId="0" applyNumberFormat="1" applyFont="1" applyFill="1" applyBorder="1" applyAlignment="1">
      <alignment horizontal="center"/>
    </xf>
    <xf numFmtId="164" fontId="1" fillId="0" borderId="0" xfId="0" applyNumberFormat="1" applyFont="1" applyAlignment="1">
      <alignment horizontal="left"/>
    </xf>
    <xf numFmtId="164" fontId="1" fillId="0" borderId="0" xfId="0" applyNumberFormat="1" applyFont="1" applyAlignment="1">
      <alignment horizontal="left" vertical="center"/>
    </xf>
    <xf numFmtId="164" fontId="1" fillId="5" borderId="5" xfId="0" applyNumberFormat="1" applyFont="1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0" xfId="0" applyNumberFormat="1" applyAlignment="1">
      <alignment horizontal="right"/>
    </xf>
    <xf numFmtId="164" fontId="0" fillId="6" borderId="1" xfId="0" applyNumberFormat="1" applyFill="1" applyBorder="1"/>
    <xf numFmtId="164" fontId="0" fillId="0" borderId="1" xfId="0" applyNumberFormat="1" applyBorder="1"/>
    <xf numFmtId="164" fontId="7" fillId="0" borderId="1" xfId="0" applyNumberFormat="1" applyFont="1" applyBorder="1" applyAlignment="1">
      <alignment horizontal="center"/>
    </xf>
    <xf numFmtId="164" fontId="1" fillId="5" borderId="7" xfId="0" applyNumberFormat="1" applyFont="1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2" fillId="0" borderId="1" xfId="0" applyNumberFormat="1" applyFont="1" applyBorder="1"/>
    <xf numFmtId="164" fontId="7" fillId="0" borderId="0" xfId="0" applyNumberFormat="1" applyFont="1" applyAlignment="1">
      <alignment horizontal="center"/>
    </xf>
    <xf numFmtId="164" fontId="2" fillId="0" borderId="0" xfId="0" applyNumberFormat="1" applyFont="1"/>
    <xf numFmtId="164" fontId="2" fillId="0" borderId="0" xfId="0" applyNumberFormat="1" applyFont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64" fontId="2" fillId="0" borderId="0" xfId="0" applyNumberFormat="1" applyFont="1" applyAlignment="1">
      <alignment horizontal="right"/>
    </xf>
    <xf numFmtId="164" fontId="0" fillId="0" borderId="11" xfId="0" applyNumberFormat="1" applyBorder="1"/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NumberFormat="1" applyBorder="1"/>
    <xf numFmtId="164" fontId="0" fillId="0" borderId="10" xfId="0" applyNumberFormat="1" applyBorder="1"/>
    <xf numFmtId="164" fontId="2" fillId="0" borderId="0" xfId="0" applyNumberFormat="1" applyFont="1" applyAlignment="1">
      <alignment horizontal="left"/>
    </xf>
    <xf numFmtId="164" fontId="1" fillId="0" borderId="1" xfId="0" applyNumberFormat="1" applyFont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4" fontId="1" fillId="0" borderId="0" xfId="0" applyNumberFormat="1" applyFont="1"/>
    <xf numFmtId="164" fontId="0" fillId="4" borderId="0" xfId="0" applyNumberFormat="1" applyFill="1" applyAlignment="1">
      <alignment horizontal="center"/>
    </xf>
    <xf numFmtId="164" fontId="4" fillId="0" borderId="0" xfId="1" applyNumberFormat="1" applyFill="1"/>
    <xf numFmtId="2" fontId="0" fillId="0" borderId="0" xfId="0" applyNumberFormat="1"/>
    <xf numFmtId="165" fontId="0" fillId="0" borderId="0" xfId="0" applyNumberFormat="1"/>
    <xf numFmtId="165" fontId="0" fillId="0" borderId="1" xfId="0" applyNumberFormat="1" applyBorder="1"/>
    <xf numFmtId="165" fontId="0" fillId="0" borderId="0" xfId="0" applyNumberFormat="1" applyAlignment="1">
      <alignment horizontal="right"/>
    </xf>
    <xf numFmtId="165" fontId="1" fillId="0" borderId="0" xfId="0" applyNumberFormat="1" applyFont="1"/>
    <xf numFmtId="164" fontId="5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1" xfId="0" applyNumberForma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7" fillId="0" borderId="1" xfId="0" applyNumberFormat="1" applyFont="1" applyBorder="1" applyAlignment="1">
      <alignment horizontal="right"/>
    </xf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164" fontId="0" fillId="0" borderId="9" xfId="0" applyNumberFormat="1" applyBorder="1"/>
    <xf numFmtId="164" fontId="9" fillId="0" borderId="0" xfId="0" applyNumberFormat="1" applyFont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6FAC2"/>
      <color rgb="FF00FF00"/>
      <color rgb="FFDDEEFF"/>
      <color rgb="FFD7D200"/>
      <color rgb="FFFFFF00"/>
      <color rgb="FFD8FFB1"/>
      <color rgb="FF99CCFF"/>
      <color rgb="FFFFCCFF"/>
      <color rgb="FFFF4B4B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669158</xdr:colOff>
      <xdr:row>62</xdr:row>
      <xdr:rowOff>118696</xdr:rowOff>
    </xdr:from>
    <xdr:to>
      <xdr:col>8</xdr:col>
      <xdr:colOff>305820</xdr:colOff>
      <xdr:row>91</xdr:row>
      <xdr:rowOff>97600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9958" y="11332796"/>
          <a:ext cx="5739647" cy="5135104"/>
        </a:xfrm>
        <a:prstGeom prst="rect">
          <a:avLst/>
        </a:prstGeom>
      </xdr:spPr>
    </xdr:pic>
    <xdr:clientData/>
  </xdr:twoCellAnchor>
  <xdr:twoCellAnchor editAs="oneCell">
    <xdr:from>
      <xdr:col>17</xdr:col>
      <xdr:colOff>92708</xdr:colOff>
      <xdr:row>2</xdr:row>
      <xdr:rowOff>166600</xdr:rowOff>
    </xdr:from>
    <xdr:to>
      <xdr:col>18</xdr:col>
      <xdr:colOff>313106</xdr:colOff>
      <xdr:row>8</xdr:row>
      <xdr:rowOff>165100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21308" y="522200"/>
          <a:ext cx="1134798" cy="1078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567691</xdr:colOff>
      <xdr:row>3</xdr:row>
      <xdr:rowOff>31615</xdr:rowOff>
    </xdr:from>
    <xdr:to>
      <xdr:col>22</xdr:col>
      <xdr:colOff>393701</xdr:colOff>
      <xdr:row>8</xdr:row>
      <xdr:rowOff>104127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10691" y="565015"/>
          <a:ext cx="3001010" cy="974212"/>
        </a:xfrm>
        <a:prstGeom prst="rect">
          <a:avLst/>
        </a:prstGeom>
      </xdr:spPr>
    </xdr:pic>
    <xdr:clientData/>
  </xdr:twoCellAnchor>
  <xdr:twoCellAnchor editAs="oneCell">
    <xdr:from>
      <xdr:col>20</xdr:col>
      <xdr:colOff>117232</xdr:colOff>
      <xdr:row>19</xdr:row>
      <xdr:rowOff>63499</xdr:rowOff>
    </xdr:from>
    <xdr:to>
      <xdr:col>22</xdr:col>
      <xdr:colOff>376213</xdr:colOff>
      <xdr:row>24</xdr:row>
      <xdr:rowOff>38100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535032" y="3644899"/>
          <a:ext cx="1859181" cy="927101"/>
        </a:xfrm>
        <a:prstGeom prst="rect">
          <a:avLst/>
        </a:prstGeom>
      </xdr:spPr>
    </xdr:pic>
    <xdr:clientData/>
  </xdr:twoCellAnchor>
  <xdr:twoCellAnchor editAs="oneCell">
    <xdr:from>
      <xdr:col>20</xdr:col>
      <xdr:colOff>197486</xdr:colOff>
      <xdr:row>11</xdr:row>
      <xdr:rowOff>165100</xdr:rowOff>
    </xdr:from>
    <xdr:to>
      <xdr:col>22</xdr:col>
      <xdr:colOff>247962</xdr:colOff>
      <xdr:row>15</xdr:row>
      <xdr:rowOff>50800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15286" y="2159000"/>
          <a:ext cx="1650676" cy="673100"/>
        </a:xfrm>
        <a:prstGeom prst="rect">
          <a:avLst/>
        </a:prstGeom>
      </xdr:spPr>
    </xdr:pic>
    <xdr:clientData/>
  </xdr:twoCellAnchor>
  <xdr:twoCellAnchor editAs="oneCell">
    <xdr:from>
      <xdr:col>6</xdr:col>
      <xdr:colOff>119835</xdr:colOff>
      <xdr:row>4</xdr:row>
      <xdr:rowOff>68580</xdr:rowOff>
    </xdr:from>
    <xdr:to>
      <xdr:col>8</xdr:col>
      <xdr:colOff>660400</xdr:colOff>
      <xdr:row>9</xdr:row>
      <xdr:rowOff>161532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491935" y="792480"/>
          <a:ext cx="2305865" cy="981952"/>
        </a:xfrm>
        <a:prstGeom prst="rect">
          <a:avLst/>
        </a:prstGeom>
      </xdr:spPr>
    </xdr:pic>
    <xdr:clientData/>
  </xdr:twoCellAnchor>
  <xdr:twoCellAnchor editAs="oneCell">
    <xdr:from>
      <xdr:col>17</xdr:col>
      <xdr:colOff>874041</xdr:colOff>
      <xdr:row>25</xdr:row>
      <xdr:rowOff>76200</xdr:rowOff>
    </xdr:from>
    <xdr:to>
      <xdr:col>22</xdr:col>
      <xdr:colOff>482600</xdr:colOff>
      <xdr:row>36</xdr:row>
      <xdr:rowOff>13007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802641" y="4800600"/>
          <a:ext cx="3697959" cy="2006907"/>
        </a:xfrm>
        <a:prstGeom prst="rect">
          <a:avLst/>
        </a:prstGeom>
      </xdr:spPr>
    </xdr:pic>
    <xdr:clientData/>
  </xdr:twoCellAnchor>
  <xdr:twoCellAnchor editAs="oneCell">
    <xdr:from>
      <xdr:col>5</xdr:col>
      <xdr:colOff>55880</xdr:colOff>
      <xdr:row>12</xdr:row>
      <xdr:rowOff>132081</xdr:rowOff>
    </xdr:from>
    <xdr:to>
      <xdr:col>8</xdr:col>
      <xdr:colOff>203387</xdr:colOff>
      <xdr:row>18</xdr:row>
      <xdr:rowOff>25400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843780" y="2367281"/>
          <a:ext cx="2497007" cy="10490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133350</xdr:colOff>
      <xdr:row>1</xdr:row>
      <xdr:rowOff>95250</xdr:rowOff>
    </xdr:from>
    <xdr:to>
      <xdr:col>18</xdr:col>
      <xdr:colOff>248776</xdr:colOff>
      <xdr:row>7</xdr:row>
      <xdr:rowOff>123989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1350" y="285750"/>
          <a:ext cx="8068801" cy="1171739"/>
        </a:xfrm>
        <a:prstGeom prst="rect">
          <a:avLst/>
        </a:prstGeom>
      </xdr:spPr>
    </xdr:pic>
    <xdr:clientData/>
  </xdr:twoCellAnchor>
  <xdr:twoCellAnchor editAs="oneCell">
    <xdr:from>
      <xdr:col>8</xdr:col>
      <xdr:colOff>209550</xdr:colOff>
      <xdr:row>8</xdr:row>
      <xdr:rowOff>171450</xdr:rowOff>
    </xdr:from>
    <xdr:to>
      <xdr:col>19</xdr:col>
      <xdr:colOff>105700</xdr:colOff>
      <xdr:row>13</xdr:row>
      <xdr:rowOff>114425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86350" y="1695450"/>
          <a:ext cx="6630325" cy="895475"/>
        </a:xfrm>
        <a:prstGeom prst="rect">
          <a:avLst/>
        </a:prstGeom>
      </xdr:spPr>
    </xdr:pic>
    <xdr:clientData/>
  </xdr:twoCellAnchor>
  <xdr:twoCellAnchor editAs="oneCell">
    <xdr:from>
      <xdr:col>9</xdr:col>
      <xdr:colOff>600075</xdr:colOff>
      <xdr:row>15</xdr:row>
      <xdr:rowOff>47625</xdr:rowOff>
    </xdr:from>
    <xdr:to>
      <xdr:col>14</xdr:col>
      <xdr:colOff>438553</xdr:colOff>
      <xdr:row>30</xdr:row>
      <xdr:rowOff>133767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BCC0DBF-9861-EBBD-916D-52651A746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115050" y="2905125"/>
          <a:ext cx="2886478" cy="29912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0</xdr:rowOff>
    </xdr:from>
    <xdr:to>
      <xdr:col>16</xdr:col>
      <xdr:colOff>515778</xdr:colOff>
      <xdr:row>42</xdr:row>
      <xdr:rowOff>182117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B29502E-12C3-E43E-7690-732843FAC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0"/>
          <a:ext cx="10231278" cy="818311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85725</xdr:colOff>
      <xdr:row>0</xdr:row>
      <xdr:rowOff>28575</xdr:rowOff>
    </xdr:from>
    <xdr:to>
      <xdr:col>12</xdr:col>
      <xdr:colOff>391589</xdr:colOff>
      <xdr:row>30</xdr:row>
      <xdr:rowOff>29373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2CFB67D-2759-090D-15C5-16FA9E1E8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" y="28575"/>
          <a:ext cx="7621064" cy="57157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160"/>
  <sheetViews>
    <sheetView tabSelected="1" zoomScale="75" zoomScaleNormal="75" workbookViewId="0">
      <selection activeCell="D19" sqref="D19"/>
    </sheetView>
  </sheetViews>
  <sheetFormatPr defaultColWidth="8.85546875" defaultRowHeight="15" x14ac:dyDescent="0.25"/>
  <cols>
    <col min="1" max="1" width="19.140625" style="9" customWidth="1"/>
    <col min="2" max="2" width="13.7109375" style="8" customWidth="1"/>
    <col min="3" max="3" width="13.140625" style="8" customWidth="1"/>
    <col min="4" max="4" width="13.28515625" style="8" customWidth="1"/>
    <col min="5" max="5" width="12.42578125" style="8" customWidth="1"/>
    <col min="6" max="6" width="8.7109375" style="8" customWidth="1"/>
    <col min="7" max="7" width="13.5703125" style="8" customWidth="1"/>
    <col min="8" max="8" width="13" style="8" customWidth="1"/>
    <col min="9" max="9" width="12.28515625" style="8" customWidth="1"/>
    <col min="10" max="10" width="11.5703125" style="8" customWidth="1"/>
    <col min="11" max="11" width="3.140625" style="8" customWidth="1"/>
    <col min="12" max="12" width="4.28515625" style="4" customWidth="1"/>
    <col min="13" max="13" width="4.28515625" style="8" customWidth="1"/>
    <col min="14" max="14" width="10.28515625" style="8" customWidth="1"/>
    <col min="15" max="15" width="13.5703125" style="8" customWidth="1"/>
    <col min="16" max="16" width="13.42578125" style="8" customWidth="1"/>
    <col min="17" max="17" width="13.5703125" style="8" customWidth="1"/>
    <col min="18" max="18" width="13.7109375" style="8" customWidth="1"/>
    <col min="19" max="20" width="11.85546875" style="8" customWidth="1"/>
    <col min="21" max="21" width="12.28515625" style="8" customWidth="1"/>
    <col min="22" max="22" width="11.5703125" style="8" customWidth="1"/>
    <col min="23" max="23" width="11.140625" style="8" customWidth="1"/>
    <col min="24" max="24" width="10.7109375" style="8" customWidth="1"/>
    <col min="25" max="25" width="10.85546875" style="8" customWidth="1"/>
    <col min="26" max="26" width="10.7109375" style="8" customWidth="1"/>
    <col min="27" max="27" width="10.42578125" style="8" customWidth="1"/>
    <col min="28" max="28" width="9.7109375" style="8" customWidth="1"/>
    <col min="29" max="29" width="11.140625" style="8" customWidth="1"/>
    <col min="30" max="30" width="12.140625" style="8" customWidth="1"/>
    <col min="31" max="32" width="12.5703125" style="8" customWidth="1"/>
    <col min="33" max="16384" width="8.85546875" style="8"/>
  </cols>
  <sheetData>
    <row r="1" spans="1:34" ht="14.45" x14ac:dyDescent="0.3">
      <c r="A1" s="1" t="s">
        <v>12</v>
      </c>
      <c r="B1" s="2"/>
      <c r="C1" s="2"/>
      <c r="D1" s="3"/>
      <c r="E1" s="3"/>
      <c r="F1" s="3"/>
      <c r="G1" s="3"/>
      <c r="H1" s="3"/>
      <c r="I1" s="3"/>
      <c r="J1" s="3"/>
      <c r="K1" s="3"/>
      <c r="M1" s="5" t="s">
        <v>11</v>
      </c>
      <c r="N1" s="6"/>
      <c r="O1" s="6"/>
      <c r="P1" s="6"/>
      <c r="Q1" s="6"/>
      <c r="R1" s="6"/>
      <c r="S1" s="6"/>
      <c r="T1" s="7"/>
      <c r="U1" s="6"/>
      <c r="V1" s="7"/>
      <c r="W1" s="7"/>
      <c r="X1" s="7"/>
      <c r="Y1" s="7"/>
      <c r="Z1" s="7"/>
      <c r="AA1" s="7"/>
      <c r="AB1" s="7"/>
      <c r="AC1" s="6"/>
      <c r="AD1" s="7"/>
      <c r="AE1" s="6"/>
      <c r="AF1" s="6"/>
    </row>
    <row r="2" spans="1:34" ht="14.45" x14ac:dyDescent="0.3">
      <c r="B2" s="9" t="s">
        <v>13</v>
      </c>
      <c r="E2" s="9" t="s">
        <v>14</v>
      </c>
      <c r="O2" s="9" t="s">
        <v>15</v>
      </c>
      <c r="P2" s="9"/>
      <c r="Q2" s="9" t="s">
        <v>14</v>
      </c>
      <c r="S2" s="9"/>
      <c r="X2" s="9"/>
      <c r="Y2" s="9"/>
      <c r="Z2" s="9"/>
      <c r="AA2" s="9"/>
      <c r="AB2" s="9"/>
      <c r="AD2" s="9"/>
      <c r="AE2" s="9"/>
    </row>
    <row r="3" spans="1:34" ht="14.45" customHeight="1" x14ac:dyDescent="0.25">
      <c r="B3" s="8" t="s">
        <v>9</v>
      </c>
      <c r="C3" s="8" t="s">
        <v>10</v>
      </c>
      <c r="E3" s="8" t="s">
        <v>9</v>
      </c>
      <c r="F3" s="8" t="s">
        <v>10</v>
      </c>
      <c r="G3" s="71" t="s">
        <v>44</v>
      </c>
      <c r="H3" s="71"/>
      <c r="I3" s="71"/>
      <c r="J3" s="71"/>
      <c r="Y3" s="9"/>
      <c r="Z3" s="9"/>
      <c r="AA3" s="9"/>
      <c r="AB3" s="9"/>
      <c r="AD3" s="9"/>
    </row>
    <row r="4" spans="1:34" x14ac:dyDescent="0.25">
      <c r="A4" s="10" t="s">
        <v>57</v>
      </c>
      <c r="B4" s="11">
        <v>0</v>
      </c>
      <c r="C4" s="9">
        <f>RADIANS(B4)</f>
        <v>0</v>
      </c>
      <c r="D4" s="12" t="s">
        <v>17</v>
      </c>
      <c r="E4" s="13">
        <f>J54</f>
        <v>286.83000000000004</v>
      </c>
      <c r="G4" s="71"/>
      <c r="H4" s="71"/>
      <c r="I4" s="71"/>
      <c r="J4" s="71"/>
      <c r="M4" s="9"/>
      <c r="N4" s="12" t="s">
        <v>17</v>
      </c>
      <c r="O4" s="13">
        <v>286.83000000000004</v>
      </c>
      <c r="P4" s="12" t="s">
        <v>3</v>
      </c>
      <c r="Q4" s="11">
        <f>O52</f>
        <v>-1.1241661314596193E-15</v>
      </c>
      <c r="T4" s="14"/>
      <c r="V4" s="9"/>
      <c r="Y4" s="9"/>
      <c r="Z4" s="9"/>
      <c r="AA4" s="9"/>
      <c r="AB4" s="9"/>
      <c r="AD4" s="9"/>
    </row>
    <row r="5" spans="1:34" ht="14.45" x14ac:dyDescent="0.3">
      <c r="A5" s="10" t="s">
        <v>58</v>
      </c>
      <c r="B5" s="11">
        <v>0</v>
      </c>
      <c r="C5" s="9">
        <f>RADIANS(B5)</f>
        <v>0</v>
      </c>
      <c r="D5" s="12" t="s">
        <v>18</v>
      </c>
      <c r="E5" s="13">
        <f>J55</f>
        <v>-2.2665246415809786E-17</v>
      </c>
      <c r="G5" s="9"/>
      <c r="H5" s="9"/>
      <c r="M5" s="12"/>
      <c r="N5" s="12" t="s">
        <v>18</v>
      </c>
      <c r="O5" s="13">
        <v>-6.0461076249740429E-16</v>
      </c>
      <c r="P5" s="12" t="s">
        <v>4</v>
      </c>
      <c r="Q5" s="11">
        <f>T24</f>
        <v>9.5202101574258791E-3</v>
      </c>
      <c r="V5" s="9"/>
      <c r="Y5" s="9"/>
      <c r="Z5" s="9"/>
      <c r="AA5" s="9"/>
      <c r="AB5" s="9"/>
      <c r="AD5" s="9"/>
    </row>
    <row r="6" spans="1:34" ht="14.45" x14ac:dyDescent="0.3">
      <c r="A6" s="10" t="s">
        <v>59</v>
      </c>
      <c r="B6" s="11">
        <v>0</v>
      </c>
      <c r="C6" s="9">
        <f>RADIANS(B6)</f>
        <v>0</v>
      </c>
      <c r="D6" s="12" t="s">
        <v>19</v>
      </c>
      <c r="E6" s="13">
        <f>J56</f>
        <v>433.77</v>
      </c>
      <c r="G6" s="9"/>
      <c r="H6" s="9"/>
      <c r="M6" s="12"/>
      <c r="N6" s="12" t="s">
        <v>19</v>
      </c>
      <c r="O6" s="13">
        <v>438.52</v>
      </c>
      <c r="P6" s="12" t="s">
        <v>5</v>
      </c>
      <c r="Q6" s="11">
        <f>T25</f>
        <v>-1.2320681440993582</v>
      </c>
      <c r="Y6" s="9"/>
      <c r="Z6" s="9"/>
      <c r="AA6" s="9"/>
      <c r="AB6" s="9"/>
      <c r="AD6" s="9"/>
    </row>
    <row r="7" spans="1:34" ht="14.45" x14ac:dyDescent="0.3">
      <c r="A7" s="10" t="s">
        <v>60</v>
      </c>
      <c r="B7" s="11">
        <v>0</v>
      </c>
      <c r="C7" s="9">
        <f>RADIANS(B7)</f>
        <v>0</v>
      </c>
      <c r="D7" s="12" t="s">
        <v>50</v>
      </c>
      <c r="E7" s="13">
        <f>DEGREES(F7)</f>
        <v>180</v>
      </c>
      <c r="F7" s="8">
        <f>ATAN2(G54/COS(F8),G55/COS(F8))</f>
        <v>3.1415926535897931</v>
      </c>
      <c r="M7" s="12"/>
      <c r="N7" s="12" t="s">
        <v>50</v>
      </c>
      <c r="O7" s="13">
        <v>180</v>
      </c>
      <c r="P7" s="12" t="s">
        <v>6</v>
      </c>
      <c r="Q7" s="11">
        <f>IF(Q8&gt;0,-DEGREES(ATAN2(Z33,-Z34)),-DEGREES(ATAN2(-Z33,Z34)))</f>
        <v>3.5854924256180703E-15</v>
      </c>
      <c r="Y7" s="9"/>
      <c r="Z7" s="9"/>
      <c r="AA7" s="9"/>
      <c r="AB7" s="9"/>
    </row>
    <row r="8" spans="1:34" ht="14.45" x14ac:dyDescent="0.3">
      <c r="A8" s="9" t="s">
        <v>61</v>
      </c>
      <c r="B8" s="11">
        <v>90</v>
      </c>
      <c r="C8" s="9">
        <f t="shared" ref="C8" si="0">RADIANS(B8)</f>
        <v>1.5707963267948966</v>
      </c>
      <c r="D8" s="12" t="s">
        <v>49</v>
      </c>
      <c r="E8" s="13">
        <f t="shared" ref="E8:E9" si="1">DEGREES(F8)</f>
        <v>7.0195835743237771E-15</v>
      </c>
      <c r="F8" s="8">
        <f>ATAN2((H56^2+I56^2)^0.5,-G56)</f>
        <v>1.22514845490862E-16</v>
      </c>
      <c r="M8" s="12"/>
      <c r="N8" s="12" t="s">
        <v>49</v>
      </c>
      <c r="O8" s="13">
        <v>7.0195835743237771E-15</v>
      </c>
      <c r="P8" s="12" t="s">
        <v>7</v>
      </c>
      <c r="Q8" s="11">
        <f>IF(AND(O49="F",DEGREES(ATAN2(Z35,+SQRT(1-(Z35^2))))&gt;0),DEGREES(ATAN2(Z35,+SQRT(1-(Z35^2)))),DEGREES(ATAN2(Z35,-SQRT(1-(Z35^2)))))</f>
        <v>91.222547933941897</v>
      </c>
      <c r="Y8" s="9"/>
      <c r="Z8" s="9"/>
      <c r="AA8" s="9"/>
      <c r="AB8" s="9"/>
      <c r="AD8" s="9"/>
    </row>
    <row r="9" spans="1:34" ht="14.45" x14ac:dyDescent="0.3">
      <c r="A9" s="9" t="s">
        <v>62</v>
      </c>
      <c r="B9" s="11">
        <v>0</v>
      </c>
      <c r="C9" s="9">
        <f>RADIANS(B9)</f>
        <v>0</v>
      </c>
      <c r="D9" s="12" t="s">
        <v>48</v>
      </c>
      <c r="E9" s="13">
        <f t="shared" si="1"/>
        <v>180</v>
      </c>
      <c r="F9" s="8">
        <f>ATAN2(I56/COS(F8),H56/COS(F8))</f>
        <v>3.1415926535897931</v>
      </c>
      <c r="M9" s="9"/>
      <c r="N9" s="12" t="s">
        <v>48</v>
      </c>
      <c r="O9" s="13">
        <v>180</v>
      </c>
      <c r="P9" s="12" t="s">
        <v>8</v>
      </c>
      <c r="Q9" s="11">
        <f>IF(Q8&gt;0, DEGREES(ATAN2(-X35,Y35)),DEGREES(ATAN2(X35,-Y35)))</f>
        <v>9.4809098684822282E-15</v>
      </c>
      <c r="Y9" s="9"/>
      <c r="Z9" s="9"/>
      <c r="AA9" s="9"/>
      <c r="AB9" s="9"/>
      <c r="AD9" s="9"/>
    </row>
    <row r="10" spans="1:34" s="16" customFormat="1" ht="14.25" customHeight="1" x14ac:dyDescent="0.25">
      <c r="A10" s="15"/>
      <c r="C10" s="15"/>
      <c r="D10" s="15"/>
      <c r="E10" s="15"/>
      <c r="F10" s="15"/>
      <c r="G10" s="8"/>
      <c r="H10" s="8"/>
      <c r="I10" s="8"/>
      <c r="J10" s="8"/>
      <c r="K10" s="8"/>
      <c r="L10" s="17"/>
      <c r="S10" s="8"/>
      <c r="V10" s="15"/>
      <c r="W10" s="15"/>
      <c r="X10" s="15"/>
      <c r="Y10" s="15"/>
      <c r="Z10" s="9"/>
      <c r="AA10" s="15"/>
      <c r="AB10" s="9"/>
      <c r="AD10" s="9"/>
      <c r="AE10" s="8"/>
      <c r="AF10" s="8"/>
      <c r="AG10" s="8"/>
    </row>
    <row r="11" spans="1:34" ht="15.75" customHeight="1" thickBot="1" x14ac:dyDescent="0.35">
      <c r="A11" s="8" t="s">
        <v>20</v>
      </c>
      <c r="B11" s="9"/>
      <c r="Q11" s="18"/>
      <c r="R11" s="18"/>
      <c r="S11" s="18"/>
      <c r="T11" s="18"/>
      <c r="U11" s="18"/>
      <c r="V11" s="18"/>
      <c r="W11" s="18"/>
      <c r="X11" s="18"/>
      <c r="Y11" s="18"/>
      <c r="Z11" s="18"/>
      <c r="AB11" s="9"/>
      <c r="AD11" s="9"/>
    </row>
    <row r="12" spans="1:34" ht="18.75" customHeight="1" x14ac:dyDescent="0.3">
      <c r="A12" s="19" t="s">
        <v>0</v>
      </c>
      <c r="B12" s="20" t="s">
        <v>26</v>
      </c>
      <c r="C12" s="20" t="s">
        <v>27</v>
      </c>
      <c r="D12" s="20" t="s">
        <v>1</v>
      </c>
      <c r="E12" s="21" t="s">
        <v>2</v>
      </c>
      <c r="J12" s="9" t="s">
        <v>16</v>
      </c>
      <c r="N12" s="22" t="s">
        <v>56</v>
      </c>
      <c r="R12" s="18"/>
      <c r="S12" s="8" t="s">
        <v>63</v>
      </c>
      <c r="W12" s="18"/>
      <c r="X12" s="23" t="s">
        <v>55</v>
      </c>
      <c r="Y12" s="18"/>
      <c r="Z12" s="18"/>
      <c r="AB12" s="9"/>
      <c r="AD12" s="9"/>
      <c r="AH12" s="9"/>
    </row>
    <row r="13" spans="1:34" ht="14.45" x14ac:dyDescent="0.3">
      <c r="A13" s="24">
        <v>1</v>
      </c>
      <c r="B13" s="25">
        <f>C4</f>
        <v>0</v>
      </c>
      <c r="C13" s="25">
        <f>RADIANS(-90)</f>
        <v>-1.5707963267948966</v>
      </c>
      <c r="D13" s="25">
        <v>169.77</v>
      </c>
      <c r="E13" s="26">
        <v>64.2</v>
      </c>
      <c r="G13" s="27"/>
      <c r="I13" s="27" t="s">
        <v>17</v>
      </c>
      <c r="J13" s="28">
        <v>0</v>
      </c>
      <c r="K13" s="27"/>
      <c r="N13" s="8" t="s">
        <v>74</v>
      </c>
      <c r="S13" s="8" t="s">
        <v>17</v>
      </c>
      <c r="T13" s="8" t="s">
        <v>18</v>
      </c>
      <c r="X13" s="8" t="s">
        <v>3</v>
      </c>
      <c r="AB13" s="9"/>
      <c r="AD13" s="9"/>
      <c r="AH13" s="9"/>
    </row>
    <row r="14" spans="1:34" ht="14.45" x14ac:dyDescent="0.3">
      <c r="A14" s="24">
        <v>2</v>
      </c>
      <c r="B14" s="25">
        <f>C5-RADIANS(90)</f>
        <v>-1.5707963267948966</v>
      </c>
      <c r="C14" s="25">
        <f>RADIANS(0)</f>
        <v>0</v>
      </c>
      <c r="D14" s="25">
        <v>0</v>
      </c>
      <c r="E14" s="26">
        <v>305</v>
      </c>
      <c r="G14" s="27"/>
      <c r="I14" s="27" t="s">
        <v>18</v>
      </c>
      <c r="J14" s="28">
        <v>0</v>
      </c>
      <c r="K14" s="27"/>
      <c r="N14" s="29">
        <f>COS(RADIANS(O7))*COS(RADIANS(O8))</f>
        <v>-1</v>
      </c>
      <c r="O14" s="29">
        <f>COS(RADIANS(O7))*SIN(RADIANS(O8))*SIN(RADIANS(O9))-SIN(RADIANS(O7))*COS(RADIANS(O9))</f>
        <v>1.2251484549086198E-16</v>
      </c>
      <c r="P14" s="29">
        <f>COS(RADIANS(O7))*SIN(RADIANS(O8))*COS(RADIANS(O9))+SIN(RADIANS(O7))*SIN(RADIANS(O9))</f>
        <v>1.2251484549086203E-16</v>
      </c>
      <c r="Q14" s="29">
        <f>O4</f>
        <v>286.83000000000004</v>
      </c>
      <c r="S14" s="29">
        <f>(Q44*COS(RADIANS(-Q4)))-(Q45*SIN(RADIANS(-Q4)))</f>
        <v>286.83000000000004</v>
      </c>
      <c r="T14" s="29">
        <f>(Q45*COS(RADIANS(-Q4)))+(Q44*SIN(RADIANS(-Q4)))</f>
        <v>0</v>
      </c>
      <c r="X14" s="29">
        <f>COS(RADIANS(Q4))</f>
        <v>1</v>
      </c>
      <c r="Y14" s="29">
        <f>-SIN(RADIANS(Q4))*COS(C13)</f>
        <v>1.2018951576563172E-33</v>
      </c>
      <c r="Z14" s="29">
        <f>SIN(RADIANS(Q4))*SIN(C13)</f>
        <v>1.9620400333377765E-17</v>
      </c>
      <c r="AA14" s="29">
        <f>E13*COS(RADIANS(Q4))</f>
        <v>64.2</v>
      </c>
      <c r="AD14" s="9"/>
      <c r="AE14" s="9"/>
      <c r="AG14" s="9"/>
      <c r="AH14" s="9"/>
    </row>
    <row r="15" spans="1:34" x14ac:dyDescent="0.25">
      <c r="A15" s="24">
        <v>3</v>
      </c>
      <c r="B15" s="25">
        <f>C6+RADIANS(180)</f>
        <v>3.1415926535897931</v>
      </c>
      <c r="C15" s="25">
        <f>RADIANS(90)</f>
        <v>1.5707963267948966</v>
      </c>
      <c r="D15" s="25">
        <v>0</v>
      </c>
      <c r="E15" s="26">
        <v>0</v>
      </c>
      <c r="G15" s="27"/>
      <c r="I15" s="27" t="s">
        <v>19</v>
      </c>
      <c r="J15" s="28">
        <v>0</v>
      </c>
      <c r="K15" s="27"/>
      <c r="N15" s="29">
        <f>SIN(RADIANS(O7))*COS(RADIANS(O8))</f>
        <v>1.22514845490862E-16</v>
      </c>
      <c r="O15" s="29">
        <f>SIN(RADIANS(O7))*SIN(RADIANS(O8))*SIN(RADIANS(O9))+COS(RADIANS(O7))*COS(RADIANS(O9))</f>
        <v>1</v>
      </c>
      <c r="P15" s="29">
        <f>SIN(RADIANS(O7))*SIN(RADIANS(O8))*COS(RADIANS(O9))-COS(RADIANS(O7))*SIN(RADIANS(O9))</f>
        <v>1.2251484549086198E-16</v>
      </c>
      <c r="Q15" s="29">
        <f>O5</f>
        <v>-6.0461076249740429E-16</v>
      </c>
      <c r="X15" s="29">
        <f>SIN(RADIANS(Q4))</f>
        <v>-1.9620400333377765E-17</v>
      </c>
      <c r="Y15" s="29">
        <f>COS(RADIANS(Q4))*COS(C13)</f>
        <v>6.1257422745431001E-17</v>
      </c>
      <c r="Z15" s="29">
        <f>-COS(RADIANS(Q4))*SIN(C13)</f>
        <v>1</v>
      </c>
      <c r="AA15" s="29">
        <f>E13*SIN(RADIANS(Q4))</f>
        <v>-1.2596297014028526E-15</v>
      </c>
      <c r="AB15" s="9"/>
      <c r="AC15" s="8" t="s">
        <v>21</v>
      </c>
      <c r="AD15" s="9"/>
      <c r="AE15" s="9"/>
    </row>
    <row r="16" spans="1:34" ht="17.25" customHeight="1" x14ac:dyDescent="0.25">
      <c r="A16" s="24">
        <v>4</v>
      </c>
      <c r="B16" s="25">
        <f>C7</f>
        <v>0</v>
      </c>
      <c r="C16" s="25">
        <f>RADIANS(-90)</f>
        <v>-1.5707963267948966</v>
      </c>
      <c r="D16" s="25">
        <v>222.63</v>
      </c>
      <c r="E16" s="26">
        <v>0</v>
      </c>
      <c r="G16" s="27"/>
      <c r="I16" s="27" t="s">
        <v>45</v>
      </c>
      <c r="J16" s="28">
        <v>0</v>
      </c>
      <c r="K16" s="27"/>
      <c r="N16" s="29">
        <f>-SIN(RADIANS(O8))</f>
        <v>-1.22514845490862E-16</v>
      </c>
      <c r="O16" s="29">
        <f>COS(RADIANS(O8))*SIN(RADIANS(O9))</f>
        <v>1.22514845490862E-16</v>
      </c>
      <c r="P16" s="29">
        <f>COS(RADIANS(O8))*COS(RADIANS(O9))</f>
        <v>-1</v>
      </c>
      <c r="Q16" s="29">
        <f>O6</f>
        <v>438.52</v>
      </c>
      <c r="S16" s="30" t="s">
        <v>51</v>
      </c>
      <c r="T16" s="29">
        <f>ABS(S14-E13)</f>
        <v>222.63000000000005</v>
      </c>
      <c r="X16" s="29">
        <v>0</v>
      </c>
      <c r="Y16" s="29">
        <f>SIN(C13)</f>
        <v>-1</v>
      </c>
      <c r="Z16" s="29">
        <f>COS(C13)</f>
        <v>6.1257422745431001E-17</v>
      </c>
      <c r="AA16" s="29">
        <f>D13</f>
        <v>169.77</v>
      </c>
      <c r="AB16" s="9"/>
      <c r="AC16" s="60">
        <f t="array" ref="AC16:AF19">MMULT(X14:AA17,X20:AA23)</f>
        <v>1.6615901196435819E-4</v>
      </c>
      <c r="AD16" s="60">
        <v>0.99999998619559127</v>
      </c>
      <c r="AE16" s="60">
        <v>1.9620400333377765E-17</v>
      </c>
      <c r="AF16" s="60">
        <v>64.250678498649137</v>
      </c>
      <c r="AG16" s="9"/>
      <c r="AH16" s="9"/>
    </row>
    <row r="17" spans="1:34" x14ac:dyDescent="0.25">
      <c r="A17" s="24">
        <v>5</v>
      </c>
      <c r="B17" s="25">
        <f>C8</f>
        <v>1.5707963267948966</v>
      </c>
      <c r="C17" s="25">
        <f>RADIANS(90)</f>
        <v>1.5707963267948966</v>
      </c>
      <c r="D17" s="25">
        <v>0</v>
      </c>
      <c r="E17" s="26">
        <v>0</v>
      </c>
      <c r="G17" s="27"/>
      <c r="I17" s="27" t="s">
        <v>46</v>
      </c>
      <c r="J17" s="28">
        <v>0</v>
      </c>
      <c r="K17" s="27"/>
      <c r="N17" s="29">
        <v>0</v>
      </c>
      <c r="O17" s="29">
        <v>0</v>
      </c>
      <c r="P17" s="29">
        <v>0</v>
      </c>
      <c r="Q17" s="29">
        <v>1</v>
      </c>
      <c r="S17" s="30" t="s">
        <v>52</v>
      </c>
      <c r="T17" s="29">
        <f>SQRT(T16^2+T19^2)</f>
        <v>381.4566546804499</v>
      </c>
      <c r="X17" s="29">
        <v>0</v>
      </c>
      <c r="Y17" s="29">
        <v>0</v>
      </c>
      <c r="Z17" s="29">
        <v>0</v>
      </c>
      <c r="AA17" s="29">
        <v>1</v>
      </c>
      <c r="AB17" s="9"/>
      <c r="AC17" s="60">
        <v>-6.126068200614223E-17</v>
      </c>
      <c r="AD17" s="60">
        <v>-1.9610221589690874E-17</v>
      </c>
      <c r="AE17" s="60">
        <v>1</v>
      </c>
      <c r="AF17" s="60">
        <v>-1.9944137713276234E-14</v>
      </c>
      <c r="AG17" s="9"/>
      <c r="AH17" s="9"/>
    </row>
    <row r="18" spans="1:34" ht="15.75" thickBot="1" x14ac:dyDescent="0.3">
      <c r="A18" s="31">
        <v>6</v>
      </c>
      <c r="B18" s="32">
        <f t="shared" ref="B18" si="2">C9</f>
        <v>0</v>
      </c>
      <c r="C18" s="32">
        <f>RADIANS(0)</f>
        <v>0</v>
      </c>
      <c r="D18" s="32">
        <v>41</v>
      </c>
      <c r="E18" s="33">
        <v>0</v>
      </c>
      <c r="G18" s="27"/>
      <c r="I18" s="27" t="s">
        <v>47</v>
      </c>
      <c r="J18" s="28">
        <v>0</v>
      </c>
      <c r="K18" s="27"/>
      <c r="S18" s="30" t="s">
        <v>53</v>
      </c>
      <c r="T18" s="29">
        <f>SQRT(D16^2+E15^2)</f>
        <v>222.63</v>
      </c>
      <c r="AB18" s="9"/>
      <c r="AC18" s="60">
        <v>0.99999998619559127</v>
      </c>
      <c r="AD18" s="60">
        <v>-1.6615901196435819E-4</v>
      </c>
      <c r="AE18" s="60">
        <v>6.1257422745431001E-17</v>
      </c>
      <c r="AF18" s="60">
        <v>474.76999578965535</v>
      </c>
      <c r="AH18" s="9"/>
    </row>
    <row r="19" spans="1:34" x14ac:dyDescent="0.25">
      <c r="N19" s="8" t="s">
        <v>16</v>
      </c>
      <c r="S19" s="30" t="s">
        <v>54</v>
      </c>
      <c r="T19" s="29">
        <f>Q46-D13</f>
        <v>309.75</v>
      </c>
      <c r="X19" s="8" t="s">
        <v>4</v>
      </c>
      <c r="AB19" s="9"/>
      <c r="AC19" s="60">
        <v>0</v>
      </c>
      <c r="AD19" s="61">
        <v>0</v>
      </c>
      <c r="AE19" s="62">
        <v>0</v>
      </c>
      <c r="AF19" s="62">
        <v>1</v>
      </c>
    </row>
    <row r="20" spans="1:34" x14ac:dyDescent="0.25">
      <c r="B20" s="8" t="s">
        <v>3</v>
      </c>
      <c r="M20" s="9"/>
      <c r="N20" s="29">
        <f>COS(RADIANS(J16))*COS(RADIANS(J17))</f>
        <v>1</v>
      </c>
      <c r="O20" s="29">
        <f>COS(RADIANS(J16))*SIN(RADIANS(J17))*SIN(RADIANS(J18))-SIN(RADIANS(J16))*COS(RADIANS(J18))</f>
        <v>0</v>
      </c>
      <c r="P20" s="29">
        <f>COS(RADIANS(J16))*SIN(RADIANS(J17))*COS(RADIANS(J18))+SIN(RADIANS(J16))*SIN(RADIANS(J18))</f>
        <v>0</v>
      </c>
      <c r="Q20" s="29">
        <f>J13</f>
        <v>0</v>
      </c>
      <c r="S20" s="30" t="s">
        <v>30</v>
      </c>
      <c r="T20" s="29">
        <f>DEGREES(ATAN(T16/T19))</f>
        <v>35.706348368932417</v>
      </c>
      <c r="X20" s="29">
        <f>COS(RADIANS(Q5-90))</f>
        <v>1.6615901196435819E-4</v>
      </c>
      <c r="Y20" s="29">
        <f>-SIN(RADIANS(Q5-90))*COS(C14)</f>
        <v>0.99999998619559127</v>
      </c>
      <c r="Z20" s="29">
        <f>SIN(RADIANS(Q5-90))*SIN(C14)</f>
        <v>0</v>
      </c>
      <c r="AA20" s="29">
        <f>E14*COS(RADIANS(Q5-90))</f>
        <v>5.0678498649129246E-2</v>
      </c>
      <c r="AB20" s="9"/>
      <c r="AD20" s="35"/>
      <c r="AE20" s="36"/>
      <c r="AF20" s="37"/>
      <c r="AG20" s="9"/>
      <c r="AH20" s="9"/>
    </row>
    <row r="21" spans="1:34" x14ac:dyDescent="0.25">
      <c r="B21" s="29">
        <f>COS(B13)</f>
        <v>1</v>
      </c>
      <c r="C21" s="29">
        <f>-SIN(B13)*COS(C13)</f>
        <v>0</v>
      </c>
      <c r="D21" s="29">
        <f>SIN(B13)*SIN(C13)</f>
        <v>0</v>
      </c>
      <c r="E21" s="29">
        <f>E13*COS(B13)</f>
        <v>64.2</v>
      </c>
      <c r="M21" s="27"/>
      <c r="N21" s="29">
        <f>SIN(RADIANS(J16))*COS(RADIANS(J17))</f>
        <v>0</v>
      </c>
      <c r="O21" s="29">
        <f>SIN(RADIANS(J16))*SIN(RADIANS(J17))*SIN(RADIANS(J18))+COS(RADIANS(J16))*COS(RADIANS(J18))</f>
        <v>1</v>
      </c>
      <c r="P21" s="29">
        <f>SIN(RADIANS(J16))*SIN(RADIANS(J17))*COS(RADIANS(J18))-COS(RADIANS(J16))*SIN(RADIANS(J18))</f>
        <v>0</v>
      </c>
      <c r="Q21" s="29">
        <f>J14</f>
        <v>0</v>
      </c>
      <c r="S21" s="30" t="s">
        <v>32</v>
      </c>
      <c r="T21" s="29">
        <f>DEGREES(ACOS((E14^2+T17^2-T18^2)/(2*E14*T17)))</f>
        <v>35.696828158774991</v>
      </c>
      <c r="X21" s="29">
        <f>SIN(RADIANS(Q5-90))</f>
        <v>-0.99999998619559127</v>
      </c>
      <c r="Y21" s="29">
        <f>COS(RADIANS(Q5-90))*COS(C14)</f>
        <v>1.6615901196435819E-4</v>
      </c>
      <c r="Z21" s="29">
        <f>-COS(RADIANS(Q5-90))*SIN(C14)</f>
        <v>0</v>
      </c>
      <c r="AA21" s="29">
        <f>E14*SIN(RADIANS(Q5-90))</f>
        <v>-304.99999578965532</v>
      </c>
      <c r="AD21" s="35"/>
      <c r="AE21" s="36"/>
      <c r="AF21" s="37"/>
      <c r="AG21" s="9"/>
      <c r="AH21" s="9"/>
    </row>
    <row r="22" spans="1:34" x14ac:dyDescent="0.25">
      <c r="B22" s="29">
        <f>SIN(B13)</f>
        <v>0</v>
      </c>
      <c r="C22" s="29">
        <f>COS(B13)*COS(C13)</f>
        <v>6.1257422745431001E-17</v>
      </c>
      <c r="D22" s="29">
        <f>-COS(B13)*SIN(C13)</f>
        <v>1</v>
      </c>
      <c r="E22" s="29">
        <f>E13*SIN(B13)</f>
        <v>0</v>
      </c>
      <c r="M22" s="27"/>
      <c r="N22" s="29">
        <f>-SIN(RADIANS(J17))</f>
        <v>0</v>
      </c>
      <c r="O22" s="29">
        <f>COS(RADIANS(J17))*SIN(RADIANS(J18))</f>
        <v>0</v>
      </c>
      <c r="P22" s="29">
        <f>COS(RADIANS(J17))*COS(RADIANS(J18))</f>
        <v>1</v>
      </c>
      <c r="Q22" s="29">
        <f>J15</f>
        <v>0</v>
      </c>
      <c r="S22" s="30" t="s">
        <v>33</v>
      </c>
      <c r="T22" s="29">
        <f>DEGREES(ACOS((T18^2+E14^2-T17^2)/(2*T18*E14)))</f>
        <v>91.232068144099358</v>
      </c>
      <c r="X22" s="29">
        <v>0</v>
      </c>
      <c r="Y22" s="29">
        <f>SIN(C14)</f>
        <v>0</v>
      </c>
      <c r="Z22" s="29">
        <f>COS(C14)</f>
        <v>1</v>
      </c>
      <c r="AA22" s="29">
        <f>D14</f>
        <v>0</v>
      </c>
      <c r="AB22" s="9"/>
      <c r="AC22" s="8" t="s">
        <v>22</v>
      </c>
      <c r="AD22" s="35"/>
      <c r="AE22" s="36"/>
      <c r="AF22" s="36"/>
      <c r="AG22" s="9"/>
      <c r="AH22" s="9"/>
    </row>
    <row r="23" spans="1:34" x14ac:dyDescent="0.25">
      <c r="B23" s="29">
        <v>0</v>
      </c>
      <c r="C23" s="29">
        <f>SIN(C13)</f>
        <v>-1</v>
      </c>
      <c r="D23" s="29">
        <f>COS(C13)</f>
        <v>6.1257422745431001E-17</v>
      </c>
      <c r="E23" s="29">
        <f>D13</f>
        <v>169.77</v>
      </c>
      <c r="G23" s="8" t="s">
        <v>21</v>
      </c>
      <c r="K23" s="9"/>
      <c r="M23" s="27"/>
      <c r="N23" s="29">
        <v>0</v>
      </c>
      <c r="O23" s="29">
        <v>0</v>
      </c>
      <c r="P23" s="29">
        <v>0</v>
      </c>
      <c r="Q23" s="29">
        <v>1</v>
      </c>
      <c r="S23" s="30" t="s">
        <v>40</v>
      </c>
      <c r="T23" s="29">
        <f>DEGREES(ATAN(E15/D16))</f>
        <v>0</v>
      </c>
      <c r="X23" s="29">
        <v>0</v>
      </c>
      <c r="Y23" s="29">
        <v>0</v>
      </c>
      <c r="Z23" s="29">
        <v>0</v>
      </c>
      <c r="AA23" s="29">
        <v>1</v>
      </c>
      <c r="AB23" s="9"/>
      <c r="AC23" s="60">
        <f t="array" ref="AC23:AF26">MMULT(AC16:AF19,X26:AA29)</f>
        <v>2.1335867629450854E-2</v>
      </c>
      <c r="AD23" s="61">
        <v>-4.1623078045993614E-17</v>
      </c>
      <c r="AE23" s="61">
        <v>0.99977236446728146</v>
      </c>
      <c r="AF23" s="61">
        <v>64.250678498649137</v>
      </c>
    </row>
    <row r="24" spans="1:34" x14ac:dyDescent="0.25">
      <c r="B24" s="29">
        <v>0</v>
      </c>
      <c r="C24" s="29">
        <v>0</v>
      </c>
      <c r="D24" s="29">
        <v>0</v>
      </c>
      <c r="E24" s="29">
        <v>1</v>
      </c>
      <c r="G24" s="29">
        <f t="array" ref="G24:J27">MMULT(B21:E24,B27:E30)</f>
        <v>6.1257422745431001E-17</v>
      </c>
      <c r="H24" s="29">
        <v>1</v>
      </c>
      <c r="I24" s="29">
        <v>0</v>
      </c>
      <c r="J24" s="29">
        <v>64.200000000000017</v>
      </c>
      <c r="K24" s="9"/>
      <c r="S24" s="30" t="s">
        <v>31</v>
      </c>
      <c r="T24" s="29">
        <f>IF(S14&gt;E13,  IF(T19&gt;0,     T20-T21,     T20-T21+180),  -(T20+T21))</f>
        <v>9.5202101574258791E-3</v>
      </c>
      <c r="AB24" s="9"/>
      <c r="AC24" s="60">
        <v>6.0824860115021585E-17</v>
      </c>
      <c r="AD24" s="61">
        <v>1</v>
      </c>
      <c r="AE24" s="60">
        <v>4.0334508449317453E-17</v>
      </c>
      <c r="AF24" s="60">
        <v>-1.9944137713276234E-14</v>
      </c>
      <c r="AG24" s="9"/>
      <c r="AH24" s="9"/>
    </row>
    <row r="25" spans="1:34" x14ac:dyDescent="0.25">
      <c r="G25" s="29">
        <v>-6.1257422745431001E-17</v>
      </c>
      <c r="H25" s="29">
        <v>3.7524718414124473E-33</v>
      </c>
      <c r="I25" s="29">
        <v>1</v>
      </c>
      <c r="J25" s="29">
        <v>-1.8683513937356455E-14</v>
      </c>
      <c r="N25" s="8" t="s">
        <v>28</v>
      </c>
      <c r="S25" s="30" t="s">
        <v>34</v>
      </c>
      <c r="T25" s="29">
        <f>-(T22+T23)+90</f>
        <v>-1.2320681440993582</v>
      </c>
      <c r="X25" s="8" t="s">
        <v>5</v>
      </c>
      <c r="AB25" s="9"/>
      <c r="AC25" s="60">
        <v>-0.99977236446728146</v>
      </c>
      <c r="AD25" s="61">
        <v>5.9950442482413172E-17</v>
      </c>
      <c r="AE25" s="61">
        <v>2.1335867629450854E-2</v>
      </c>
      <c r="AF25" s="61">
        <v>474.76999578965535</v>
      </c>
      <c r="AG25" s="9"/>
      <c r="AH25" s="9"/>
    </row>
    <row r="26" spans="1:34" x14ac:dyDescent="0.25">
      <c r="B26" s="8" t="s">
        <v>4</v>
      </c>
      <c r="G26" s="29">
        <v>1</v>
      </c>
      <c r="H26" s="29">
        <v>-6.1257422745431001E-17</v>
      </c>
      <c r="I26" s="29">
        <v>6.1257422745431001E-17</v>
      </c>
      <c r="J26" s="29">
        <v>474.77</v>
      </c>
      <c r="N26" s="29">
        <f>N20</f>
        <v>1</v>
      </c>
      <c r="O26" s="29">
        <f>N21</f>
        <v>0</v>
      </c>
      <c r="P26" s="29">
        <f>N22</f>
        <v>0</v>
      </c>
      <c r="Q26" s="29">
        <f>-((N26*Q$20)+(O26*Q$21)+(P26*Q$22))</f>
        <v>0</v>
      </c>
      <c r="X26" s="29">
        <f>COS(RADIANS(Q6+180))</f>
        <v>-0.99976880551933034</v>
      </c>
      <c r="Y26" s="29">
        <f>-SIN(RADIANS(Q6+180))*COS(C15)</f>
        <v>-1.3171564008325148E-18</v>
      </c>
      <c r="Z26" s="29">
        <f>SIN(RADIANS(Q6+180))*SIN(C15)</f>
        <v>2.1501988523190969E-2</v>
      </c>
      <c r="AA26" s="29">
        <f>E15*COS(RADIANS(Q6+180))</f>
        <v>0</v>
      </c>
      <c r="AB26" s="9"/>
      <c r="AC26" s="60">
        <v>0</v>
      </c>
      <c r="AD26" s="61">
        <v>0</v>
      </c>
      <c r="AE26" s="61">
        <v>0</v>
      </c>
      <c r="AF26" s="61">
        <v>1</v>
      </c>
      <c r="AG26" s="9"/>
      <c r="AH26" s="9"/>
    </row>
    <row r="27" spans="1:34" x14ac:dyDescent="0.25">
      <c r="B27" s="29">
        <f>COS(B14)</f>
        <v>6.1257422745431001E-17</v>
      </c>
      <c r="C27" s="29">
        <f>-SIN(B14)*COS(C14)</f>
        <v>1</v>
      </c>
      <c r="D27" s="29">
        <f>SIN(B14)*SIN(C14)</f>
        <v>0</v>
      </c>
      <c r="E27" s="29">
        <f>E14*COS(B14)</f>
        <v>1.8683513937356455E-14</v>
      </c>
      <c r="G27" s="29">
        <v>0</v>
      </c>
      <c r="H27" s="29">
        <v>0</v>
      </c>
      <c r="I27" s="29">
        <v>0</v>
      </c>
      <c r="J27" s="29">
        <v>1</v>
      </c>
      <c r="N27" s="29">
        <f>O20</f>
        <v>0</v>
      </c>
      <c r="O27" s="29">
        <f>O21</f>
        <v>1</v>
      </c>
      <c r="P27" s="29">
        <f>O22</f>
        <v>0</v>
      </c>
      <c r="Q27" s="29">
        <f>-((N27*Q$20)+(O27*Q$21)+(P27*Q$22))</f>
        <v>0</v>
      </c>
      <c r="X27" s="29">
        <f>SIN(RADIANS(Q6+180))</f>
        <v>2.1501988523190969E-2</v>
      </c>
      <c r="Y27" s="29">
        <f>COS(RADIANS(Q6+180))*COS(C15)</f>
        <v>-6.1243260367392211E-17</v>
      </c>
      <c r="Z27" s="29">
        <f>-COS(RADIANS(Q6+180))*SIN(C15)</f>
        <v>0.99976880551933034</v>
      </c>
      <c r="AA27" s="29">
        <f>E15*SIN(RADIANS(Q6+180))</f>
        <v>0</v>
      </c>
      <c r="AB27" s="9"/>
      <c r="AD27" s="35"/>
      <c r="AE27" s="36"/>
      <c r="AF27" s="39"/>
    </row>
    <row r="28" spans="1:34" ht="14.45" x14ac:dyDescent="0.3">
      <c r="B28" s="29">
        <f>SIN(B14)</f>
        <v>-1</v>
      </c>
      <c r="C28" s="29">
        <f>COS(B14)*COS(C14)</f>
        <v>6.1257422745431001E-17</v>
      </c>
      <c r="D28" s="29">
        <f>-COS(B14)*SIN(C14)</f>
        <v>0</v>
      </c>
      <c r="E28" s="29">
        <f>E14*SIN(B14)</f>
        <v>-305</v>
      </c>
      <c r="N28" s="29">
        <f>P20</f>
        <v>0</v>
      </c>
      <c r="O28" s="29">
        <f>P21</f>
        <v>0</v>
      </c>
      <c r="P28" s="29">
        <f>P22</f>
        <v>1</v>
      </c>
      <c r="Q28" s="29">
        <f>-((N28*Q$20)+(O28*Q$21)+(P28*Q$22))</f>
        <v>0</v>
      </c>
      <c r="X28" s="29">
        <v>0</v>
      </c>
      <c r="Y28" s="29">
        <f>SIN(C15)</f>
        <v>1</v>
      </c>
      <c r="Z28" s="29">
        <f>COS(C15)</f>
        <v>6.1257422745431001E-17</v>
      </c>
      <c r="AA28" s="29">
        <f>D15</f>
        <v>0</v>
      </c>
      <c r="AC28" s="8" t="s">
        <v>37</v>
      </c>
      <c r="AD28" s="35"/>
      <c r="AE28" s="37"/>
      <c r="AF28" s="36"/>
      <c r="AG28" s="9"/>
      <c r="AH28" s="9"/>
    </row>
    <row r="29" spans="1:34" ht="14.45" x14ac:dyDescent="0.3">
      <c r="B29" s="29">
        <v>0</v>
      </c>
      <c r="C29" s="29">
        <f>SIN(C14)</f>
        <v>0</v>
      </c>
      <c r="D29" s="29">
        <f>COS(C14)</f>
        <v>1</v>
      </c>
      <c r="E29" s="29">
        <f>D14</f>
        <v>0</v>
      </c>
      <c r="G29" s="8" t="s">
        <v>22</v>
      </c>
      <c r="N29" s="29">
        <v>0</v>
      </c>
      <c r="O29" s="29">
        <v>0</v>
      </c>
      <c r="P29" s="29">
        <v>0</v>
      </c>
      <c r="Q29" s="29">
        <v>1</v>
      </c>
      <c r="X29" s="29">
        <v>0</v>
      </c>
      <c r="Y29" s="29">
        <v>0</v>
      </c>
      <c r="Z29" s="29">
        <v>0</v>
      </c>
      <c r="AA29" s="29">
        <v>1</v>
      </c>
      <c r="AB29" s="9"/>
      <c r="AC29" s="29">
        <f>AC23</f>
        <v>2.1335867629450854E-2</v>
      </c>
      <c r="AD29" s="38">
        <f>AC24</f>
        <v>6.0824860115021585E-17</v>
      </c>
      <c r="AE29" s="29">
        <f>AC25</f>
        <v>-0.99977236446728146</v>
      </c>
      <c r="AF29" s="9"/>
      <c r="AG29" s="9"/>
      <c r="AH29" s="9"/>
    </row>
    <row r="30" spans="1:34" ht="14.45" x14ac:dyDescent="0.3">
      <c r="B30" s="29">
        <v>0</v>
      </c>
      <c r="C30" s="29">
        <v>0</v>
      </c>
      <c r="D30" s="29">
        <v>0</v>
      </c>
      <c r="E30" s="29">
        <v>1</v>
      </c>
      <c r="G30" s="29">
        <f t="array" ref="G30:J33">MMULT(G24:J27,B33:E36)</f>
        <v>6.1257422745431001E-17</v>
      </c>
      <c r="H30" s="29">
        <v>-6.1257422745431001E-17</v>
      </c>
      <c r="I30" s="29">
        <v>1</v>
      </c>
      <c r="J30" s="29">
        <v>64.200000000000017</v>
      </c>
      <c r="AB30" s="9"/>
      <c r="AC30" s="29">
        <f>AD23</f>
        <v>-4.1623078045993614E-17</v>
      </c>
      <c r="AD30" s="38">
        <f>AD24</f>
        <v>1</v>
      </c>
      <c r="AE30" s="34">
        <f>AD25</f>
        <v>5.9950442482413172E-17</v>
      </c>
      <c r="AF30" s="36"/>
      <c r="AG30" s="9"/>
      <c r="AH30" s="9"/>
    </row>
    <row r="31" spans="1:34" ht="14.45" x14ac:dyDescent="0.3">
      <c r="G31" s="29">
        <v>6.1257422745431001E-17</v>
      </c>
      <c r="H31" s="29">
        <v>1</v>
      </c>
      <c r="I31" s="29">
        <v>6.1257422745431001E-17</v>
      </c>
      <c r="J31" s="29">
        <v>-1.8683513937356455E-14</v>
      </c>
      <c r="N31" s="8" t="s">
        <v>42</v>
      </c>
      <c r="AB31" s="9"/>
      <c r="AC31" s="29">
        <f>AE23</f>
        <v>0.99977236446728146</v>
      </c>
      <c r="AD31" s="38">
        <f>AE24</f>
        <v>4.0334508449317453E-17</v>
      </c>
      <c r="AE31" s="34">
        <f>AE25</f>
        <v>2.1335867629450854E-2</v>
      </c>
      <c r="AF31" s="36"/>
    </row>
    <row r="32" spans="1:34" ht="15.75" thickBot="1" x14ac:dyDescent="0.3">
      <c r="B32" s="8" t="s">
        <v>5</v>
      </c>
      <c r="G32" s="29">
        <v>-1</v>
      </c>
      <c r="H32" s="29">
        <v>6.1257422745431001E-17</v>
      </c>
      <c r="I32" s="29">
        <v>6.1257422745431001E-17</v>
      </c>
      <c r="J32" s="29">
        <v>474.77</v>
      </c>
      <c r="N32" s="29">
        <f t="array" ref="N32:Q35">MMULT(N14:Q17,N26:Q29)</f>
        <v>-1</v>
      </c>
      <c r="O32" s="29">
        <v>1.2251484549086198E-16</v>
      </c>
      <c r="P32" s="29">
        <v>1.2251484549086203E-16</v>
      </c>
      <c r="Q32" s="29">
        <v>286.83000000000004</v>
      </c>
      <c r="X32" s="8" t="s">
        <v>38</v>
      </c>
      <c r="AB32" s="9"/>
      <c r="AD32" s="9"/>
      <c r="AG32" s="9"/>
      <c r="AH32" s="9"/>
    </row>
    <row r="33" spans="2:34" x14ac:dyDescent="0.25">
      <c r="B33" s="29">
        <f>COS(B15)</f>
        <v>-1</v>
      </c>
      <c r="C33" s="29">
        <f>-SIN(B15)*COS(C15)</f>
        <v>-7.5049436828248946E-33</v>
      </c>
      <c r="D33" s="29">
        <f>SIN(B15)*SIN(C15)</f>
        <v>1.22514845490862E-16</v>
      </c>
      <c r="E33" s="29">
        <f>E15*COS(B15)</f>
        <v>0</v>
      </c>
      <c r="G33" s="29">
        <v>0</v>
      </c>
      <c r="H33" s="29">
        <v>0</v>
      </c>
      <c r="I33" s="29">
        <v>0</v>
      </c>
      <c r="J33" s="29">
        <v>1</v>
      </c>
      <c r="N33" s="29">
        <v>1.22514845490862E-16</v>
      </c>
      <c r="O33" s="29">
        <v>1</v>
      </c>
      <c r="P33" s="29">
        <v>1.2251484549086198E-16</v>
      </c>
      <c r="Q33" s="29">
        <v>-6.0461076249740429E-16</v>
      </c>
      <c r="X33" s="63">
        <f t="array" ref="X33:Z35">MMULT(AC29:AE31,N32:P34)</f>
        <v>-2.1335867629450733E-2</v>
      </c>
      <c r="Y33" s="64">
        <v>-5.9048136117685515E-17</v>
      </c>
      <c r="Z33" s="65">
        <v>0.99977236446728146</v>
      </c>
      <c r="AB33" s="9"/>
      <c r="AD33" s="9"/>
      <c r="AE33" s="9"/>
      <c r="AG33" s="9"/>
      <c r="AH33" s="9"/>
    </row>
    <row r="34" spans="2:34" x14ac:dyDescent="0.25">
      <c r="B34" s="29">
        <f>SIN(B15)</f>
        <v>1.22514845490862E-16</v>
      </c>
      <c r="C34" s="29">
        <f>COS(B15)*COS(C15)</f>
        <v>-6.1257422745431001E-17</v>
      </c>
      <c r="D34" s="29">
        <f>-COS(B15)*SIN(C15)</f>
        <v>1</v>
      </c>
      <c r="E34" s="29">
        <f>E15*SIN(B15)</f>
        <v>0</v>
      </c>
      <c r="N34" s="29">
        <v>-1.22514845490862E-16</v>
      </c>
      <c r="O34" s="29">
        <v>1.22514845490862E-16</v>
      </c>
      <c r="P34" s="29">
        <v>-1</v>
      </c>
      <c r="Q34" s="29">
        <v>438.52</v>
      </c>
      <c r="X34" s="66">
        <v>1.6413792353685562E-16</v>
      </c>
      <c r="Y34" s="29">
        <v>1</v>
      </c>
      <c r="Z34" s="67">
        <v>6.2564403008448805E-17</v>
      </c>
      <c r="AB34" s="9"/>
    </row>
    <row r="35" spans="2:34" ht="15.75" thickBot="1" x14ac:dyDescent="0.3">
      <c r="B35" s="29">
        <v>0</v>
      </c>
      <c r="C35" s="29">
        <f>SIN(C15)</f>
        <v>1</v>
      </c>
      <c r="D35" s="29">
        <f>COS(C15)</f>
        <v>6.1257422745431001E-17</v>
      </c>
      <c r="E35" s="29">
        <f>D15</f>
        <v>0</v>
      </c>
      <c r="G35" s="8" t="s">
        <v>23</v>
      </c>
      <c r="N35" s="29">
        <v>0</v>
      </c>
      <c r="O35" s="29">
        <v>0</v>
      </c>
      <c r="P35" s="29">
        <v>0</v>
      </c>
      <c r="Q35" s="29">
        <v>1</v>
      </c>
      <c r="X35" s="68">
        <v>-0.99977236446728146</v>
      </c>
      <c r="Y35" s="69">
        <v>1.6543542573409583E-16</v>
      </c>
      <c r="Z35" s="70">
        <v>-2.1335867629450733E-2</v>
      </c>
    </row>
    <row r="36" spans="2:34" x14ac:dyDescent="0.25">
      <c r="B36" s="29">
        <v>0</v>
      </c>
      <c r="C36" s="29">
        <v>0</v>
      </c>
      <c r="D36" s="29">
        <v>0</v>
      </c>
      <c r="E36" s="29">
        <v>1</v>
      </c>
      <c r="G36" s="29">
        <f t="array" ref="G36:J39">MMULT(G30:J33,B39:E42)</f>
        <v>6.1257422745431001E-17</v>
      </c>
      <c r="H36" s="29">
        <v>-1</v>
      </c>
      <c r="I36" s="29">
        <v>0</v>
      </c>
      <c r="J36" s="29">
        <v>286.83000000000004</v>
      </c>
      <c r="AB36" s="9"/>
    </row>
    <row r="37" spans="2:34" x14ac:dyDescent="0.25">
      <c r="G37" s="29">
        <v>6.1257422745431001E-17</v>
      </c>
      <c r="H37" s="29">
        <v>0</v>
      </c>
      <c r="I37" s="29">
        <v>1</v>
      </c>
      <c r="J37" s="29">
        <v>-5.0457739115411518E-15</v>
      </c>
      <c r="N37" s="8" t="s">
        <v>41</v>
      </c>
      <c r="Q37" s="9"/>
      <c r="AB37" s="9"/>
    </row>
    <row r="38" spans="2:34" x14ac:dyDescent="0.25">
      <c r="B38" s="8" t="s">
        <v>6</v>
      </c>
      <c r="G38" s="29">
        <v>-1</v>
      </c>
      <c r="H38" s="29">
        <v>-6.1257422745431001E-17</v>
      </c>
      <c r="I38" s="29">
        <v>6.1257422745431001E-17</v>
      </c>
      <c r="J38" s="29">
        <v>474.77</v>
      </c>
      <c r="N38" s="29">
        <v>1</v>
      </c>
      <c r="O38" s="29">
        <v>0</v>
      </c>
      <c r="P38" s="29">
        <v>0</v>
      </c>
      <c r="Q38" s="29">
        <v>0</v>
      </c>
      <c r="AB38" s="9"/>
    </row>
    <row r="39" spans="2:34" x14ac:dyDescent="0.25">
      <c r="B39" s="29">
        <f>COS(B16)</f>
        <v>1</v>
      </c>
      <c r="C39" s="29">
        <f>-SIN(B16)*COS(C16)</f>
        <v>0</v>
      </c>
      <c r="D39" s="29">
        <f>SIN(B16)*SIN(C16)</f>
        <v>0</v>
      </c>
      <c r="E39" s="29">
        <f>E16*COS(B16)</f>
        <v>0</v>
      </c>
      <c r="G39" s="29">
        <v>0</v>
      </c>
      <c r="H39" s="29">
        <v>0</v>
      </c>
      <c r="I39" s="29">
        <v>0</v>
      </c>
      <c r="J39" s="29">
        <v>1</v>
      </c>
      <c r="N39" s="29">
        <v>0</v>
      </c>
      <c r="O39" s="29">
        <v>1</v>
      </c>
      <c r="P39" s="29">
        <v>0</v>
      </c>
      <c r="Q39" s="29">
        <v>0</v>
      </c>
      <c r="AB39" s="9"/>
    </row>
    <row r="40" spans="2:34" x14ac:dyDescent="0.25">
      <c r="B40" s="29">
        <f>SIN(B16)</f>
        <v>0</v>
      </c>
      <c r="C40" s="29">
        <f>COS(B16)*COS(C16)</f>
        <v>6.1257422745431001E-17</v>
      </c>
      <c r="D40" s="29">
        <f>-COS(B16)*SIN(C16)</f>
        <v>1</v>
      </c>
      <c r="E40" s="29">
        <f>E16*SIN(B16)</f>
        <v>0</v>
      </c>
      <c r="N40" s="29">
        <v>0</v>
      </c>
      <c r="O40" s="29">
        <v>0</v>
      </c>
      <c r="P40" s="29">
        <v>1</v>
      </c>
      <c r="Q40" s="29">
        <f>-D18</f>
        <v>-41</v>
      </c>
      <c r="AB40" s="9"/>
    </row>
    <row r="41" spans="2:34" ht="15.75" thickBot="1" x14ac:dyDescent="0.3">
      <c r="B41" s="29">
        <v>0</v>
      </c>
      <c r="C41" s="29">
        <f>SIN(C16)</f>
        <v>-1</v>
      </c>
      <c r="D41" s="29">
        <f>COS(C16)</f>
        <v>6.1257422745431001E-17</v>
      </c>
      <c r="E41" s="29">
        <f>D16</f>
        <v>222.63</v>
      </c>
      <c r="G41" s="8" t="s">
        <v>29</v>
      </c>
      <c r="N41" s="29">
        <v>0</v>
      </c>
      <c r="O41" s="29">
        <v>0</v>
      </c>
      <c r="P41" s="29">
        <v>0</v>
      </c>
      <c r="Q41" s="29">
        <v>1</v>
      </c>
      <c r="AB41" s="9"/>
    </row>
    <row r="42" spans="2:34" x14ac:dyDescent="0.25">
      <c r="B42" s="29">
        <v>0</v>
      </c>
      <c r="C42" s="29">
        <v>0</v>
      </c>
      <c r="D42" s="29">
        <v>0</v>
      </c>
      <c r="E42" s="29">
        <v>1</v>
      </c>
      <c r="G42" s="29">
        <f t="array" ref="G42:J45">MMULT(G36:J39,B45:E48)</f>
        <v>-1</v>
      </c>
      <c r="H42" s="29">
        <v>-7.5049436828248946E-33</v>
      </c>
      <c r="I42" s="40">
        <v>1.22514845490862E-16</v>
      </c>
      <c r="J42" s="41">
        <v>286.83000000000004</v>
      </c>
    </row>
    <row r="43" spans="2:34" ht="15.75" thickBot="1" x14ac:dyDescent="0.3">
      <c r="G43" s="29">
        <v>3.7524718414124473E-33</v>
      </c>
      <c r="H43" s="29">
        <v>1</v>
      </c>
      <c r="I43" s="40">
        <v>1.22514845490862E-16</v>
      </c>
      <c r="J43" s="42">
        <v>-5.0457739115411518E-15</v>
      </c>
      <c r="N43" s="8" t="s">
        <v>43</v>
      </c>
      <c r="AB43" s="9"/>
    </row>
    <row r="44" spans="2:34" ht="15.75" thickBot="1" x14ac:dyDescent="0.3">
      <c r="B44" s="8" t="s">
        <v>7</v>
      </c>
      <c r="G44" s="29">
        <v>-1.22514845490862E-16</v>
      </c>
      <c r="H44" s="29">
        <v>1.22514845490862E-16</v>
      </c>
      <c r="I44" s="40">
        <v>-1</v>
      </c>
      <c r="J44" s="43">
        <v>474.77</v>
      </c>
      <c r="N44" s="29">
        <f t="array" ref="N44:Q47">MMULT(N32:Q35,N38:Q41)</f>
        <v>-1</v>
      </c>
      <c r="O44" s="29">
        <v>1.2251484549086198E-16</v>
      </c>
      <c r="P44" s="40">
        <v>1.2251484549086203E-16</v>
      </c>
      <c r="Q44" s="41">
        <v>286.83000000000004</v>
      </c>
      <c r="AB44" s="9"/>
    </row>
    <row r="45" spans="2:34" x14ac:dyDescent="0.25">
      <c r="B45" s="29">
        <f>COS(B17)</f>
        <v>6.1257422745431001E-17</v>
      </c>
      <c r="C45" s="29">
        <f>-SIN(B17)*COS(C17)</f>
        <v>-6.1257422745431001E-17</v>
      </c>
      <c r="D45" s="29">
        <f>SIN(B17)*SIN(C17)</f>
        <v>1</v>
      </c>
      <c r="E45" s="29">
        <f>E17*COS(B17)</f>
        <v>0</v>
      </c>
      <c r="G45" s="29">
        <v>0</v>
      </c>
      <c r="H45" s="29">
        <v>0</v>
      </c>
      <c r="I45" s="29">
        <v>0</v>
      </c>
      <c r="J45" s="44">
        <v>1</v>
      </c>
      <c r="N45" s="29">
        <v>1.22514845490862E-16</v>
      </c>
      <c r="O45" s="29">
        <v>1</v>
      </c>
      <c r="P45" s="40">
        <v>1.2251484549086198E-16</v>
      </c>
      <c r="Q45" s="42">
        <v>-5.6277194276227455E-15</v>
      </c>
      <c r="AB45" s="9"/>
    </row>
    <row r="46" spans="2:34" ht="15.75" thickBot="1" x14ac:dyDescent="0.3">
      <c r="B46" s="29">
        <f>SIN(B17)</f>
        <v>1</v>
      </c>
      <c r="C46" s="29">
        <f>COS(B17)*COS(C17)</f>
        <v>3.7524718414124473E-33</v>
      </c>
      <c r="D46" s="29">
        <f>-COS(B17)*SIN(C17)</f>
        <v>-6.1257422745431001E-17</v>
      </c>
      <c r="E46" s="29">
        <f>E17*SIN(B17)</f>
        <v>0</v>
      </c>
      <c r="N46" s="29">
        <v>-1.22514845490862E-16</v>
      </c>
      <c r="O46" s="29">
        <v>1.22514845490862E-16</v>
      </c>
      <c r="P46" s="40">
        <v>-1</v>
      </c>
      <c r="Q46" s="43">
        <v>479.52</v>
      </c>
      <c r="AB46" s="9"/>
    </row>
    <row r="47" spans="2:34" x14ac:dyDescent="0.25">
      <c r="B47" s="29">
        <v>0</v>
      </c>
      <c r="C47" s="29">
        <f>SIN(C17)</f>
        <v>1</v>
      </c>
      <c r="D47" s="29">
        <f>COS(C17)</f>
        <v>6.1257422745431001E-17</v>
      </c>
      <c r="E47" s="29">
        <f>D17</f>
        <v>0</v>
      </c>
      <c r="G47" s="8" t="s">
        <v>24</v>
      </c>
      <c r="N47" s="29">
        <v>0</v>
      </c>
      <c r="O47" s="29">
        <v>0</v>
      </c>
      <c r="P47" s="29">
        <v>0</v>
      </c>
      <c r="Q47" s="44">
        <v>1</v>
      </c>
      <c r="AB47" s="9"/>
    </row>
    <row r="48" spans="2:34" x14ac:dyDescent="0.25">
      <c r="B48" s="29">
        <v>0</v>
      </c>
      <c r="C48" s="29">
        <v>0</v>
      </c>
      <c r="D48" s="29">
        <v>0</v>
      </c>
      <c r="E48" s="29">
        <v>1</v>
      </c>
      <c r="G48" s="29">
        <f t="array" ref="G48:J51">MMULT(G42:J45,B51:E54)</f>
        <v>-1</v>
      </c>
      <c r="H48" s="29">
        <v>-7.5049436828248946E-33</v>
      </c>
      <c r="I48" s="29">
        <v>1.22514845490862E-16</v>
      </c>
      <c r="J48" s="29">
        <v>286.83000000000004</v>
      </c>
      <c r="AB48" s="9"/>
    </row>
    <row r="49" spans="2:33" x14ac:dyDescent="0.25">
      <c r="G49" s="29">
        <v>3.7524718414124473E-33</v>
      </c>
      <c r="H49" s="29">
        <v>1</v>
      </c>
      <c r="I49" s="29">
        <v>1.22514845490862E-16</v>
      </c>
      <c r="J49" s="29">
        <v>-2.2665246415809786E-17</v>
      </c>
      <c r="N49" s="29" t="s">
        <v>39</v>
      </c>
      <c r="O49" s="25" t="str">
        <f>IF(B8&gt;0,"F","N")</f>
        <v>F</v>
      </c>
    </row>
    <row r="50" spans="2:33" x14ac:dyDescent="0.25">
      <c r="B50" s="8" t="s">
        <v>8</v>
      </c>
      <c r="G50" s="29">
        <v>-1.22514845490862E-16</v>
      </c>
      <c r="H50" s="29">
        <v>1.22514845490862E-16</v>
      </c>
      <c r="I50" s="29">
        <v>-1</v>
      </c>
      <c r="J50" s="29">
        <v>433.77</v>
      </c>
      <c r="O50" s="9"/>
    </row>
    <row r="51" spans="2:33" x14ac:dyDescent="0.25">
      <c r="B51" s="29">
        <f>COS(B18)</f>
        <v>1</v>
      </c>
      <c r="C51" s="29">
        <f>-SIN(B18)*COS(C18)</f>
        <v>0</v>
      </c>
      <c r="D51" s="29">
        <f>SIN(B18)*SIN(C18)</f>
        <v>0</v>
      </c>
      <c r="E51" s="29">
        <f>E18*COS(B18)</f>
        <v>0</v>
      </c>
      <c r="G51" s="29">
        <v>0</v>
      </c>
      <c r="H51" s="29">
        <v>0</v>
      </c>
      <c r="I51" s="29">
        <v>0</v>
      </c>
      <c r="J51" s="29">
        <v>1</v>
      </c>
      <c r="N51" s="45" t="s">
        <v>36</v>
      </c>
    </row>
    <row r="52" spans="2:33" x14ac:dyDescent="0.25">
      <c r="B52" s="29">
        <f>SIN(B18)</f>
        <v>0</v>
      </c>
      <c r="C52" s="29">
        <f>COS(B18)*COS(C18)</f>
        <v>1</v>
      </c>
      <c r="D52" s="29">
        <f>-COS(B18)*SIN(C18)</f>
        <v>0</v>
      </c>
      <c r="E52" s="29">
        <f>E18*SIN(B18)</f>
        <v>0</v>
      </c>
      <c r="N52" s="46" t="s">
        <v>35</v>
      </c>
      <c r="O52" s="29">
        <f>IF(Q44=0,RADIANS(-90),        IF(AND(Q44&gt;=0,Q45&gt;0),DEGREES(ATAN((Q45)/(Q44))),        IF(AND(Q44&gt;=0,Q45&lt;0),DEGREES(ATAN((Q45)/(Q44))),      IF(AND(Q44&lt;0,Q45&lt;=0),-180+DEGREES(ATAN((Q45)/(Q44))),    IF(AND(Q44&lt;=0,Q45&gt;0),180+DEGREES(ATAN((Q45)/(Q44))),)))))</f>
        <v>-1.1241661314596193E-15</v>
      </c>
      <c r="P52" s="35"/>
    </row>
    <row r="53" spans="2:33" x14ac:dyDescent="0.25">
      <c r="B53" s="29">
        <v>0</v>
      </c>
      <c r="C53" s="29">
        <f>SIN(C18)</f>
        <v>0</v>
      </c>
      <c r="D53" s="29">
        <f>COS(C18)</f>
        <v>1</v>
      </c>
      <c r="E53" s="29">
        <f>D18</f>
        <v>41</v>
      </c>
      <c r="G53" s="8" t="s">
        <v>25</v>
      </c>
    </row>
    <row r="54" spans="2:33" x14ac:dyDescent="0.25">
      <c r="B54" s="29">
        <v>0</v>
      </c>
      <c r="C54" s="29">
        <v>0</v>
      </c>
      <c r="D54" s="29">
        <v>0</v>
      </c>
      <c r="E54" s="29">
        <v>1</v>
      </c>
      <c r="G54" s="29">
        <f t="array" ref="G54:J57">MMULT(G48:J51,B57:E60)</f>
        <v>-1</v>
      </c>
      <c r="H54" s="29">
        <v>-7.5049436828248946E-33</v>
      </c>
      <c r="I54" s="29">
        <v>1.22514845490862E-16</v>
      </c>
      <c r="J54" s="29">
        <v>286.83000000000004</v>
      </c>
    </row>
    <row r="55" spans="2:33" x14ac:dyDescent="0.25">
      <c r="G55" s="29">
        <v>3.7524718414124473E-33</v>
      </c>
      <c r="H55" s="29">
        <v>1</v>
      </c>
      <c r="I55" s="29">
        <v>1.22514845490862E-16</v>
      </c>
      <c r="J55" s="29">
        <v>-2.2665246415809786E-17</v>
      </c>
    </row>
    <row r="56" spans="2:33" x14ac:dyDescent="0.25">
      <c r="B56" s="8" t="s">
        <v>16</v>
      </c>
      <c r="G56" s="29">
        <v>-1.22514845490862E-16</v>
      </c>
      <c r="H56" s="29">
        <v>1.22514845490862E-16</v>
      </c>
      <c r="I56" s="29">
        <v>-1</v>
      </c>
      <c r="J56" s="29">
        <v>433.77</v>
      </c>
    </row>
    <row r="57" spans="2:33" x14ac:dyDescent="0.25">
      <c r="B57" s="29">
        <f>COS(RADIANS(J16))*COS(RADIANS(J17))</f>
        <v>1</v>
      </c>
      <c r="C57" s="29">
        <f>COS(RADIANS(J16))*SIN(RADIANS(J17))*SIN(RADIANS(J18))-SIN(RADIANS(J16))*COS(RADIANS(J18))</f>
        <v>0</v>
      </c>
      <c r="D57" s="29">
        <f>COS(RADIANS(J16))*SIN(RADIANS(J17))*COS(RADIANS(J18))+SIN(RADIANS(J16))*SIN(RADIANS(J18))</f>
        <v>0</v>
      </c>
      <c r="E57" s="29">
        <f>J13</f>
        <v>0</v>
      </c>
      <c r="G57" s="29">
        <v>0</v>
      </c>
      <c r="H57" s="29">
        <v>0</v>
      </c>
      <c r="I57" s="29">
        <v>0</v>
      </c>
      <c r="J57" s="29">
        <v>1</v>
      </c>
    </row>
    <row r="58" spans="2:33" x14ac:dyDescent="0.25">
      <c r="B58" s="29">
        <f>SIN(RADIANS(J16))*COS(RADIANS(J17))</f>
        <v>0</v>
      </c>
      <c r="C58" s="29">
        <f>SIN(RADIANS(J16))*SIN(RADIANS(J17))*SIN(RADIANS(J18))+COS(RADIANS(J16))*COS(RADIANS(J18))</f>
        <v>1</v>
      </c>
      <c r="D58" s="29">
        <f>SIN(RADIANS(J16))*SIN(RADIANS(J17))*COS(RADIANS(J18))-COS(RADIANS(J16))*SIN(RADIANS(J18))</f>
        <v>0</v>
      </c>
      <c r="E58" s="29">
        <f>J14</f>
        <v>0</v>
      </c>
    </row>
    <row r="59" spans="2:33" x14ac:dyDescent="0.25">
      <c r="B59" s="29">
        <f>-SIN(RADIANS(J17))</f>
        <v>0</v>
      </c>
      <c r="C59" s="29">
        <f>COS(RADIANS(J17))*SIN(RADIANS(J18))</f>
        <v>0</v>
      </c>
      <c r="D59" s="29">
        <f>COS(RADIANS(J17))*COS(RADIANS(J18))</f>
        <v>1</v>
      </c>
      <c r="E59" s="29">
        <f>J15</f>
        <v>0</v>
      </c>
    </row>
    <row r="60" spans="2:33" x14ac:dyDescent="0.25">
      <c r="B60" s="29">
        <v>0</v>
      </c>
      <c r="C60" s="29">
        <v>0</v>
      </c>
      <c r="D60" s="29">
        <v>0</v>
      </c>
      <c r="E60" s="29">
        <v>1</v>
      </c>
    </row>
    <row r="62" spans="2:33" x14ac:dyDescent="0.25">
      <c r="AG62" s="9"/>
    </row>
    <row r="85" spans="1:23" x14ac:dyDescent="0.25">
      <c r="A85" s="47"/>
      <c r="B85" s="9"/>
      <c r="C85" s="9"/>
    </row>
    <row r="86" spans="1:23" x14ac:dyDescent="0.25">
      <c r="A86" s="47"/>
      <c r="B86" s="9"/>
      <c r="C86" s="9"/>
    </row>
    <row r="87" spans="1:23" x14ac:dyDescent="0.25">
      <c r="A87" s="47"/>
      <c r="B87" s="9"/>
      <c r="C87" s="9"/>
    </row>
    <row r="88" spans="1:23" x14ac:dyDescent="0.25">
      <c r="B88" s="9"/>
      <c r="C88" s="9"/>
    </row>
    <row r="89" spans="1:23" x14ac:dyDescent="0.25">
      <c r="B89" s="9"/>
      <c r="C89" s="9"/>
    </row>
    <row r="90" spans="1:23" x14ac:dyDescent="0.25">
      <c r="B90" s="9"/>
      <c r="C90" s="9"/>
      <c r="D90" s="27"/>
    </row>
    <row r="91" spans="1:23" x14ac:dyDescent="0.25">
      <c r="A91" s="15"/>
      <c r="B91" s="16"/>
      <c r="C91" s="15"/>
      <c r="D91" s="15"/>
      <c r="E91" s="15"/>
      <c r="F91" s="15"/>
    </row>
    <row r="92" spans="1:23" x14ac:dyDescent="0.25">
      <c r="C92" s="9"/>
    </row>
    <row r="94" spans="1:23" x14ac:dyDescent="0.25">
      <c r="R94" s="9"/>
    </row>
    <row r="95" spans="1:23" x14ac:dyDescent="0.25">
      <c r="B95" s="9"/>
      <c r="C95" s="9"/>
      <c r="D95" s="9"/>
      <c r="E95" s="9"/>
      <c r="F95" s="9"/>
      <c r="G95" s="9"/>
      <c r="H95" s="9"/>
      <c r="O95" s="48"/>
      <c r="R95" s="9"/>
    </row>
    <row r="96" spans="1:23" x14ac:dyDescent="0.25">
      <c r="A96" s="27"/>
      <c r="B96" s="27"/>
      <c r="C96" s="27"/>
      <c r="D96" s="27"/>
      <c r="S96" s="9"/>
      <c r="T96" s="9"/>
      <c r="V96" s="9"/>
      <c r="W96" s="9"/>
    </row>
    <row r="97" spans="1:27" x14ac:dyDescent="0.25">
      <c r="A97" s="27"/>
      <c r="B97" s="27"/>
      <c r="C97" s="27"/>
      <c r="D97" s="27"/>
      <c r="S97" s="9"/>
      <c r="T97" s="9"/>
      <c r="V97" s="9"/>
      <c r="W97" s="9"/>
    </row>
    <row r="98" spans="1:27" x14ac:dyDescent="0.25">
      <c r="A98" s="27"/>
      <c r="B98" s="27"/>
      <c r="C98" s="27"/>
      <c r="D98" s="27"/>
      <c r="O98" s="16"/>
      <c r="P98" s="16"/>
      <c r="Q98" s="16"/>
      <c r="S98" s="9"/>
      <c r="T98" s="9"/>
      <c r="V98" s="9"/>
      <c r="W98" s="9"/>
    </row>
    <row r="99" spans="1:27" x14ac:dyDescent="0.25">
      <c r="A99" s="27"/>
      <c r="B99" s="27"/>
      <c r="C99" s="27"/>
      <c r="D99" s="27"/>
      <c r="S99" s="9"/>
      <c r="T99" s="9"/>
      <c r="V99" s="9"/>
      <c r="W99" s="9"/>
    </row>
    <row r="100" spans="1:27" x14ac:dyDescent="0.25">
      <c r="A100" s="27"/>
      <c r="B100" s="27"/>
      <c r="C100" s="27"/>
      <c r="D100" s="27"/>
      <c r="S100" s="9"/>
      <c r="T100" s="9"/>
      <c r="V100" s="9"/>
      <c r="W100" s="9"/>
    </row>
    <row r="101" spans="1:27" x14ac:dyDescent="0.25">
      <c r="A101" s="27"/>
      <c r="B101" s="27"/>
      <c r="C101" s="27"/>
      <c r="D101" s="27"/>
      <c r="J101" s="9"/>
      <c r="K101" s="9"/>
      <c r="L101" s="49"/>
      <c r="M101" s="9"/>
      <c r="N101" s="9"/>
      <c r="O101" s="9"/>
      <c r="P101" s="9"/>
      <c r="Q101" s="9"/>
      <c r="S101" s="9"/>
      <c r="T101" s="9"/>
      <c r="V101" s="9"/>
      <c r="W101" s="9"/>
    </row>
    <row r="102" spans="1:27" x14ac:dyDescent="0.25">
      <c r="A102" s="27"/>
      <c r="B102" s="27"/>
      <c r="C102" s="27"/>
      <c r="D102" s="27"/>
    </row>
    <row r="103" spans="1:27" x14ac:dyDescent="0.25">
      <c r="A103" s="27"/>
      <c r="B103" s="27"/>
      <c r="C103" s="27"/>
      <c r="D103" s="27"/>
      <c r="AA103" s="9"/>
    </row>
    <row r="104" spans="1:27" x14ac:dyDescent="0.25">
      <c r="A104" s="27"/>
      <c r="B104" s="27"/>
      <c r="C104" s="27"/>
      <c r="D104" s="27"/>
      <c r="AA104" s="9"/>
    </row>
    <row r="105" spans="1:27" x14ac:dyDescent="0.25">
      <c r="A105" s="27"/>
      <c r="B105" s="27"/>
      <c r="C105" s="27"/>
      <c r="D105" s="27"/>
      <c r="E105" s="27"/>
      <c r="F105" s="27"/>
      <c r="G105" s="27"/>
      <c r="H105" s="27"/>
      <c r="O105" s="9"/>
    </row>
    <row r="106" spans="1:27" x14ac:dyDescent="0.25">
      <c r="A106" s="27"/>
      <c r="B106" s="27"/>
      <c r="C106" s="27"/>
      <c r="D106" s="27"/>
      <c r="E106" s="27"/>
      <c r="F106" s="27"/>
      <c r="G106" s="27"/>
      <c r="H106" s="27"/>
      <c r="S106" s="27"/>
      <c r="T106" s="27"/>
      <c r="V106" s="27"/>
    </row>
    <row r="107" spans="1:27" x14ac:dyDescent="0.25">
      <c r="A107" s="27"/>
      <c r="B107" s="27"/>
      <c r="C107" s="27"/>
      <c r="D107" s="27"/>
      <c r="E107" s="27"/>
      <c r="F107" s="27"/>
      <c r="G107" s="27"/>
      <c r="H107" s="27"/>
      <c r="S107" s="27"/>
      <c r="T107" s="27"/>
      <c r="V107" s="27"/>
    </row>
    <row r="108" spans="1:27" x14ac:dyDescent="0.25">
      <c r="A108" s="27"/>
      <c r="B108" s="27"/>
      <c r="C108" s="27"/>
      <c r="D108" s="27"/>
      <c r="E108" s="27"/>
      <c r="F108" s="27"/>
      <c r="G108" s="27"/>
      <c r="H108" s="27"/>
    </row>
    <row r="109" spans="1:27" x14ac:dyDescent="0.25">
      <c r="O109" s="9"/>
    </row>
    <row r="110" spans="1:27" x14ac:dyDescent="0.25">
      <c r="B110" s="9"/>
      <c r="C110" s="9"/>
      <c r="D110" s="9"/>
      <c r="E110" s="9"/>
      <c r="F110" s="9"/>
      <c r="G110" s="9"/>
      <c r="H110" s="9"/>
    </row>
    <row r="111" spans="1:27" x14ac:dyDescent="0.25">
      <c r="A111" s="27"/>
      <c r="B111" s="27"/>
      <c r="C111" s="27"/>
      <c r="D111" s="27"/>
    </row>
    <row r="112" spans="1:27" x14ac:dyDescent="0.25">
      <c r="A112" s="27"/>
      <c r="B112" s="27"/>
      <c r="C112" s="27"/>
      <c r="D112" s="27"/>
    </row>
    <row r="113" spans="1:34" x14ac:dyDescent="0.25">
      <c r="A113" s="27"/>
      <c r="B113" s="27"/>
      <c r="C113" s="27"/>
      <c r="D113" s="27"/>
      <c r="O113" s="9"/>
    </row>
    <row r="114" spans="1:34" x14ac:dyDescent="0.25">
      <c r="A114" s="27"/>
      <c r="B114" s="27"/>
      <c r="C114" s="27"/>
      <c r="D114" s="27"/>
      <c r="O114" s="9"/>
      <c r="S114" s="27"/>
      <c r="T114" s="27"/>
      <c r="V114" s="27"/>
    </row>
    <row r="115" spans="1:34" x14ac:dyDescent="0.25">
      <c r="A115" s="27"/>
      <c r="B115" s="27"/>
      <c r="C115" s="27"/>
      <c r="D115" s="27"/>
      <c r="O115" s="9"/>
      <c r="S115" s="27"/>
      <c r="T115" s="27"/>
      <c r="V115" s="27"/>
    </row>
    <row r="116" spans="1:34" x14ac:dyDescent="0.25">
      <c r="A116" s="27"/>
      <c r="B116" s="27"/>
      <c r="C116" s="27"/>
      <c r="D116" s="27"/>
      <c r="O116" s="9"/>
      <c r="S116" s="27"/>
      <c r="T116" s="27"/>
      <c r="V116" s="27"/>
    </row>
    <row r="117" spans="1:34" x14ac:dyDescent="0.25">
      <c r="A117" s="27"/>
      <c r="B117" s="27"/>
      <c r="C117" s="27"/>
      <c r="D117" s="27"/>
      <c r="P117" s="9"/>
    </row>
    <row r="118" spans="1:34" x14ac:dyDescent="0.25">
      <c r="A118" s="27"/>
      <c r="B118" s="27"/>
      <c r="C118" s="27"/>
      <c r="D118" s="27"/>
      <c r="O118" s="9"/>
      <c r="P118" s="9"/>
      <c r="Q118" s="9"/>
      <c r="R118" s="9"/>
      <c r="S118" s="9"/>
      <c r="W118" s="9"/>
    </row>
    <row r="119" spans="1:34" x14ac:dyDescent="0.25">
      <c r="A119" s="27"/>
      <c r="B119" s="27"/>
      <c r="C119" s="27"/>
      <c r="D119" s="27"/>
      <c r="O119" s="9"/>
      <c r="P119" s="9"/>
      <c r="Q119" s="9"/>
      <c r="R119" s="9"/>
      <c r="S119" s="9"/>
      <c r="T119" s="27"/>
      <c r="V119" s="27"/>
    </row>
    <row r="120" spans="1:34" x14ac:dyDescent="0.25">
      <c r="O120" s="9"/>
      <c r="P120" s="9"/>
      <c r="Q120" s="9"/>
      <c r="R120" s="9"/>
      <c r="S120" s="9"/>
      <c r="T120" s="27"/>
      <c r="V120" s="27"/>
    </row>
    <row r="121" spans="1:34" x14ac:dyDescent="0.25">
      <c r="O121" s="9"/>
      <c r="P121" s="9"/>
      <c r="Q121" s="9"/>
      <c r="R121" s="9"/>
      <c r="S121" s="9"/>
      <c r="T121" s="27"/>
      <c r="V121" s="27"/>
    </row>
    <row r="122" spans="1:34" x14ac:dyDescent="0.25">
      <c r="O122" s="9"/>
      <c r="P122" s="9"/>
      <c r="Q122" s="9"/>
      <c r="R122" s="9"/>
      <c r="S122" s="9"/>
      <c r="T122" s="27"/>
      <c r="V122" s="27"/>
    </row>
    <row r="123" spans="1:34" x14ac:dyDescent="0.25">
      <c r="O123" s="9"/>
      <c r="P123" s="9"/>
      <c r="Q123" s="9"/>
      <c r="R123" s="9"/>
      <c r="S123" s="9"/>
      <c r="T123" s="27"/>
      <c r="V123" s="27"/>
    </row>
    <row r="124" spans="1:34" x14ac:dyDescent="0.25">
      <c r="O124" s="9"/>
      <c r="P124" s="9"/>
      <c r="Q124" s="9"/>
      <c r="R124" s="9"/>
      <c r="S124" s="9"/>
      <c r="T124" s="27"/>
      <c r="V124" s="27"/>
    </row>
    <row r="127" spans="1:34" x14ac:dyDescent="0.25">
      <c r="Y127" s="48"/>
      <c r="AH127" s="48"/>
    </row>
    <row r="128" spans="1:34" x14ac:dyDescent="0.25">
      <c r="Y128" s="50"/>
      <c r="AH128" s="50"/>
    </row>
    <row r="129" spans="2:37" x14ac:dyDescent="0.25">
      <c r="B129" s="9"/>
      <c r="C129" s="9"/>
      <c r="D129" s="9"/>
      <c r="E129" s="9"/>
      <c r="F129" s="9"/>
      <c r="G129" s="9"/>
      <c r="H129" s="9"/>
    </row>
    <row r="130" spans="2:37" x14ac:dyDescent="0.25">
      <c r="E130" s="27"/>
      <c r="F130" s="27"/>
      <c r="G130" s="27"/>
      <c r="H130" s="27"/>
    </row>
    <row r="134" spans="2:37" x14ac:dyDescent="0.25">
      <c r="B134" s="9"/>
      <c r="C134" s="9"/>
      <c r="D134" s="9"/>
      <c r="E134" s="9"/>
      <c r="F134" s="9"/>
      <c r="G134" s="9"/>
      <c r="H134" s="9"/>
    </row>
    <row r="135" spans="2:37" x14ac:dyDescent="0.25">
      <c r="E135" s="27"/>
      <c r="F135" s="27"/>
      <c r="G135" s="27"/>
      <c r="H135" s="27"/>
    </row>
    <row r="139" spans="2:37" x14ac:dyDescent="0.25">
      <c r="B139" s="9"/>
      <c r="C139" s="9"/>
      <c r="D139" s="9"/>
      <c r="E139" s="9"/>
      <c r="F139" s="9"/>
      <c r="G139" s="9"/>
      <c r="H139" s="9"/>
    </row>
    <row r="140" spans="2:37" x14ac:dyDescent="0.25">
      <c r="E140" s="27"/>
      <c r="F140" s="27"/>
      <c r="G140" s="27"/>
      <c r="H140" s="27"/>
    </row>
    <row r="144" spans="2:37" x14ac:dyDescent="0.25">
      <c r="B144" s="9"/>
      <c r="C144" s="9"/>
      <c r="D144" s="9"/>
      <c r="E144" s="9"/>
      <c r="F144" s="9"/>
      <c r="G144" s="9"/>
      <c r="H144" s="9"/>
      <c r="AB144" s="9"/>
      <c r="AK144" s="9"/>
    </row>
    <row r="145" spans="2:8" x14ac:dyDescent="0.25">
      <c r="E145" s="27"/>
      <c r="F145" s="27"/>
      <c r="G145" s="27"/>
      <c r="H145" s="27"/>
    </row>
    <row r="149" spans="2:8" x14ac:dyDescent="0.25">
      <c r="B149" s="9"/>
      <c r="C149" s="9"/>
      <c r="D149" s="9"/>
      <c r="E149" s="9"/>
      <c r="F149" s="9"/>
      <c r="G149" s="9"/>
      <c r="H149" s="9"/>
    </row>
    <row r="150" spans="2:8" x14ac:dyDescent="0.25">
      <c r="E150" s="27"/>
      <c r="F150" s="27"/>
      <c r="G150" s="27"/>
      <c r="H150" s="27"/>
    </row>
    <row r="154" spans="2:8" x14ac:dyDescent="0.25">
      <c r="B154" s="9"/>
      <c r="C154" s="9"/>
      <c r="D154" s="9"/>
      <c r="E154" s="9"/>
      <c r="F154" s="9"/>
      <c r="G154" s="9"/>
      <c r="H154" s="9"/>
    </row>
    <row r="155" spans="2:8" x14ac:dyDescent="0.25">
      <c r="E155" s="27"/>
      <c r="F155" s="27"/>
      <c r="G155" s="27"/>
      <c r="H155" s="27"/>
    </row>
    <row r="157" spans="2:8" x14ac:dyDescent="0.25">
      <c r="E157" s="27"/>
      <c r="F157" s="27"/>
      <c r="G157" s="27"/>
      <c r="H157" s="27"/>
    </row>
    <row r="159" spans="2:8" x14ac:dyDescent="0.25">
      <c r="B159" s="9"/>
      <c r="C159" s="9"/>
      <c r="D159" s="9"/>
      <c r="E159" s="9"/>
      <c r="F159" s="9"/>
      <c r="G159" s="9"/>
      <c r="H159" s="9"/>
    </row>
    <row r="160" spans="2:8" x14ac:dyDescent="0.25">
      <c r="E160" s="27"/>
      <c r="F160" s="27"/>
      <c r="G160" s="27"/>
      <c r="H160" s="27"/>
    </row>
  </sheetData>
  <mergeCells count="1">
    <mergeCell ref="G3:J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6:L31"/>
  <sheetViews>
    <sheetView workbookViewId="0">
      <selection activeCell="T19" sqref="T19"/>
    </sheetView>
  </sheetViews>
  <sheetFormatPr defaultRowHeight="15" x14ac:dyDescent="0.25"/>
  <cols>
    <col min="1" max="8" width="9.140625" style="52"/>
    <col min="9" max="9" width="9.5703125" style="52" bestFit="1" customWidth="1"/>
    <col min="10" max="10" width="9.140625" style="52"/>
    <col min="11" max="11" width="9.140625" style="52" customWidth="1"/>
    <col min="12" max="16384" width="9.140625" style="52"/>
  </cols>
  <sheetData>
    <row r="6" spans="1:11" x14ac:dyDescent="0.25">
      <c r="B6" s="55" t="s">
        <v>67</v>
      </c>
      <c r="C6" s="52" t="s">
        <v>9</v>
      </c>
      <c r="D6" s="52" t="s">
        <v>10</v>
      </c>
    </row>
    <row r="7" spans="1:11" x14ac:dyDescent="0.25">
      <c r="B7" s="52" t="s">
        <v>66</v>
      </c>
      <c r="C7" s="53">
        <v>12</v>
      </c>
      <c r="D7" s="53">
        <f>RADIANS(C7)</f>
        <v>0.20943951023931956</v>
      </c>
    </row>
    <row r="8" spans="1:11" x14ac:dyDescent="0.25">
      <c r="B8" s="52" t="s">
        <v>65</v>
      </c>
      <c r="C8" s="53">
        <v>10</v>
      </c>
      <c r="D8" s="53">
        <f t="shared" ref="D8:D9" si="0">RADIANS(C8)</f>
        <v>0.17453292519943295</v>
      </c>
    </row>
    <row r="9" spans="1:11" x14ac:dyDescent="0.25">
      <c r="B9" s="52" t="s">
        <v>64</v>
      </c>
      <c r="C9" s="53">
        <v>5</v>
      </c>
      <c r="D9" s="53">
        <f t="shared" si="0"/>
        <v>8.7266462599716474E-2</v>
      </c>
    </row>
    <row r="11" spans="1:11" x14ac:dyDescent="0.25">
      <c r="A11" s="54" t="s">
        <v>69</v>
      </c>
      <c r="B11" s="53">
        <f>COS(D7)</f>
        <v>0.97814760073380569</v>
      </c>
      <c r="C11" s="53">
        <f>-SIN(D7)</f>
        <v>-0.20791169081775934</v>
      </c>
      <c r="D11" s="53">
        <v>0</v>
      </c>
    </row>
    <row r="12" spans="1:11" x14ac:dyDescent="0.25">
      <c r="B12" s="53">
        <f>SIN(D7)</f>
        <v>0.20791169081775934</v>
      </c>
      <c r="C12" s="53">
        <f>COS(D7)</f>
        <v>0.97814760073380569</v>
      </c>
      <c r="D12" s="53">
        <v>0</v>
      </c>
    </row>
    <row r="13" spans="1:11" x14ac:dyDescent="0.25">
      <c r="B13" s="53">
        <v>0</v>
      </c>
      <c r="C13" s="53">
        <v>0</v>
      </c>
      <c r="D13" s="53">
        <v>1</v>
      </c>
      <c r="E13" s="54" t="s">
        <v>72</v>
      </c>
      <c r="F13" s="53">
        <f>B11*B15+C11*B16+D11*B17</f>
        <v>0.96328734079294154</v>
      </c>
      <c r="G13" s="53">
        <f>B11*C15+C11*C16+D11*C17</f>
        <v>-0.20791169081775934</v>
      </c>
      <c r="H13" s="53">
        <f>B11*D15+C11*D16+D11*D17</f>
        <v>0.16985354835670552</v>
      </c>
    </row>
    <row r="14" spans="1:11" x14ac:dyDescent="0.25">
      <c r="F14" s="53">
        <f>B12*B15+C12*B16+D12*B17</f>
        <v>0.2047530450592065</v>
      </c>
      <c r="G14" s="53">
        <f>B12*C15+C12*C16+D12*C17</f>
        <v>0.97814760073380569</v>
      </c>
      <c r="H14" s="53">
        <f>B12*D15+C12*D16+D12*D17</f>
        <v>3.6103486226154162E-2</v>
      </c>
    </row>
    <row r="15" spans="1:11" x14ac:dyDescent="0.25">
      <c r="A15" s="54" t="s">
        <v>70</v>
      </c>
      <c r="B15" s="53">
        <f>COS(D8)</f>
        <v>0.98480775301220802</v>
      </c>
      <c r="C15" s="53">
        <v>0</v>
      </c>
      <c r="D15" s="53">
        <f>SIN(D8)</f>
        <v>0.17364817766693033</v>
      </c>
      <c r="F15" s="53">
        <f>B13*B15+C13*B16+D13*B17</f>
        <v>-0.17364817766693033</v>
      </c>
      <c r="G15" s="53">
        <f>B13*C15+C13*C16+D13*C17</f>
        <v>0</v>
      </c>
      <c r="H15" s="53">
        <f>B13*D15+C13*D16+D13*D17</f>
        <v>0.98480775301220802</v>
      </c>
      <c r="K15" s="51"/>
    </row>
    <row r="16" spans="1:11" x14ac:dyDescent="0.25">
      <c r="B16" s="53">
        <v>0</v>
      </c>
      <c r="C16" s="53">
        <v>1</v>
      </c>
      <c r="D16" s="53">
        <v>0</v>
      </c>
    </row>
    <row r="17" spans="1:12" x14ac:dyDescent="0.25">
      <c r="B17" s="53">
        <f>-SIN(D8)</f>
        <v>-0.17364817766693033</v>
      </c>
      <c r="C17" s="53">
        <v>0</v>
      </c>
      <c r="D17" s="53">
        <f>COS(D8)</f>
        <v>0.98480775301220802</v>
      </c>
      <c r="E17" s="54" t="s">
        <v>73</v>
      </c>
      <c r="F17" s="53">
        <f t="array" ref="F17:H19">MMULT(F13:H15,B19:D21)</f>
        <v>0.96328734079294154</v>
      </c>
      <c r="G17" s="53">
        <v>-0.19231681189858815</v>
      </c>
      <c r="H17" s="53">
        <v>0.18732790216416323</v>
      </c>
      <c r="I17" s="53">
        <v>50</v>
      </c>
    </row>
    <row r="18" spans="1:12" x14ac:dyDescent="0.25">
      <c r="F18" s="53">
        <v>0.2047530450592065</v>
      </c>
      <c r="G18" s="53">
        <v>0.97757207995999917</v>
      </c>
      <c r="H18" s="53">
        <v>-4.9285079097671484E-2</v>
      </c>
      <c r="I18" s="53">
        <v>0</v>
      </c>
    </row>
    <row r="19" spans="1:12" x14ac:dyDescent="0.25">
      <c r="A19" s="54" t="s">
        <v>71</v>
      </c>
      <c r="B19" s="53">
        <v>1</v>
      </c>
      <c r="C19" s="53">
        <v>0</v>
      </c>
      <c r="D19" s="53">
        <v>0</v>
      </c>
      <c r="F19" s="53">
        <v>-0.17364817766693033</v>
      </c>
      <c r="G19" s="53">
        <v>8.5831651177431287E-2</v>
      </c>
      <c r="H19" s="53">
        <v>0.98106026219040687</v>
      </c>
      <c r="I19" s="53">
        <v>100</v>
      </c>
    </row>
    <row r="20" spans="1:12" x14ac:dyDescent="0.25">
      <c r="B20" s="53">
        <v>0</v>
      </c>
      <c r="C20" s="53">
        <f>COS(D9)</f>
        <v>0.99619469809174555</v>
      </c>
      <c r="D20" s="53">
        <f>-SIN(D9)</f>
        <v>-8.7155742747658166E-2</v>
      </c>
      <c r="F20" s="53">
        <v>0</v>
      </c>
      <c r="G20" s="53">
        <v>0</v>
      </c>
      <c r="H20" s="53">
        <v>0</v>
      </c>
      <c r="I20" s="53">
        <v>1</v>
      </c>
    </row>
    <row r="21" spans="1:12" x14ac:dyDescent="0.25">
      <c r="B21" s="53">
        <v>0</v>
      </c>
      <c r="C21" s="53">
        <f>SIN(D9)</f>
        <v>8.7155742747658166E-2</v>
      </c>
      <c r="D21" s="53">
        <f>COS(D9)</f>
        <v>0.99619469809174555</v>
      </c>
    </row>
    <row r="23" spans="1:12" x14ac:dyDescent="0.25">
      <c r="B23" s="55" t="s">
        <v>68</v>
      </c>
      <c r="C23" s="52" t="s">
        <v>10</v>
      </c>
      <c r="D23" s="52" t="s">
        <v>9</v>
      </c>
    </row>
    <row r="24" spans="1:12" x14ac:dyDescent="0.25">
      <c r="B24" s="52" t="s">
        <v>66</v>
      </c>
      <c r="C24" s="53">
        <f>ATAN2(F17,F18)</f>
        <v>0.20943951023931956</v>
      </c>
      <c r="D24" s="53">
        <f>DEGREES(C24)</f>
        <v>12.000000000000002</v>
      </c>
    </row>
    <row r="25" spans="1:12" ht="18.75" x14ac:dyDescent="0.3">
      <c r="B25" s="52" t="s">
        <v>65</v>
      </c>
      <c r="C25" s="53">
        <f>ATAN2((H19^2+G19^2)^0.5,-F19)</f>
        <v>0.17453292519943295</v>
      </c>
      <c r="D25" s="53">
        <f t="shared" ref="D25:D26" si="1">DEGREES(C25)</f>
        <v>10</v>
      </c>
      <c r="H25" s="9"/>
      <c r="I25" s="56"/>
      <c r="J25" s="56"/>
      <c r="K25" s="56"/>
      <c r="L25" s="56"/>
    </row>
    <row r="26" spans="1:12" x14ac:dyDescent="0.25">
      <c r="B26" s="52" t="s">
        <v>64</v>
      </c>
      <c r="C26" s="53">
        <f>ATAN2(H19,G19)</f>
        <v>8.7266462599716474E-2</v>
      </c>
      <c r="D26" s="53">
        <f t="shared" si="1"/>
        <v>5</v>
      </c>
      <c r="H26" s="57"/>
      <c r="I26" s="9"/>
      <c r="J26" s="58"/>
      <c r="K26" s="59"/>
      <c r="L26" s="59"/>
    </row>
    <row r="27" spans="1:12" x14ac:dyDescent="0.25">
      <c r="H27" s="57"/>
      <c r="I27" s="9"/>
      <c r="J27" s="58"/>
      <c r="K27" s="59"/>
      <c r="L27" s="59"/>
    </row>
    <row r="28" spans="1:12" x14ac:dyDescent="0.25">
      <c r="H28" s="57"/>
      <c r="I28" s="9"/>
      <c r="J28" s="58"/>
      <c r="K28" s="59"/>
      <c r="L28" s="59"/>
    </row>
    <row r="29" spans="1:12" x14ac:dyDescent="0.25">
      <c r="H29" s="57"/>
      <c r="I29" s="9"/>
      <c r="J29" s="58"/>
      <c r="K29" s="59"/>
      <c r="L29" s="59"/>
    </row>
    <row r="30" spans="1:12" x14ac:dyDescent="0.25">
      <c r="H30" s="57"/>
      <c r="I30" s="9"/>
      <c r="J30" s="58"/>
      <c r="K30" s="59"/>
      <c r="L30" s="59"/>
    </row>
    <row r="31" spans="1:12" x14ac:dyDescent="0.25">
      <c r="H31" s="57"/>
      <c r="I31" s="9"/>
      <c r="J31" s="58"/>
      <c r="K31" s="59"/>
      <c r="L31" s="59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>
      <selection activeCell="R20" sqref="R2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4CF8F-EEC1-48B7-8A2B-4FA430071A70}"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>PCC Structurals,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Annin</dc:creator>
  <cp:lastModifiedBy>Chris Annin</cp:lastModifiedBy>
  <dcterms:created xsi:type="dcterms:W3CDTF">2016-12-01T18:45:41Z</dcterms:created>
  <dcterms:modified xsi:type="dcterms:W3CDTF">2024-03-30T17:50:08Z</dcterms:modified>
</cp:coreProperties>
</file>