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CF5709-D697-4905-A21F-AA864DFF24EB}" xr6:coauthVersionLast="47" xr6:coauthVersionMax="47" xr10:uidLastSave="{00000000-0000-0000-0000-000000000000}"/>
  <bookViews>
    <workbookView xWindow="-120" yWindow="-120" windowWidth="20730" windowHeight="11160" tabRatio="905" firstSheet="1" activeTab="10" xr2:uid="{00000000-000D-0000-FFFF-FFFF00000000}"/>
  </bookViews>
  <sheets>
    <sheet name="Revenue Segments" sheetId="6" r:id="rId1"/>
    <sheet name="NIKE-IS" sheetId="7" r:id="rId2"/>
    <sheet name="Debt Schedule" sheetId="1" r:id="rId3"/>
    <sheet name="Fixed Assets Schedule" sheetId="3" r:id="rId4"/>
    <sheet name="NIKE - BS" sheetId="4" r:id="rId5"/>
    <sheet name="NIKE-CFS" sheetId="2" r:id="rId6"/>
    <sheet name="REGRESSION BETA" sheetId="9" r:id="rId7"/>
    <sheet name="WACC" sheetId="10" r:id="rId8"/>
    <sheet name="DCF" sheetId="11" r:id="rId9"/>
    <sheet name="UL&amp;LB" sheetId="12" r:id="rId10"/>
    <sheet name="DUPONT" sheetId="13" r:id="rId11"/>
    <sheet name="GRAPH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3" l="1"/>
  <c r="J22" i="13"/>
  <c r="K22" i="13"/>
  <c r="L22" i="13"/>
  <c r="M22" i="13"/>
  <c r="N22" i="13"/>
  <c r="E30" i="12" l="1"/>
  <c r="E29" i="12"/>
  <c r="E28" i="12"/>
  <c r="I6" i="12" l="1"/>
  <c r="E6" i="12"/>
  <c r="E8" i="12"/>
  <c r="E7" i="12"/>
  <c r="F30" i="12" l="1"/>
  <c r="F29" i="12"/>
  <c r="F28" i="12"/>
  <c r="S14" i="9"/>
  <c r="S271" i="9"/>
  <c r="S270" i="9"/>
  <c r="S269" i="9"/>
  <c r="S268" i="9"/>
  <c r="S267" i="9"/>
  <c r="S266" i="9"/>
  <c r="S265" i="9"/>
  <c r="S264" i="9"/>
  <c r="S263" i="9"/>
  <c r="S262" i="9"/>
  <c r="S261" i="9"/>
  <c r="S260" i="9"/>
  <c r="S259" i="9"/>
  <c r="S258" i="9"/>
  <c r="S257" i="9"/>
  <c r="S256" i="9"/>
  <c r="S255" i="9"/>
  <c r="S254" i="9"/>
  <c r="S253" i="9"/>
  <c r="S252" i="9"/>
  <c r="S251" i="9"/>
  <c r="S250" i="9"/>
  <c r="S249" i="9"/>
  <c r="S248" i="9"/>
  <c r="S247" i="9"/>
  <c r="S246" i="9"/>
  <c r="S245" i="9"/>
  <c r="S244" i="9"/>
  <c r="S243" i="9"/>
  <c r="S242" i="9"/>
  <c r="S241" i="9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157" i="9"/>
  <c r="S156" i="9"/>
  <c r="S155" i="9"/>
  <c r="S154" i="9"/>
  <c r="S153" i="9"/>
  <c r="S152" i="9"/>
  <c r="S151" i="9"/>
  <c r="S150" i="9"/>
  <c r="S149" i="9"/>
  <c r="S148" i="9"/>
  <c r="S147" i="9"/>
  <c r="S146" i="9"/>
  <c r="S145" i="9"/>
  <c r="S144" i="9"/>
  <c r="S143" i="9"/>
  <c r="S142" i="9"/>
  <c r="S141" i="9"/>
  <c r="S140" i="9"/>
  <c r="S139" i="9"/>
  <c r="S138" i="9"/>
  <c r="S137" i="9"/>
  <c r="S136" i="9"/>
  <c r="S135" i="9"/>
  <c r="S134" i="9"/>
  <c r="S133" i="9"/>
  <c r="S132" i="9"/>
  <c r="S131" i="9"/>
  <c r="S130" i="9"/>
  <c r="S129" i="9"/>
  <c r="S128" i="9"/>
  <c r="S127" i="9"/>
  <c r="S126" i="9"/>
  <c r="S125" i="9"/>
  <c r="S124" i="9"/>
  <c r="S123" i="9"/>
  <c r="S122" i="9"/>
  <c r="S121" i="9"/>
  <c r="S120" i="9"/>
  <c r="S119" i="9"/>
  <c r="S118" i="9"/>
  <c r="S117" i="9"/>
  <c r="S116" i="9"/>
  <c r="S115" i="9"/>
  <c r="S114" i="9"/>
  <c r="S113" i="9"/>
  <c r="S112" i="9"/>
  <c r="S111" i="9"/>
  <c r="S110" i="9"/>
  <c r="S109" i="9"/>
  <c r="S108" i="9"/>
  <c r="S107" i="9"/>
  <c r="S106" i="9"/>
  <c r="S105" i="9"/>
  <c r="S104" i="9"/>
  <c r="S103" i="9"/>
  <c r="S102" i="9"/>
  <c r="S101" i="9"/>
  <c r="S100" i="9"/>
  <c r="S99" i="9"/>
  <c r="S98" i="9"/>
  <c r="S97" i="9"/>
  <c r="S96" i="9"/>
  <c r="S95" i="9"/>
  <c r="S94" i="9"/>
  <c r="S93" i="9"/>
  <c r="S92" i="9"/>
  <c r="S91" i="9"/>
  <c r="S90" i="9"/>
  <c r="S89" i="9"/>
  <c r="S88" i="9"/>
  <c r="S87" i="9"/>
  <c r="S86" i="9"/>
  <c r="S85" i="9"/>
  <c r="S84" i="9"/>
  <c r="S83" i="9"/>
  <c r="S82" i="9"/>
  <c r="S81" i="9"/>
  <c r="S80" i="9"/>
  <c r="S79" i="9"/>
  <c r="S78" i="9"/>
  <c r="S77" i="9"/>
  <c r="S76" i="9"/>
  <c r="S75" i="9"/>
  <c r="S74" i="9"/>
  <c r="S73" i="9"/>
  <c r="S72" i="9"/>
  <c r="S71" i="9"/>
  <c r="S70" i="9"/>
  <c r="S69" i="9"/>
  <c r="S68" i="9"/>
  <c r="S67" i="9"/>
  <c r="S66" i="9"/>
  <c r="S65" i="9"/>
  <c r="S64" i="9"/>
  <c r="S63" i="9"/>
  <c r="S62" i="9"/>
  <c r="S61" i="9"/>
  <c r="S60" i="9"/>
  <c r="S59" i="9"/>
  <c r="S58" i="9"/>
  <c r="S57" i="9"/>
  <c r="S56" i="9"/>
  <c r="S55" i="9"/>
  <c r="S54" i="9"/>
  <c r="S53" i="9"/>
  <c r="S52" i="9"/>
  <c r="S51" i="9"/>
  <c r="S50" i="9"/>
  <c r="S49" i="9"/>
  <c r="S48" i="9"/>
  <c r="S47" i="9"/>
  <c r="S46" i="9"/>
  <c r="S45" i="9"/>
  <c r="S44" i="9"/>
  <c r="S43" i="9"/>
  <c r="S42" i="9"/>
  <c r="S41" i="9"/>
  <c r="S40" i="9"/>
  <c r="S39" i="9"/>
  <c r="S38" i="9"/>
  <c r="S37" i="9"/>
  <c r="S36" i="9"/>
  <c r="S35" i="9"/>
  <c r="S34" i="9"/>
  <c r="S33" i="9"/>
  <c r="S32" i="9"/>
  <c r="S31" i="9"/>
  <c r="S30" i="9"/>
  <c r="S29" i="9"/>
  <c r="S28" i="9"/>
  <c r="S27" i="9"/>
  <c r="S26" i="9"/>
  <c r="S25" i="9"/>
  <c r="S24" i="9"/>
  <c r="S23" i="9"/>
  <c r="S22" i="9"/>
  <c r="S21" i="9"/>
  <c r="S20" i="9"/>
  <c r="S19" i="9"/>
  <c r="S18" i="9"/>
  <c r="S17" i="9"/>
  <c r="S16" i="9"/>
  <c r="S15" i="9"/>
  <c r="O271" i="9"/>
  <c r="O270" i="9"/>
  <c r="O269" i="9"/>
  <c r="O268" i="9"/>
  <c r="O267" i="9"/>
  <c r="O266" i="9"/>
  <c r="O265" i="9"/>
  <c r="O264" i="9"/>
  <c r="O263" i="9"/>
  <c r="O262" i="9"/>
  <c r="O261" i="9"/>
  <c r="O260" i="9"/>
  <c r="O259" i="9"/>
  <c r="O258" i="9"/>
  <c r="O257" i="9"/>
  <c r="O256" i="9"/>
  <c r="O255" i="9"/>
  <c r="O254" i="9"/>
  <c r="O253" i="9"/>
  <c r="O252" i="9"/>
  <c r="O251" i="9"/>
  <c r="O250" i="9"/>
  <c r="O249" i="9"/>
  <c r="O248" i="9"/>
  <c r="O247" i="9"/>
  <c r="O246" i="9"/>
  <c r="O245" i="9"/>
  <c r="O244" i="9"/>
  <c r="O243" i="9"/>
  <c r="O242" i="9"/>
  <c r="O241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G6" i="12" l="1"/>
  <c r="H33" i="7"/>
  <c r="H6" i="12" l="1"/>
  <c r="F6" i="12"/>
  <c r="J11" i="6"/>
  <c r="E45" i="12" l="1"/>
  <c r="E44" i="12"/>
  <c r="E43" i="12"/>
  <c r="E25" i="12"/>
  <c r="E24" i="12"/>
  <c r="E23" i="12"/>
  <c r="E20" i="12"/>
  <c r="E19" i="12"/>
  <c r="E18" i="12"/>
  <c r="C45" i="12"/>
  <c r="C44" i="12"/>
  <c r="C43" i="12"/>
  <c r="C25" i="12"/>
  <c r="C24" i="12"/>
  <c r="C23" i="12"/>
  <c r="E5" i="12" s="1"/>
  <c r="C19" i="12"/>
  <c r="C20" i="12"/>
  <c r="C18" i="12"/>
  <c r="J20" i="13" l="1"/>
  <c r="J7" i="13" s="1"/>
  <c r="I20" i="13"/>
  <c r="I7" i="13" s="1"/>
  <c r="B23" i="7" l="1"/>
  <c r="B14" i="7"/>
  <c r="G15" i="7" l="1"/>
  <c r="F15" i="7"/>
  <c r="E15" i="7"/>
  <c r="D15" i="7"/>
  <c r="C15" i="7"/>
  <c r="B15" i="7"/>
  <c r="F18" i="12"/>
  <c r="F19" i="12"/>
  <c r="F20" i="12"/>
  <c r="F23" i="12"/>
  <c r="G10" i="12" l="1"/>
  <c r="C5" i="10"/>
  <c r="K30" i="10" l="1"/>
  <c r="H20" i="13"/>
  <c r="H7" i="13" s="1"/>
  <c r="G20" i="13"/>
  <c r="G7" i="13" s="1"/>
  <c r="F20" i="13"/>
  <c r="F7" i="13" s="1"/>
  <c r="B14" i="4"/>
  <c r="C14" i="4"/>
  <c r="D14" i="4"/>
  <c r="E14" i="4"/>
  <c r="F14" i="4"/>
  <c r="B22" i="4"/>
  <c r="C22" i="4"/>
  <c r="D22" i="4"/>
  <c r="E22" i="4"/>
  <c r="F22" i="4"/>
  <c r="O41" i="11" l="1"/>
  <c r="O42" i="11" s="1"/>
  <c r="O43" i="11" s="1"/>
  <c r="O44" i="11" s="1"/>
  <c r="O45" i="11" s="1"/>
  <c r="O46" i="11" s="1"/>
  <c r="O47" i="11" s="1"/>
  <c r="O48" i="11" s="1"/>
  <c r="P39" i="11"/>
  <c r="O27" i="11"/>
  <c r="O28" i="11" s="1"/>
  <c r="O29" i="11" s="1"/>
  <c r="O30" i="11" s="1"/>
  <c r="O31" i="11" s="1"/>
  <c r="O32" i="11" s="1"/>
  <c r="O33" i="11" s="1"/>
  <c r="O34" i="11" s="1"/>
  <c r="Q25" i="11"/>
  <c r="R25" i="11" s="1"/>
  <c r="R39" i="11" l="1"/>
  <c r="S25" i="11"/>
  <c r="Q39" i="11"/>
  <c r="K11" i="6"/>
  <c r="L11" i="6" s="1"/>
  <c r="M11" i="6" s="1"/>
  <c r="N11" i="6" s="1"/>
  <c r="S39" i="11" l="1"/>
  <c r="T25" i="11"/>
  <c r="B34" i="11"/>
  <c r="B32" i="11"/>
  <c r="T39" i="11" l="1"/>
  <c r="U25" i="11"/>
  <c r="F29" i="11"/>
  <c r="F32" i="11"/>
  <c r="F34" i="11"/>
  <c r="F37" i="11"/>
  <c r="B28" i="11"/>
  <c r="F28" i="11" s="1"/>
  <c r="U39" i="11" l="1"/>
  <c r="V25" i="11"/>
  <c r="V39" i="11" l="1"/>
  <c r="W25" i="11"/>
  <c r="W39" i="11" l="1"/>
  <c r="X25" i="11"/>
  <c r="X39" i="11" s="1"/>
  <c r="E10" i="12" l="1"/>
  <c r="I10" i="12"/>
  <c r="F45" i="12" l="1"/>
  <c r="F44" i="12"/>
  <c r="F43" i="12"/>
  <c r="F40" i="12"/>
  <c r="F39" i="12"/>
  <c r="F38" i="12"/>
  <c r="F25" i="12"/>
  <c r="F24" i="12"/>
  <c r="G5" i="12" s="1"/>
  <c r="F35" i="12"/>
  <c r="F34" i="12"/>
  <c r="F33" i="12"/>
  <c r="G7" i="12" l="1"/>
  <c r="G8" i="12"/>
  <c r="K6" i="12"/>
  <c r="H5" i="12"/>
  <c r="H8" i="12" l="1"/>
  <c r="F8" i="12"/>
  <c r="F7" i="12"/>
  <c r="H7" i="12"/>
  <c r="F5" i="12"/>
  <c r="F10" i="12"/>
  <c r="H10" i="12"/>
  <c r="I9" i="12"/>
  <c r="G9" i="12"/>
  <c r="E9" i="12"/>
  <c r="I8" i="12"/>
  <c r="K8" i="12" s="1"/>
  <c r="I7" i="12"/>
  <c r="K7" i="12" s="1"/>
  <c r="I5" i="12"/>
  <c r="H9" i="12" l="1"/>
  <c r="F9" i="12"/>
  <c r="K10" i="12"/>
  <c r="K5" i="12"/>
  <c r="K9" i="12"/>
  <c r="C21" i="10" l="1"/>
  <c r="C15" i="10" l="1"/>
  <c r="C22" i="10" s="1"/>
  <c r="C23" i="10" s="1"/>
  <c r="B79" i="4" l="1"/>
  <c r="W271" i="9" l="1"/>
  <c r="W270" i="9"/>
  <c r="W269" i="9"/>
  <c r="W268" i="9"/>
  <c r="W267" i="9"/>
  <c r="W266" i="9"/>
  <c r="W265" i="9"/>
  <c r="W264" i="9"/>
  <c r="W263" i="9"/>
  <c r="W262" i="9"/>
  <c r="W261" i="9"/>
  <c r="W260" i="9"/>
  <c r="W259" i="9"/>
  <c r="W258" i="9"/>
  <c r="W257" i="9"/>
  <c r="W256" i="9"/>
  <c r="W255" i="9"/>
  <c r="W254" i="9"/>
  <c r="W253" i="9"/>
  <c r="W252" i="9"/>
  <c r="W251" i="9"/>
  <c r="W250" i="9"/>
  <c r="W249" i="9"/>
  <c r="W248" i="9"/>
  <c r="W247" i="9"/>
  <c r="W246" i="9"/>
  <c r="W245" i="9"/>
  <c r="W244" i="9"/>
  <c r="W243" i="9"/>
  <c r="W242" i="9"/>
  <c r="W241" i="9"/>
  <c r="W240" i="9"/>
  <c r="W239" i="9"/>
  <c r="W238" i="9"/>
  <c r="W237" i="9"/>
  <c r="W236" i="9"/>
  <c r="W235" i="9"/>
  <c r="W234" i="9"/>
  <c r="W233" i="9"/>
  <c r="W232" i="9"/>
  <c r="W231" i="9"/>
  <c r="W230" i="9"/>
  <c r="W229" i="9"/>
  <c r="W228" i="9"/>
  <c r="W227" i="9"/>
  <c r="W226" i="9"/>
  <c r="W225" i="9"/>
  <c r="W224" i="9"/>
  <c r="W223" i="9"/>
  <c r="W222" i="9"/>
  <c r="W221" i="9"/>
  <c r="W220" i="9"/>
  <c r="W219" i="9"/>
  <c r="W218" i="9"/>
  <c r="W217" i="9"/>
  <c r="W216" i="9"/>
  <c r="W215" i="9"/>
  <c r="W214" i="9"/>
  <c r="W213" i="9"/>
  <c r="W212" i="9"/>
  <c r="W211" i="9"/>
  <c r="W210" i="9"/>
  <c r="W209" i="9"/>
  <c r="W208" i="9"/>
  <c r="W207" i="9"/>
  <c r="W206" i="9"/>
  <c r="W205" i="9"/>
  <c r="W204" i="9"/>
  <c r="W203" i="9"/>
  <c r="W202" i="9"/>
  <c r="W201" i="9"/>
  <c r="W200" i="9"/>
  <c r="W199" i="9"/>
  <c r="W198" i="9"/>
  <c r="W197" i="9"/>
  <c r="W196" i="9"/>
  <c r="W195" i="9"/>
  <c r="W194" i="9"/>
  <c r="W193" i="9"/>
  <c r="W192" i="9"/>
  <c r="W191" i="9"/>
  <c r="W190" i="9"/>
  <c r="W189" i="9"/>
  <c r="W188" i="9"/>
  <c r="W187" i="9"/>
  <c r="W186" i="9"/>
  <c r="W185" i="9"/>
  <c r="W184" i="9"/>
  <c r="W183" i="9"/>
  <c r="W182" i="9"/>
  <c r="W181" i="9"/>
  <c r="W180" i="9"/>
  <c r="W179" i="9"/>
  <c r="W178" i="9"/>
  <c r="W177" i="9"/>
  <c r="W176" i="9"/>
  <c r="W175" i="9"/>
  <c r="W174" i="9"/>
  <c r="W173" i="9"/>
  <c r="W172" i="9"/>
  <c r="W171" i="9"/>
  <c r="W170" i="9"/>
  <c r="W169" i="9"/>
  <c r="W168" i="9"/>
  <c r="W167" i="9"/>
  <c r="W166" i="9"/>
  <c r="W165" i="9"/>
  <c r="W164" i="9"/>
  <c r="W163" i="9"/>
  <c r="W162" i="9"/>
  <c r="W161" i="9"/>
  <c r="W160" i="9"/>
  <c r="W159" i="9"/>
  <c r="W158" i="9"/>
  <c r="W157" i="9"/>
  <c r="W156" i="9"/>
  <c r="W155" i="9"/>
  <c r="W154" i="9"/>
  <c r="W153" i="9"/>
  <c r="W152" i="9"/>
  <c r="W151" i="9"/>
  <c r="W150" i="9"/>
  <c r="W149" i="9"/>
  <c r="W148" i="9"/>
  <c r="W147" i="9"/>
  <c r="W146" i="9"/>
  <c r="W145" i="9"/>
  <c r="W144" i="9"/>
  <c r="W143" i="9"/>
  <c r="W142" i="9"/>
  <c r="W141" i="9"/>
  <c r="W140" i="9"/>
  <c r="W139" i="9"/>
  <c r="W138" i="9"/>
  <c r="W137" i="9"/>
  <c r="W136" i="9"/>
  <c r="W135" i="9"/>
  <c r="W134" i="9"/>
  <c r="W133" i="9"/>
  <c r="W132" i="9"/>
  <c r="W131" i="9"/>
  <c r="W130" i="9"/>
  <c r="W129" i="9"/>
  <c r="W128" i="9"/>
  <c r="W127" i="9"/>
  <c r="W126" i="9"/>
  <c r="W125" i="9"/>
  <c r="W124" i="9"/>
  <c r="W123" i="9"/>
  <c r="W122" i="9"/>
  <c r="W121" i="9"/>
  <c r="W120" i="9"/>
  <c r="W119" i="9"/>
  <c r="W118" i="9"/>
  <c r="W117" i="9"/>
  <c r="W116" i="9"/>
  <c r="W115" i="9"/>
  <c r="W114" i="9"/>
  <c r="W113" i="9"/>
  <c r="W112" i="9"/>
  <c r="W111" i="9"/>
  <c r="W110" i="9"/>
  <c r="W109" i="9"/>
  <c r="W108" i="9"/>
  <c r="W107" i="9"/>
  <c r="W106" i="9"/>
  <c r="W105" i="9"/>
  <c r="W104" i="9"/>
  <c r="W103" i="9"/>
  <c r="W102" i="9"/>
  <c r="W101" i="9"/>
  <c r="W100" i="9"/>
  <c r="W99" i="9"/>
  <c r="W98" i="9"/>
  <c r="W97" i="9"/>
  <c r="W96" i="9"/>
  <c r="W95" i="9"/>
  <c r="W94" i="9"/>
  <c r="W93" i="9"/>
  <c r="W92" i="9"/>
  <c r="W91" i="9"/>
  <c r="W90" i="9"/>
  <c r="W89" i="9"/>
  <c r="W88" i="9"/>
  <c r="W87" i="9"/>
  <c r="W86" i="9"/>
  <c r="W85" i="9"/>
  <c r="W84" i="9"/>
  <c r="W83" i="9"/>
  <c r="W82" i="9"/>
  <c r="W81" i="9"/>
  <c r="W80" i="9"/>
  <c r="W79" i="9"/>
  <c r="W78" i="9"/>
  <c r="W77" i="9"/>
  <c r="W76" i="9"/>
  <c r="W75" i="9"/>
  <c r="W74" i="9"/>
  <c r="W73" i="9"/>
  <c r="W72" i="9"/>
  <c r="W71" i="9"/>
  <c r="W70" i="9"/>
  <c r="W69" i="9"/>
  <c r="W68" i="9"/>
  <c r="W67" i="9"/>
  <c r="W66" i="9"/>
  <c r="W65" i="9"/>
  <c r="W64" i="9"/>
  <c r="W63" i="9"/>
  <c r="W62" i="9"/>
  <c r="W61" i="9"/>
  <c r="W60" i="9"/>
  <c r="W59" i="9"/>
  <c r="W58" i="9"/>
  <c r="W57" i="9"/>
  <c r="W56" i="9"/>
  <c r="W55" i="9"/>
  <c r="W54" i="9"/>
  <c r="W53" i="9"/>
  <c r="W52" i="9"/>
  <c r="W51" i="9"/>
  <c r="W50" i="9"/>
  <c r="W49" i="9"/>
  <c r="W48" i="9"/>
  <c r="W47" i="9"/>
  <c r="W46" i="9"/>
  <c r="W45" i="9"/>
  <c r="W44" i="9"/>
  <c r="W43" i="9"/>
  <c r="W42" i="9"/>
  <c r="W41" i="9"/>
  <c r="W40" i="9"/>
  <c r="W39" i="9"/>
  <c r="W38" i="9"/>
  <c r="W37" i="9"/>
  <c r="W36" i="9"/>
  <c r="W35" i="9"/>
  <c r="W34" i="9"/>
  <c r="W33" i="9"/>
  <c r="W32" i="9"/>
  <c r="W31" i="9"/>
  <c r="W30" i="9"/>
  <c r="W29" i="9"/>
  <c r="W28" i="9"/>
  <c r="W27" i="9"/>
  <c r="W26" i="9"/>
  <c r="W25" i="9"/>
  <c r="W24" i="9"/>
  <c r="W23" i="9"/>
  <c r="W22" i="9"/>
  <c r="W21" i="9"/>
  <c r="W20" i="9"/>
  <c r="W19" i="9"/>
  <c r="W18" i="9"/>
  <c r="W17" i="9"/>
  <c r="W16" i="9"/>
  <c r="W15" i="9"/>
  <c r="W14" i="9"/>
  <c r="G271" i="9"/>
  <c r="G270" i="9"/>
  <c r="G269" i="9"/>
  <c r="G268" i="9"/>
  <c r="G267" i="9"/>
  <c r="G266" i="9"/>
  <c r="G265" i="9"/>
  <c r="G264" i="9"/>
  <c r="G263" i="9"/>
  <c r="G262" i="9"/>
  <c r="G261" i="9"/>
  <c r="G260" i="9"/>
  <c r="G259" i="9"/>
  <c r="G258" i="9"/>
  <c r="G257" i="9"/>
  <c r="G256" i="9"/>
  <c r="G255" i="9"/>
  <c r="G254" i="9"/>
  <c r="G253" i="9"/>
  <c r="G252" i="9"/>
  <c r="G251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AA271" i="9"/>
  <c r="AA270" i="9"/>
  <c r="AA269" i="9"/>
  <c r="AA268" i="9"/>
  <c r="AA267" i="9"/>
  <c r="AA266" i="9"/>
  <c r="AA265" i="9"/>
  <c r="AA264" i="9"/>
  <c r="AA263" i="9"/>
  <c r="AA262" i="9"/>
  <c r="AA261" i="9"/>
  <c r="AA260" i="9"/>
  <c r="AA259" i="9"/>
  <c r="AA258" i="9"/>
  <c r="AA257" i="9"/>
  <c r="AA256" i="9"/>
  <c r="AA255" i="9"/>
  <c r="AA254" i="9"/>
  <c r="AA253" i="9"/>
  <c r="AA252" i="9"/>
  <c r="AA251" i="9"/>
  <c r="AA250" i="9"/>
  <c r="AA249" i="9"/>
  <c r="AA248" i="9"/>
  <c r="AA247" i="9"/>
  <c r="AA246" i="9"/>
  <c r="AA245" i="9"/>
  <c r="AA244" i="9"/>
  <c r="AA243" i="9"/>
  <c r="AA242" i="9"/>
  <c r="AA241" i="9"/>
  <c r="AA240" i="9"/>
  <c r="AA239" i="9"/>
  <c r="AA238" i="9"/>
  <c r="AA237" i="9"/>
  <c r="AA236" i="9"/>
  <c r="AA235" i="9"/>
  <c r="AA234" i="9"/>
  <c r="AA233" i="9"/>
  <c r="AA232" i="9"/>
  <c r="AA231" i="9"/>
  <c r="AA230" i="9"/>
  <c r="AA229" i="9"/>
  <c r="AA228" i="9"/>
  <c r="AA227" i="9"/>
  <c r="AA226" i="9"/>
  <c r="AA225" i="9"/>
  <c r="AA224" i="9"/>
  <c r="AA223" i="9"/>
  <c r="AA222" i="9"/>
  <c r="AA221" i="9"/>
  <c r="AA220" i="9"/>
  <c r="AA219" i="9"/>
  <c r="AA218" i="9"/>
  <c r="AA217" i="9"/>
  <c r="AA216" i="9"/>
  <c r="AA215" i="9"/>
  <c r="AA214" i="9"/>
  <c r="AA213" i="9"/>
  <c r="AA212" i="9"/>
  <c r="AA211" i="9"/>
  <c r="AA210" i="9"/>
  <c r="AA209" i="9"/>
  <c r="AA208" i="9"/>
  <c r="AA207" i="9"/>
  <c r="AA206" i="9"/>
  <c r="AA205" i="9"/>
  <c r="AA204" i="9"/>
  <c r="AA203" i="9"/>
  <c r="AA202" i="9"/>
  <c r="AA201" i="9"/>
  <c r="AA200" i="9"/>
  <c r="AA199" i="9"/>
  <c r="AA198" i="9"/>
  <c r="AA197" i="9"/>
  <c r="AA196" i="9"/>
  <c r="AA195" i="9"/>
  <c r="AA194" i="9"/>
  <c r="AA193" i="9"/>
  <c r="AA192" i="9"/>
  <c r="AA191" i="9"/>
  <c r="AA190" i="9"/>
  <c r="AA189" i="9"/>
  <c r="AA188" i="9"/>
  <c r="AA187" i="9"/>
  <c r="AA186" i="9"/>
  <c r="AA185" i="9"/>
  <c r="AA184" i="9"/>
  <c r="AA183" i="9"/>
  <c r="AA182" i="9"/>
  <c r="AA181" i="9"/>
  <c r="AA180" i="9"/>
  <c r="AA179" i="9"/>
  <c r="AA178" i="9"/>
  <c r="AA177" i="9"/>
  <c r="AA176" i="9"/>
  <c r="AA175" i="9"/>
  <c r="AA174" i="9"/>
  <c r="AA173" i="9"/>
  <c r="AA172" i="9"/>
  <c r="AA171" i="9"/>
  <c r="AA170" i="9"/>
  <c r="AA169" i="9"/>
  <c r="AA168" i="9"/>
  <c r="AA167" i="9"/>
  <c r="AA166" i="9"/>
  <c r="AA165" i="9"/>
  <c r="AA164" i="9"/>
  <c r="AA163" i="9"/>
  <c r="AA162" i="9"/>
  <c r="AA161" i="9"/>
  <c r="AA160" i="9"/>
  <c r="AA159" i="9"/>
  <c r="AA158" i="9"/>
  <c r="AA157" i="9"/>
  <c r="AA156" i="9"/>
  <c r="AA155" i="9"/>
  <c r="AA154" i="9"/>
  <c r="AA153" i="9"/>
  <c r="AA152" i="9"/>
  <c r="AA151" i="9"/>
  <c r="AA150" i="9"/>
  <c r="AA149" i="9"/>
  <c r="AA148" i="9"/>
  <c r="AA147" i="9"/>
  <c r="AA146" i="9"/>
  <c r="AA145" i="9"/>
  <c r="AA144" i="9"/>
  <c r="AA143" i="9"/>
  <c r="AA142" i="9"/>
  <c r="AA141" i="9"/>
  <c r="AA140" i="9"/>
  <c r="AA139" i="9"/>
  <c r="AA138" i="9"/>
  <c r="AA137" i="9"/>
  <c r="AA136" i="9"/>
  <c r="AA135" i="9"/>
  <c r="AA134" i="9"/>
  <c r="AA133" i="9"/>
  <c r="AA132" i="9"/>
  <c r="AA131" i="9"/>
  <c r="AA130" i="9"/>
  <c r="AA129" i="9"/>
  <c r="AA128" i="9"/>
  <c r="AA127" i="9"/>
  <c r="AA126" i="9"/>
  <c r="AA125" i="9"/>
  <c r="AA124" i="9"/>
  <c r="AA123" i="9"/>
  <c r="AA122" i="9"/>
  <c r="AA121" i="9"/>
  <c r="AA120" i="9"/>
  <c r="AA119" i="9"/>
  <c r="AA118" i="9"/>
  <c r="AA117" i="9"/>
  <c r="AA116" i="9"/>
  <c r="AA115" i="9"/>
  <c r="AA114" i="9"/>
  <c r="AA113" i="9"/>
  <c r="AA112" i="9"/>
  <c r="AA111" i="9"/>
  <c r="AA110" i="9"/>
  <c r="AA109" i="9"/>
  <c r="AA108" i="9"/>
  <c r="AA107" i="9"/>
  <c r="AA106" i="9"/>
  <c r="AA105" i="9"/>
  <c r="AA104" i="9"/>
  <c r="AA103" i="9"/>
  <c r="AA102" i="9"/>
  <c r="AA101" i="9"/>
  <c r="AA100" i="9"/>
  <c r="AA99" i="9"/>
  <c r="AA98" i="9"/>
  <c r="AA97" i="9"/>
  <c r="AA96" i="9"/>
  <c r="AA95" i="9"/>
  <c r="AA94" i="9"/>
  <c r="AA93" i="9"/>
  <c r="AA92" i="9"/>
  <c r="AA91" i="9"/>
  <c r="AA90" i="9"/>
  <c r="AA89" i="9"/>
  <c r="AA88" i="9"/>
  <c r="AA87" i="9"/>
  <c r="AA86" i="9"/>
  <c r="AA85" i="9"/>
  <c r="AA84" i="9"/>
  <c r="AA83" i="9"/>
  <c r="AA82" i="9"/>
  <c r="AA81" i="9"/>
  <c r="AA80" i="9"/>
  <c r="AA79" i="9"/>
  <c r="AA78" i="9"/>
  <c r="AA77" i="9"/>
  <c r="AA76" i="9"/>
  <c r="AA75" i="9"/>
  <c r="AA74" i="9"/>
  <c r="AA73" i="9"/>
  <c r="AA72" i="9"/>
  <c r="AA71" i="9"/>
  <c r="AA70" i="9"/>
  <c r="AA69" i="9"/>
  <c r="AA68" i="9"/>
  <c r="AA67" i="9"/>
  <c r="AA66" i="9"/>
  <c r="AA65" i="9"/>
  <c r="AA64" i="9"/>
  <c r="AA63" i="9"/>
  <c r="AA62" i="9"/>
  <c r="AA61" i="9"/>
  <c r="AA60" i="9"/>
  <c r="AA59" i="9"/>
  <c r="AA58" i="9"/>
  <c r="AA57" i="9"/>
  <c r="AA56" i="9"/>
  <c r="AA55" i="9"/>
  <c r="AA54" i="9"/>
  <c r="AA53" i="9"/>
  <c r="AA52" i="9"/>
  <c r="AA51" i="9"/>
  <c r="AA50" i="9"/>
  <c r="AA49" i="9"/>
  <c r="AA48" i="9"/>
  <c r="AA47" i="9"/>
  <c r="AA46" i="9"/>
  <c r="AA45" i="9"/>
  <c r="AA44" i="9"/>
  <c r="AA43" i="9"/>
  <c r="AA42" i="9"/>
  <c r="AA41" i="9"/>
  <c r="AA40" i="9"/>
  <c r="AA39" i="9"/>
  <c r="AA38" i="9"/>
  <c r="AA37" i="9"/>
  <c r="AA36" i="9"/>
  <c r="AA35" i="9"/>
  <c r="AA34" i="9"/>
  <c r="AA33" i="9"/>
  <c r="AA32" i="9"/>
  <c r="AA31" i="9"/>
  <c r="AA30" i="9"/>
  <c r="AA29" i="9"/>
  <c r="AA28" i="9"/>
  <c r="AA27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N273" i="9" l="1"/>
  <c r="B9" i="9" s="1"/>
  <c r="R273" i="9"/>
  <c r="J273" i="9"/>
  <c r="B273" i="9"/>
  <c r="B4" i="9" s="1"/>
  <c r="C10" i="12" s="1"/>
  <c r="B13" i="12" s="1"/>
  <c r="Z273" i="9"/>
  <c r="C16" i="10"/>
  <c r="C18" i="10" s="1"/>
  <c r="B6" i="9"/>
  <c r="C7" i="12" s="1"/>
  <c r="J7" i="12" s="1"/>
  <c r="F273" i="9"/>
  <c r="B5" i="9" s="1"/>
  <c r="V273" i="9"/>
  <c r="B8" i="9" s="1"/>
  <c r="C9" i="12" s="1"/>
  <c r="J9" i="12" s="1"/>
  <c r="J10" i="12" s="1"/>
  <c r="B12" i="12" s="1"/>
  <c r="B7" i="9"/>
  <c r="C8" i="12" s="1"/>
  <c r="J8" i="12" s="1"/>
  <c r="D30" i="2"/>
  <c r="B30" i="2"/>
  <c r="C5" i="12" l="1"/>
  <c r="J5" i="12" s="1"/>
  <c r="C6" i="12"/>
  <c r="J6" i="12" s="1"/>
  <c r="M23" i="7"/>
  <c r="C6" i="1"/>
  <c r="D11" i="1"/>
  <c r="E11" i="1"/>
  <c r="F11" i="1"/>
  <c r="G11" i="1"/>
  <c r="C11" i="1"/>
  <c r="B36" i="2"/>
  <c r="G89" i="4" l="1"/>
  <c r="F89" i="4"/>
  <c r="E89" i="4"/>
  <c r="D89" i="4"/>
  <c r="C89" i="4"/>
  <c r="B89" i="4"/>
  <c r="G79" i="4"/>
  <c r="F79" i="4"/>
  <c r="E79" i="4"/>
  <c r="D79" i="4"/>
  <c r="C79" i="4"/>
  <c r="G78" i="4"/>
  <c r="F78" i="4"/>
  <c r="F88" i="4" s="1"/>
  <c r="E78" i="4"/>
  <c r="D78" i="4"/>
  <c r="C78" i="4"/>
  <c r="B78" i="4"/>
  <c r="C73" i="4"/>
  <c r="D73" i="4"/>
  <c r="E73" i="4"/>
  <c r="F73" i="4"/>
  <c r="G73" i="4"/>
  <c r="B73" i="4"/>
  <c r="L28" i="4"/>
  <c r="K28" i="4"/>
  <c r="J28" i="4"/>
  <c r="I28" i="4"/>
  <c r="H28" i="4"/>
  <c r="C11" i="10" s="1"/>
  <c r="F30" i="2"/>
  <c r="E30" i="2"/>
  <c r="C30" i="2"/>
  <c r="G33" i="3"/>
  <c r="H29" i="3" s="1"/>
  <c r="H31" i="3" s="1"/>
  <c r="F33" i="3"/>
  <c r="G29" i="3" s="1"/>
  <c r="E33" i="3"/>
  <c r="F29" i="3" s="1"/>
  <c r="D33" i="3"/>
  <c r="D31" i="3" s="1"/>
  <c r="C33" i="3"/>
  <c r="D29" i="3" s="1"/>
  <c r="B33" i="3"/>
  <c r="B31" i="3" s="1"/>
  <c r="J26" i="1"/>
  <c r="J24" i="1"/>
  <c r="J23" i="1"/>
  <c r="J22" i="1"/>
  <c r="J21" i="1"/>
  <c r="J20" i="1"/>
  <c r="J19" i="1"/>
  <c r="H25" i="1"/>
  <c r="J25" i="1" s="1"/>
  <c r="C28" i="1"/>
  <c r="E26" i="1" s="1"/>
  <c r="G13" i="3"/>
  <c r="H9" i="3" s="1"/>
  <c r="F13" i="3"/>
  <c r="G9" i="3" s="1"/>
  <c r="E13" i="3"/>
  <c r="F9" i="3" s="1"/>
  <c r="D13" i="3"/>
  <c r="D11" i="3" s="1"/>
  <c r="C13" i="3"/>
  <c r="C11" i="3" s="1"/>
  <c r="C18" i="3" s="1"/>
  <c r="B13" i="3"/>
  <c r="B11" i="3" s="1"/>
  <c r="B10" i="3" s="1"/>
  <c r="G42" i="4"/>
  <c r="F42" i="4"/>
  <c r="E42" i="4"/>
  <c r="D42" i="4"/>
  <c r="C42" i="4"/>
  <c r="G34" i="4"/>
  <c r="F34" i="4"/>
  <c r="E34" i="4"/>
  <c r="D34" i="4"/>
  <c r="C34" i="4"/>
  <c r="G22" i="4"/>
  <c r="B42" i="4"/>
  <c r="B34" i="4"/>
  <c r="G14" i="4"/>
  <c r="C24" i="4"/>
  <c r="G30" i="7"/>
  <c r="F30" i="7"/>
  <c r="E30" i="7"/>
  <c r="D30" i="7"/>
  <c r="C30" i="7"/>
  <c r="B30" i="7"/>
  <c r="G23" i="7"/>
  <c r="J11" i="13" s="1"/>
  <c r="F23" i="7"/>
  <c r="I11" i="13" s="1"/>
  <c r="E23" i="7"/>
  <c r="H11" i="13" s="1"/>
  <c r="D23" i="7"/>
  <c r="G11" i="13" s="1"/>
  <c r="C23" i="7"/>
  <c r="F11" i="13" s="1"/>
  <c r="D28" i="6"/>
  <c r="D25" i="6"/>
  <c r="D20" i="6"/>
  <c r="D17" i="6"/>
  <c r="D14" i="6"/>
  <c r="D11" i="6"/>
  <c r="C22" i="6"/>
  <c r="C30" i="6" s="1"/>
  <c r="I22" i="6"/>
  <c r="I30" i="6" s="1"/>
  <c r="H22" i="6"/>
  <c r="H30" i="6" s="1"/>
  <c r="F9" i="7" s="1"/>
  <c r="C4" i="14" s="1"/>
  <c r="G22" i="6"/>
  <c r="G30" i="6" s="1"/>
  <c r="F22" i="6"/>
  <c r="F30" i="6" s="1"/>
  <c r="E22" i="6"/>
  <c r="E30" i="6" s="1"/>
  <c r="D22" i="6"/>
  <c r="D30" i="6" s="1"/>
  <c r="B9" i="7" s="1"/>
  <c r="G14" i="7"/>
  <c r="F14" i="7"/>
  <c r="E14" i="7"/>
  <c r="D14" i="7"/>
  <c r="C14" i="7"/>
  <c r="E11" i="6"/>
  <c r="H28" i="6"/>
  <c r="G28" i="6"/>
  <c r="F28" i="6"/>
  <c r="E28" i="6"/>
  <c r="H25" i="6"/>
  <c r="G25" i="6"/>
  <c r="F25" i="6"/>
  <c r="E25" i="6"/>
  <c r="H20" i="6"/>
  <c r="G20" i="6"/>
  <c r="F20" i="6"/>
  <c r="E20" i="6"/>
  <c r="H17" i="6"/>
  <c r="G17" i="6"/>
  <c r="F17" i="6"/>
  <c r="E17" i="6"/>
  <c r="H14" i="6"/>
  <c r="G14" i="6"/>
  <c r="F14" i="6"/>
  <c r="E14" i="6"/>
  <c r="H11" i="6"/>
  <c r="G11" i="6"/>
  <c r="F11" i="6"/>
  <c r="I25" i="6" l="1"/>
  <c r="I14" i="6"/>
  <c r="I28" i="6"/>
  <c r="I11" i="6"/>
  <c r="I17" i="6"/>
  <c r="J17" i="6"/>
  <c r="K17" i="6" s="1"/>
  <c r="L17" i="6" s="1"/>
  <c r="M17" i="6" s="1"/>
  <c r="N17" i="6" s="1"/>
  <c r="J14" i="6"/>
  <c r="K14" i="6" s="1"/>
  <c r="L14" i="6" s="1"/>
  <c r="M14" i="6" s="1"/>
  <c r="N14" i="6" s="1"/>
  <c r="D31" i="6"/>
  <c r="I20" i="6"/>
  <c r="J20" i="6"/>
  <c r="K20" i="6" s="1"/>
  <c r="L20" i="6" s="1"/>
  <c r="M20" i="6" s="1"/>
  <c r="N20" i="6" s="1"/>
  <c r="J6" i="13"/>
  <c r="J8" i="13" s="1"/>
  <c r="J25" i="13"/>
  <c r="J31" i="13" s="1"/>
  <c r="B28" i="7"/>
  <c r="B27" i="7"/>
  <c r="F25" i="13"/>
  <c r="F6" i="13"/>
  <c r="F8" i="13" s="1"/>
  <c r="I25" i="13"/>
  <c r="I6" i="13"/>
  <c r="I8" i="13" s="1"/>
  <c r="G25" i="13"/>
  <c r="G6" i="13"/>
  <c r="G8" i="13" s="1"/>
  <c r="H25" i="13"/>
  <c r="H6" i="13"/>
  <c r="H8" i="13" s="1"/>
  <c r="F11" i="7"/>
  <c r="F16" i="7" s="1"/>
  <c r="I12" i="13"/>
  <c r="I32" i="13" s="1"/>
  <c r="I15" i="13"/>
  <c r="D82" i="4"/>
  <c r="D83" i="4" s="1"/>
  <c r="F90" i="4"/>
  <c r="F91" i="4" s="1"/>
  <c r="C82" i="4"/>
  <c r="C83" i="4" s="1"/>
  <c r="B24" i="4"/>
  <c r="F16" i="13" s="1"/>
  <c r="B52" i="4"/>
  <c r="G82" i="4"/>
  <c r="G83" i="4" s="1"/>
  <c r="C52" i="4"/>
  <c r="C54" i="4" s="1"/>
  <c r="E82" i="4"/>
  <c r="E83" i="4" s="1"/>
  <c r="F52" i="4"/>
  <c r="B82" i="4"/>
  <c r="B83" i="4" s="1"/>
  <c r="H27" i="1"/>
  <c r="E29" i="3"/>
  <c r="G31" i="3"/>
  <c r="G36" i="3" s="1"/>
  <c r="E31" i="3"/>
  <c r="B30" i="3"/>
  <c r="B36" i="3"/>
  <c r="E11" i="3"/>
  <c r="E18" i="3" s="1"/>
  <c r="C29" i="3"/>
  <c r="C9" i="3"/>
  <c r="C10" i="3" s="1"/>
  <c r="C14" i="1"/>
  <c r="C30" i="1"/>
  <c r="E23" i="1"/>
  <c r="E24" i="1"/>
  <c r="E25" i="1"/>
  <c r="F14" i="1"/>
  <c r="K17" i="7" s="1"/>
  <c r="E19" i="1"/>
  <c r="E14" i="1"/>
  <c r="J17" i="7" s="1"/>
  <c r="D14" i="1"/>
  <c r="I17" i="7" s="1"/>
  <c r="E27" i="1"/>
  <c r="G14" i="1"/>
  <c r="L17" i="7" s="1"/>
  <c r="E21" i="1"/>
  <c r="F82" i="4"/>
  <c r="F83" i="4" s="1"/>
  <c r="B88" i="4"/>
  <c r="D88" i="4"/>
  <c r="D90" i="4" s="1"/>
  <c r="D91" i="4" s="1"/>
  <c r="E88" i="4"/>
  <c r="E90" i="4" s="1"/>
  <c r="E91" i="4" s="1"/>
  <c r="D30" i="3"/>
  <c r="D18" i="3"/>
  <c r="F11" i="3"/>
  <c r="F18" i="3" s="1"/>
  <c r="C31" i="3"/>
  <c r="C36" i="3" s="1"/>
  <c r="B16" i="3"/>
  <c r="F87" i="4"/>
  <c r="E20" i="1"/>
  <c r="C88" i="4"/>
  <c r="C90" i="4" s="1"/>
  <c r="C91" i="4" s="1"/>
  <c r="D9" i="3"/>
  <c r="D10" i="3" s="1"/>
  <c r="E9" i="3"/>
  <c r="D36" i="3"/>
  <c r="E22" i="1"/>
  <c r="B72" i="4"/>
  <c r="B74" i="4" s="1"/>
  <c r="B75" i="4" s="1"/>
  <c r="F72" i="4"/>
  <c r="F74" i="4" s="1"/>
  <c r="F75" i="4" s="1"/>
  <c r="B87" i="4"/>
  <c r="G11" i="3"/>
  <c r="G10" i="3" s="1"/>
  <c r="B18" i="3"/>
  <c r="G88" i="4"/>
  <c r="G90" i="4" s="1"/>
  <c r="G91" i="4" s="1"/>
  <c r="C9" i="1"/>
  <c r="D6" i="1" s="1"/>
  <c r="D9" i="1" s="1"/>
  <c r="F31" i="3"/>
  <c r="G52" i="4"/>
  <c r="F24" i="4"/>
  <c r="G24" i="4"/>
  <c r="E24" i="4"/>
  <c r="E52" i="4"/>
  <c r="D52" i="4"/>
  <c r="D24" i="4"/>
  <c r="J30" i="7"/>
  <c r="E7" i="11" s="1"/>
  <c r="L30" i="7"/>
  <c r="G7" i="11" s="1"/>
  <c r="K30" i="7"/>
  <c r="F7" i="11" s="1"/>
  <c r="H30" i="7"/>
  <c r="C7" i="11" s="1"/>
  <c r="B11" i="7"/>
  <c r="B16" i="7" s="1"/>
  <c r="B29" i="7"/>
  <c r="F29" i="7"/>
  <c r="I30" i="7"/>
  <c r="D7" i="11" s="1"/>
  <c r="F27" i="7"/>
  <c r="F28" i="7"/>
  <c r="J28" i="6"/>
  <c r="J27" i="6" s="1"/>
  <c r="J19" i="6"/>
  <c r="J16" i="6"/>
  <c r="H31" i="6"/>
  <c r="E9" i="7"/>
  <c r="C3" i="14" s="1"/>
  <c r="J25" i="6"/>
  <c r="J24" i="6" s="1"/>
  <c r="G9" i="7"/>
  <c r="I31" i="6"/>
  <c r="J13" i="6"/>
  <c r="H17" i="7" l="1"/>
  <c r="C9" i="10"/>
  <c r="J15" i="13"/>
  <c r="J35" i="13" s="1"/>
  <c r="J12" i="13"/>
  <c r="C5" i="14"/>
  <c r="H83" i="4"/>
  <c r="F54" i="4"/>
  <c r="J16" i="13"/>
  <c r="H16" i="13"/>
  <c r="F19" i="13"/>
  <c r="F21" i="13" s="1"/>
  <c r="F26" i="13"/>
  <c r="F27" i="13" s="1"/>
  <c r="F36" i="13"/>
  <c r="I16" i="13"/>
  <c r="G16" i="13"/>
  <c r="G31" i="13"/>
  <c r="I13" i="13"/>
  <c r="I35" i="13"/>
  <c r="I31" i="13"/>
  <c r="I33" i="13" s="1"/>
  <c r="H12" i="13"/>
  <c r="H15" i="13"/>
  <c r="H31" i="13"/>
  <c r="F31" i="13"/>
  <c r="B54" i="4"/>
  <c r="E54" i="4"/>
  <c r="G30" i="3"/>
  <c r="B90" i="4"/>
  <c r="E30" i="3"/>
  <c r="C12" i="1"/>
  <c r="H37" i="4" s="1"/>
  <c r="E10" i="3"/>
  <c r="G16" i="3"/>
  <c r="E36" i="3"/>
  <c r="F10" i="3"/>
  <c r="F16" i="3"/>
  <c r="K16" i="6"/>
  <c r="L16" i="6" s="1"/>
  <c r="K28" i="6"/>
  <c r="K27" i="6" s="1"/>
  <c r="G18" i="3"/>
  <c r="H18" i="3" s="1"/>
  <c r="I18" i="3" s="1"/>
  <c r="J18" i="3" s="1"/>
  <c r="C30" i="3"/>
  <c r="E87" i="4"/>
  <c r="E72" i="4"/>
  <c r="E74" i="4" s="1"/>
  <c r="E75" i="4" s="1"/>
  <c r="E16" i="3"/>
  <c r="G54" i="4"/>
  <c r="G72" i="4"/>
  <c r="G74" i="4" s="1"/>
  <c r="G75" i="4" s="1"/>
  <c r="G87" i="4"/>
  <c r="D54" i="4"/>
  <c r="E6" i="1"/>
  <c r="E9" i="1" s="1"/>
  <c r="D12" i="1"/>
  <c r="F30" i="3"/>
  <c r="F36" i="3"/>
  <c r="G11" i="7"/>
  <c r="G16" i="7" s="1"/>
  <c r="G29" i="7"/>
  <c r="G28" i="7"/>
  <c r="G27" i="7"/>
  <c r="E11" i="7"/>
  <c r="E16" i="7" s="1"/>
  <c r="E29" i="7"/>
  <c r="E28" i="7"/>
  <c r="E27" i="7"/>
  <c r="K19" i="6"/>
  <c r="L19" i="6" s="1"/>
  <c r="K25" i="6"/>
  <c r="K24" i="6" s="1"/>
  <c r="E31" i="6"/>
  <c r="C9" i="7"/>
  <c r="F31" i="6"/>
  <c r="D9" i="7"/>
  <c r="G31" i="6"/>
  <c r="K13" i="6"/>
  <c r="L28" i="6" l="1"/>
  <c r="M28" i="6" s="1"/>
  <c r="N28" i="6" s="1"/>
  <c r="J32" i="13"/>
  <c r="J33" i="13" s="1"/>
  <c r="J13" i="13"/>
  <c r="B91" i="4"/>
  <c r="B94" i="4" s="1"/>
  <c r="G19" i="13"/>
  <c r="G21" i="13" s="1"/>
  <c r="G36" i="13"/>
  <c r="G26" i="13"/>
  <c r="G27" i="13" s="1"/>
  <c r="I19" i="13"/>
  <c r="I26" i="13"/>
  <c r="I27" i="13" s="1"/>
  <c r="I36" i="13"/>
  <c r="I37" i="13" s="1"/>
  <c r="I39" i="13" s="1"/>
  <c r="I17" i="13"/>
  <c r="H26" i="13"/>
  <c r="H27" i="13" s="1"/>
  <c r="H36" i="13"/>
  <c r="H19" i="13"/>
  <c r="H21" i="13" s="1"/>
  <c r="J36" i="13"/>
  <c r="J37" i="13" s="1"/>
  <c r="J19" i="13"/>
  <c r="J26" i="13"/>
  <c r="J27" i="13" s="1"/>
  <c r="J17" i="13"/>
  <c r="H42" i="4"/>
  <c r="C10" i="10"/>
  <c r="H32" i="13"/>
  <c r="H33" i="13" s="1"/>
  <c r="H13" i="13"/>
  <c r="G15" i="13"/>
  <c r="G12" i="13"/>
  <c r="F15" i="13"/>
  <c r="F12" i="13"/>
  <c r="H35" i="13"/>
  <c r="H17" i="13"/>
  <c r="K18" i="3"/>
  <c r="L18" i="3" s="1"/>
  <c r="J31" i="6"/>
  <c r="D87" i="4"/>
  <c r="D72" i="4"/>
  <c r="D74" i="4" s="1"/>
  <c r="D75" i="4" s="1"/>
  <c r="D16" i="3"/>
  <c r="C87" i="4"/>
  <c r="C16" i="3"/>
  <c r="C72" i="4"/>
  <c r="C74" i="4" s="1"/>
  <c r="C75" i="4" s="1"/>
  <c r="I37" i="4"/>
  <c r="I42" i="4" s="1"/>
  <c r="F6" i="1"/>
  <c r="F9" i="1" s="1"/>
  <c r="E12" i="1"/>
  <c r="H36" i="3"/>
  <c r="C11" i="7"/>
  <c r="C16" i="7" s="1"/>
  <c r="C29" i="7"/>
  <c r="C28" i="7"/>
  <c r="C27" i="7"/>
  <c r="D11" i="7"/>
  <c r="D16" i="7" s="1"/>
  <c r="D28" i="7"/>
  <c r="D27" i="7"/>
  <c r="D29" i="7"/>
  <c r="L25" i="6"/>
  <c r="M25" i="6" s="1"/>
  <c r="L24" i="6"/>
  <c r="M24" i="6" s="1"/>
  <c r="M19" i="6"/>
  <c r="N19" i="6" s="1"/>
  <c r="M16" i="6"/>
  <c r="N16" i="6" s="1"/>
  <c r="L13" i="6"/>
  <c r="L27" i="6" l="1"/>
  <c r="M27" i="6" s="1"/>
  <c r="N27" i="6" s="1"/>
  <c r="J39" i="13"/>
  <c r="H37" i="13"/>
  <c r="H39" i="13" s="1"/>
  <c r="B96" i="4"/>
  <c r="I21" i="13"/>
  <c r="J21" i="13"/>
  <c r="K31" i="10"/>
  <c r="K32" i="10" s="1"/>
  <c r="C6" i="10"/>
  <c r="F32" i="13"/>
  <c r="F33" i="13" s="1"/>
  <c r="F13" i="13"/>
  <c r="F35" i="13"/>
  <c r="F37" i="13" s="1"/>
  <c r="F17" i="13"/>
  <c r="G32" i="13"/>
  <c r="G33" i="13" s="1"/>
  <c r="G13" i="13"/>
  <c r="H22" i="13"/>
  <c r="G35" i="13"/>
  <c r="G37" i="13" s="1"/>
  <c r="G17" i="13"/>
  <c r="H87" i="4"/>
  <c r="H16" i="3"/>
  <c r="I16" i="3" s="1"/>
  <c r="J37" i="4"/>
  <c r="J42" i="4" s="1"/>
  <c r="G6" i="1"/>
  <c r="G9" i="1" s="1"/>
  <c r="G12" i="1" s="1"/>
  <c r="F12" i="1"/>
  <c r="H32" i="3"/>
  <c r="H33" i="3" s="1"/>
  <c r="I36" i="3"/>
  <c r="J36" i="3" s="1"/>
  <c r="H27" i="7"/>
  <c r="J28" i="7"/>
  <c r="L28" i="7"/>
  <c r="H28" i="7"/>
  <c r="K28" i="7"/>
  <c r="I28" i="7"/>
  <c r="I29" i="7"/>
  <c r="K29" i="7"/>
  <c r="H29" i="7"/>
  <c r="L29" i="7"/>
  <c r="J29" i="7"/>
  <c r="N25" i="6"/>
  <c r="N24" i="6"/>
  <c r="M13" i="6"/>
  <c r="K33" i="10" l="1"/>
  <c r="B30" i="10" s="1"/>
  <c r="B29" i="10"/>
  <c r="G22" i="13"/>
  <c r="G39" i="13"/>
  <c r="F22" i="13"/>
  <c r="F39" i="13"/>
  <c r="J16" i="3"/>
  <c r="K16" i="3" s="1"/>
  <c r="L16" i="3" s="1"/>
  <c r="L37" i="4"/>
  <c r="L42" i="4" s="1"/>
  <c r="I29" i="3"/>
  <c r="I31" i="3" s="1"/>
  <c r="I32" i="3" s="1"/>
  <c r="I33" i="3" s="1"/>
  <c r="H19" i="4"/>
  <c r="K37" i="4"/>
  <c r="K42" i="4" s="1"/>
  <c r="K36" i="3"/>
  <c r="L36" i="3" s="1"/>
  <c r="I27" i="7"/>
  <c r="J27" i="7" s="1"/>
  <c r="N13" i="6"/>
  <c r="J29" i="3" l="1"/>
  <c r="J31" i="3" s="1"/>
  <c r="J32" i="3" s="1"/>
  <c r="J33" i="3" s="1"/>
  <c r="I19" i="4"/>
  <c r="K27" i="7"/>
  <c r="L27" i="7" s="1"/>
  <c r="K29" i="3" l="1"/>
  <c r="K31" i="3" s="1"/>
  <c r="K32" i="3" s="1"/>
  <c r="K33" i="3" s="1"/>
  <c r="J19" i="4"/>
  <c r="J10" i="6"/>
  <c r="J22" i="6" s="1"/>
  <c r="J30" i="6" s="1"/>
  <c r="L29" i="3" l="1"/>
  <c r="L31" i="3" s="1"/>
  <c r="L32" i="3" s="1"/>
  <c r="L33" i="3" s="1"/>
  <c r="L19" i="4" s="1"/>
  <c r="K19" i="4"/>
  <c r="H9" i="7"/>
  <c r="K10" i="6"/>
  <c r="K15" i="13" l="1"/>
  <c r="K35" i="13" s="1"/>
  <c r="K12" i="13"/>
  <c r="K32" i="13" s="1"/>
  <c r="H72" i="4"/>
  <c r="H11" i="3"/>
  <c r="H13" i="4"/>
  <c r="H12" i="7"/>
  <c r="H13" i="7"/>
  <c r="H10" i="7"/>
  <c r="K31" i="6"/>
  <c r="L31" i="6" s="1"/>
  <c r="L10" i="6"/>
  <c r="K22" i="6"/>
  <c r="K30" i="6" s="1"/>
  <c r="I9" i="7" s="1"/>
  <c r="L15" i="13" l="1"/>
  <c r="L35" i="13" s="1"/>
  <c r="L12" i="13"/>
  <c r="L32" i="13" s="1"/>
  <c r="H73" i="4"/>
  <c r="H11" i="4" s="1"/>
  <c r="B14" i="2" s="1"/>
  <c r="H14" i="7"/>
  <c r="H11" i="7"/>
  <c r="H78" i="4"/>
  <c r="B16" i="2"/>
  <c r="I72" i="4"/>
  <c r="I73" i="4" s="1"/>
  <c r="I11" i="4" s="1"/>
  <c r="I11" i="3"/>
  <c r="I13" i="4"/>
  <c r="C16" i="2" s="1"/>
  <c r="H12" i="3"/>
  <c r="H15" i="7" s="1"/>
  <c r="H10" i="3"/>
  <c r="B22" i="2" s="1"/>
  <c r="B24" i="2" s="1"/>
  <c r="I13" i="7"/>
  <c r="I12" i="7"/>
  <c r="I10" i="7"/>
  <c r="M31" i="6"/>
  <c r="N31" i="6" s="1"/>
  <c r="M10" i="6"/>
  <c r="L22" i="6"/>
  <c r="L30" i="6" s="1"/>
  <c r="J9" i="7" s="1"/>
  <c r="M12" i="13" l="1"/>
  <c r="M32" i="13" s="1"/>
  <c r="M15" i="13"/>
  <c r="M35" i="13" s="1"/>
  <c r="H16" i="7"/>
  <c r="C6" i="7" s="1"/>
  <c r="H20" i="7"/>
  <c r="I11" i="7"/>
  <c r="I78" i="4"/>
  <c r="J11" i="3"/>
  <c r="J72" i="4"/>
  <c r="J73" i="4" s="1"/>
  <c r="J11" i="4" s="1"/>
  <c r="J13" i="4"/>
  <c r="D16" i="2" s="1"/>
  <c r="C14" i="2"/>
  <c r="B11" i="2"/>
  <c r="C9" i="11"/>
  <c r="I12" i="3"/>
  <c r="I15" i="7" s="1"/>
  <c r="H88" i="4"/>
  <c r="H89" i="4" s="1"/>
  <c r="H30" i="4" s="1"/>
  <c r="H79" i="4"/>
  <c r="H12" i="4" s="1"/>
  <c r="H13" i="3"/>
  <c r="J12" i="7"/>
  <c r="J13" i="7"/>
  <c r="J10" i="7"/>
  <c r="I14" i="7"/>
  <c r="M22" i="6"/>
  <c r="M30" i="6" s="1"/>
  <c r="K9" i="7" s="1"/>
  <c r="N10" i="6"/>
  <c r="N22" i="6" s="1"/>
  <c r="N30" i="6" s="1"/>
  <c r="L9" i="7" s="1"/>
  <c r="N12" i="13" l="1"/>
  <c r="N32" i="13" s="1"/>
  <c r="N15" i="13"/>
  <c r="N35" i="13" s="1"/>
  <c r="H21" i="7"/>
  <c r="H23" i="7" s="1"/>
  <c r="K11" i="13" s="1"/>
  <c r="C6" i="11"/>
  <c r="C8" i="11" s="1"/>
  <c r="B28" i="10"/>
  <c r="B27" i="10" s="1"/>
  <c r="B14" i="11" s="1"/>
  <c r="I16" i="7"/>
  <c r="D6" i="11" s="1"/>
  <c r="D8" i="11" s="1"/>
  <c r="I13" i="3"/>
  <c r="I17" i="4" s="1"/>
  <c r="I22" i="4" s="1"/>
  <c r="I20" i="7"/>
  <c r="I21" i="7" s="1"/>
  <c r="L11" i="3"/>
  <c r="M72" i="4"/>
  <c r="M73" i="4" s="1"/>
  <c r="L11" i="4" s="1"/>
  <c r="L13" i="4"/>
  <c r="B17" i="2"/>
  <c r="H34" i="4"/>
  <c r="B15" i="2"/>
  <c r="K11" i="3"/>
  <c r="K72" i="4"/>
  <c r="K73" i="4" s="1"/>
  <c r="K11" i="4" s="1"/>
  <c r="E14" i="2" s="1"/>
  <c r="K13" i="4"/>
  <c r="E16" i="2" s="1"/>
  <c r="J12" i="3"/>
  <c r="J15" i="7" s="1"/>
  <c r="D14" i="2"/>
  <c r="D9" i="11"/>
  <c r="C11" i="2"/>
  <c r="I88" i="4"/>
  <c r="I89" i="4" s="1"/>
  <c r="I30" i="4" s="1"/>
  <c r="I79" i="4"/>
  <c r="I12" i="4" s="1"/>
  <c r="C15" i="2" s="1"/>
  <c r="J11" i="7"/>
  <c r="J78" i="4"/>
  <c r="H17" i="4"/>
  <c r="H22" i="4" s="1"/>
  <c r="I9" i="3"/>
  <c r="I10" i="3" s="1"/>
  <c r="C22" i="2" s="1"/>
  <c r="C24" i="2" s="1"/>
  <c r="J14" i="7"/>
  <c r="L13" i="7"/>
  <c r="L12" i="7"/>
  <c r="L10" i="7"/>
  <c r="K13" i="7"/>
  <c r="K12" i="7"/>
  <c r="K10" i="7"/>
  <c r="K6" i="13" l="1"/>
  <c r="K25" i="13"/>
  <c r="K13" i="13"/>
  <c r="J16" i="7"/>
  <c r="E6" i="11" s="1"/>
  <c r="E8" i="11" s="1"/>
  <c r="C11" i="11"/>
  <c r="E18" i="11"/>
  <c r="C18" i="11"/>
  <c r="F18" i="11"/>
  <c r="G18" i="11"/>
  <c r="D18" i="11"/>
  <c r="J9" i="3"/>
  <c r="J10" i="3" s="1"/>
  <c r="D22" i="2" s="1"/>
  <c r="D24" i="2" s="1"/>
  <c r="C10" i="11"/>
  <c r="J13" i="3"/>
  <c r="J17" i="4" s="1"/>
  <c r="J22" i="4" s="1"/>
  <c r="J20" i="7"/>
  <c r="J21" i="7" s="1"/>
  <c r="K14" i="7"/>
  <c r="B27" i="2"/>
  <c r="B33" i="2" s="1"/>
  <c r="H20" i="3"/>
  <c r="I23" i="7"/>
  <c r="B10" i="2"/>
  <c r="B19" i="2" s="1"/>
  <c r="K12" i="3"/>
  <c r="K15" i="7" s="1"/>
  <c r="K11" i="7"/>
  <c r="K78" i="4"/>
  <c r="D11" i="2"/>
  <c r="E9" i="11"/>
  <c r="J88" i="4"/>
  <c r="J89" i="4" s="1"/>
  <c r="J30" i="4" s="1"/>
  <c r="J79" i="4"/>
  <c r="J12" i="4" s="1"/>
  <c r="F16" i="2"/>
  <c r="L11" i="7"/>
  <c r="L78" i="4"/>
  <c r="C17" i="2"/>
  <c r="D11" i="11" s="1"/>
  <c r="I34" i="4"/>
  <c r="F14" i="2"/>
  <c r="L12" i="3"/>
  <c r="L15" i="7" s="1"/>
  <c r="L14" i="7"/>
  <c r="C27" i="2" l="1"/>
  <c r="C33" i="2" s="1"/>
  <c r="L11" i="13"/>
  <c r="K31" i="13"/>
  <c r="K33" i="13" s="1"/>
  <c r="C12" i="11"/>
  <c r="L16" i="7"/>
  <c r="G6" i="11" s="1"/>
  <c r="G8" i="11" s="1"/>
  <c r="K16" i="7"/>
  <c r="F6" i="11" s="1"/>
  <c r="F8" i="11" s="1"/>
  <c r="D10" i="11"/>
  <c r="D12" i="11" s="1"/>
  <c r="K9" i="3"/>
  <c r="K10" i="3" s="1"/>
  <c r="E22" i="2" s="1"/>
  <c r="E24" i="2" s="1"/>
  <c r="K20" i="7"/>
  <c r="K21" i="7" s="1"/>
  <c r="C10" i="2"/>
  <c r="C19" i="2" s="1"/>
  <c r="L20" i="7"/>
  <c r="H50" i="4"/>
  <c r="J23" i="7"/>
  <c r="B35" i="2"/>
  <c r="B37" i="2" s="1"/>
  <c r="H9" i="4" s="1"/>
  <c r="H14" i="4" s="1"/>
  <c r="H24" i="4" s="1"/>
  <c r="D17" i="2"/>
  <c r="J34" i="4"/>
  <c r="F9" i="11"/>
  <c r="E11" i="2"/>
  <c r="K13" i="3"/>
  <c r="D15" i="2"/>
  <c r="F11" i="2"/>
  <c r="G9" i="11"/>
  <c r="K88" i="4"/>
  <c r="K89" i="4" s="1"/>
  <c r="K30" i="4" s="1"/>
  <c r="K79" i="4"/>
  <c r="K12" i="4" s="1"/>
  <c r="E15" i="2" s="1"/>
  <c r="L88" i="4"/>
  <c r="L89" i="4" s="1"/>
  <c r="L30" i="4" s="1"/>
  <c r="L79" i="4"/>
  <c r="L12" i="4" s="1"/>
  <c r="L13" i="3"/>
  <c r="L17" i="4" s="1"/>
  <c r="L22" i="4" s="1"/>
  <c r="C35" i="2" l="1"/>
  <c r="K16" i="13"/>
  <c r="D27" i="2"/>
  <c r="D33" i="2" s="1"/>
  <c r="M11" i="13"/>
  <c r="I50" i="4"/>
  <c r="L20" i="13" s="1"/>
  <c r="L7" i="13" s="1"/>
  <c r="K20" i="13"/>
  <c r="K7" i="13" s="1"/>
  <c r="K8" i="13" s="1"/>
  <c r="L6" i="13"/>
  <c r="L13" i="13"/>
  <c r="L25" i="13"/>
  <c r="E11" i="11"/>
  <c r="E10" i="11"/>
  <c r="L21" i="7"/>
  <c r="L23" i="7" s="1"/>
  <c r="F27" i="2" s="1"/>
  <c r="F33" i="2" s="1"/>
  <c r="F24" i="11"/>
  <c r="D19" i="11"/>
  <c r="D17" i="11"/>
  <c r="C19" i="11"/>
  <c r="C17" i="11"/>
  <c r="D10" i="2"/>
  <c r="D19" i="2" s="1"/>
  <c r="C36" i="2"/>
  <c r="K23" i="7"/>
  <c r="H52" i="4"/>
  <c r="H54" i="4" s="1"/>
  <c r="E17" i="2"/>
  <c r="F11" i="11" s="1"/>
  <c r="K34" i="4"/>
  <c r="K17" i="4"/>
  <c r="K22" i="4" s="1"/>
  <c r="L9" i="3"/>
  <c r="L10" i="3" s="1"/>
  <c r="F22" i="2" s="1"/>
  <c r="F24" i="2" s="1"/>
  <c r="F17" i="2"/>
  <c r="L34" i="4"/>
  <c r="F15" i="2"/>
  <c r="D35" i="2" l="1"/>
  <c r="C37" i="2"/>
  <c r="L8" i="13"/>
  <c r="E27" i="2"/>
  <c r="E33" i="2" s="1"/>
  <c r="N11" i="13"/>
  <c r="I52" i="4"/>
  <c r="J50" i="4"/>
  <c r="M20" i="13" s="1"/>
  <c r="M7" i="13" s="1"/>
  <c r="K26" i="13"/>
  <c r="K27" i="13" s="1"/>
  <c r="K19" i="13"/>
  <c r="K36" i="13"/>
  <c r="K37" i="13" s="1"/>
  <c r="K39" i="13" s="1"/>
  <c r="K17" i="13"/>
  <c r="M6" i="13"/>
  <c r="M13" i="13"/>
  <c r="M25" i="13"/>
  <c r="L31" i="13"/>
  <c r="L33" i="13" s="1"/>
  <c r="E12" i="11"/>
  <c r="G10" i="11"/>
  <c r="G11" i="11"/>
  <c r="F10" i="11"/>
  <c r="F12" i="11" s="1"/>
  <c r="F25" i="11"/>
  <c r="F26" i="11" s="1"/>
  <c r="F30" i="11" s="1"/>
  <c r="F35" i="11" s="1"/>
  <c r="F38" i="11" s="1"/>
  <c r="O39" i="11" s="1"/>
  <c r="F10" i="2"/>
  <c r="F19" i="2" s="1"/>
  <c r="F35" i="2" s="1"/>
  <c r="E10" i="2"/>
  <c r="E19" i="2" s="1"/>
  <c r="D36" i="2"/>
  <c r="D37" i="2" s="1"/>
  <c r="I9" i="4"/>
  <c r="I14" i="4" s="1"/>
  <c r="I24" i="4" s="1"/>
  <c r="I54" i="4" l="1"/>
  <c r="L16" i="13"/>
  <c r="E35" i="2"/>
  <c r="J52" i="4"/>
  <c r="K50" i="4"/>
  <c r="L50" i="4" s="1"/>
  <c r="L52" i="4" s="1"/>
  <c r="K21" i="13"/>
  <c r="M31" i="13"/>
  <c r="M33" i="13" s="1"/>
  <c r="M8" i="13"/>
  <c r="N13" i="13"/>
  <c r="N6" i="13"/>
  <c r="N25" i="13"/>
  <c r="N31" i="13" s="1"/>
  <c r="N33" i="13" s="1"/>
  <c r="G12" i="11"/>
  <c r="G19" i="11" s="1"/>
  <c r="B24" i="11" s="1"/>
  <c r="B25" i="11" s="1"/>
  <c r="B26" i="11" s="1"/>
  <c r="B30" i="11" s="1"/>
  <c r="B35" i="11" s="1"/>
  <c r="B38" i="11" s="1"/>
  <c r="O25" i="11" s="1"/>
  <c r="F19" i="11"/>
  <c r="F17" i="11"/>
  <c r="E17" i="11"/>
  <c r="E19" i="11"/>
  <c r="E36" i="2"/>
  <c r="J9" i="4"/>
  <c r="J14" i="4" s="1"/>
  <c r="J24" i="4" s="1"/>
  <c r="E37" i="2" l="1"/>
  <c r="F36" i="2" s="1"/>
  <c r="F37" i="2" s="1"/>
  <c r="L9" i="4" s="1"/>
  <c r="L14" i="4" s="1"/>
  <c r="L24" i="4" s="1"/>
  <c r="L54" i="4" s="1"/>
  <c r="J54" i="4"/>
  <c r="K52" i="4"/>
  <c r="N20" i="13"/>
  <c r="N7" i="13" s="1"/>
  <c r="N8" i="13" s="1"/>
  <c r="L36" i="13"/>
  <c r="L37" i="13" s="1"/>
  <c r="L39" i="13" s="1"/>
  <c r="L17" i="13"/>
  <c r="L26" i="13"/>
  <c r="L27" i="13" s="1"/>
  <c r="L19" i="13"/>
  <c r="M16" i="13"/>
  <c r="G17" i="11"/>
  <c r="C20" i="11"/>
  <c r="K9" i="4"/>
  <c r="K14" i="4" s="1"/>
  <c r="K24" i="4" s="1"/>
  <c r="K54" i="4" s="1"/>
  <c r="M26" i="13" l="1"/>
  <c r="M27" i="13" s="1"/>
  <c r="M36" i="13"/>
  <c r="M37" i="13" s="1"/>
  <c r="M39" i="13" s="1"/>
  <c r="M17" i="13"/>
  <c r="M19" i="13"/>
  <c r="N16" i="13"/>
  <c r="L21" i="13"/>
  <c r="N19" i="13" l="1"/>
  <c r="N36" i="13"/>
  <c r="N37" i="13" s="1"/>
  <c r="N39" i="13" s="1"/>
  <c r="N17" i="13"/>
  <c r="N26" i="13"/>
  <c r="N27" i="13" s="1"/>
  <c r="M21" i="13"/>
  <c r="N21" i="13" l="1"/>
</calcChain>
</file>

<file path=xl/sharedStrings.xml><?xml version="1.0" encoding="utf-8"?>
<sst xmlns="http://schemas.openxmlformats.org/spreadsheetml/2006/main" count="1635" uniqueCount="554">
  <si>
    <t>Inventories</t>
  </si>
  <si>
    <t>Accounts payable and accrued expenses</t>
  </si>
  <si>
    <t>Depreciation and amortization</t>
  </si>
  <si>
    <t>Net Cash Provided by Operating Activities</t>
  </si>
  <si>
    <t>Segment Information</t>
  </si>
  <si>
    <t>12 months</t>
  </si>
  <si>
    <t>(in USD million except per Share Data)</t>
  </si>
  <si>
    <t>Income Statement</t>
  </si>
  <si>
    <t>(in USD millions)</t>
  </si>
  <si>
    <t>Property, Plant &amp; Equipment</t>
  </si>
  <si>
    <t>Opening Balance-WDV</t>
  </si>
  <si>
    <t>Add: Net Addition during the Period</t>
  </si>
  <si>
    <t>Total Depreciable Assets During the Year</t>
  </si>
  <si>
    <t>Less: Depreciation during the year</t>
  </si>
  <si>
    <t>Closing Balance-WDV</t>
  </si>
  <si>
    <t>PPE Turnover Ratio</t>
  </si>
  <si>
    <t>Depreciation Rate</t>
  </si>
  <si>
    <t>Amortizable Intangible Assets, net</t>
  </si>
  <si>
    <t>Total Amortizable Assets During the Year</t>
  </si>
  <si>
    <t>Less: Amortisation during the year</t>
  </si>
  <si>
    <t>Amortisation Rate</t>
  </si>
  <si>
    <t xml:space="preserve">Balance Sheet as of:
</t>
  </si>
  <si>
    <t>Cash Flow Statement</t>
  </si>
  <si>
    <t>Net Operating Revenues - Reported</t>
  </si>
  <si>
    <t>Source</t>
  </si>
  <si>
    <t>Other Indefinite-lived Intangible Assets</t>
  </si>
  <si>
    <t>10K Dec'20, Pg 91</t>
  </si>
  <si>
    <t>10K Dec'22, Pg 86</t>
  </si>
  <si>
    <t>10K Dec'22, Pg 63, 69 &amp; 120</t>
  </si>
  <si>
    <t>10K Dec'20, Pg 72, 66 &amp; 127</t>
  </si>
  <si>
    <t>Debt Schedule</t>
  </si>
  <si>
    <t>Cash From Operating Activities</t>
  </si>
  <si>
    <t>Net Income</t>
  </si>
  <si>
    <t>Share-based compensation expense</t>
  </si>
  <si>
    <t>Change in assets and liabilities:</t>
  </si>
  <si>
    <t>Prepaid expenses and other current assets</t>
  </si>
  <si>
    <t>Cash From Investing Activities</t>
  </si>
  <si>
    <t>Capital Expenditure</t>
  </si>
  <si>
    <t>Net Cash Used for Investing Activities</t>
  </si>
  <si>
    <t>Cash From Financing Activities</t>
  </si>
  <si>
    <t>Cash dividends paid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</si>
  <si>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</si>
  <si>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</si>
  <si>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</si>
  <si>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</si>
  <si>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</si>
  <si>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</si>
  <si>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>Trade accounts receivable</t>
  </si>
  <si>
    <t xml:space="preserve"> </t>
  </si>
  <si>
    <t>Calculation</t>
  </si>
  <si>
    <t>Interest Expense</t>
  </si>
  <si>
    <t>Goodwill</t>
  </si>
  <si>
    <t>Opening Debt</t>
  </si>
  <si>
    <t>Long term debt</t>
  </si>
  <si>
    <t>Closing balance</t>
  </si>
  <si>
    <t>Short Term</t>
  </si>
  <si>
    <t>Long Term</t>
  </si>
  <si>
    <t>Interest Exp</t>
  </si>
  <si>
    <t>Accounts Payable</t>
  </si>
  <si>
    <t>NIKE, Inc. Revenues</t>
  </si>
  <si>
    <t>NIKE Brands Revenue By:</t>
  </si>
  <si>
    <t>FOOTWEAR</t>
  </si>
  <si>
    <t>APPAREL</t>
  </si>
  <si>
    <t>EQUIPMENT</t>
  </si>
  <si>
    <t>GLOBAL BRAND DIVISIONS</t>
  </si>
  <si>
    <t>TOTAL NIKE BRAND REVENUE</t>
  </si>
  <si>
    <t>CONVERSE</t>
  </si>
  <si>
    <t>CORPORATE</t>
  </si>
  <si>
    <t>TOTAL NIKE INC. REVENUE</t>
  </si>
  <si>
    <t>Growth %</t>
  </si>
  <si>
    <t>Cost Of Sales</t>
  </si>
  <si>
    <t>Gross Profit</t>
  </si>
  <si>
    <t>Demand Creation Expense</t>
  </si>
  <si>
    <t>Operating Overhead Expense</t>
  </si>
  <si>
    <t>Total Selling and Administrative Expense</t>
  </si>
  <si>
    <t>Other Expense</t>
  </si>
  <si>
    <t xml:space="preserve">Income tax </t>
  </si>
  <si>
    <t>% of sale percent</t>
  </si>
  <si>
    <t>Cost of Sales</t>
  </si>
  <si>
    <t>Demand creation expense</t>
  </si>
  <si>
    <t>Operating overhead expense</t>
  </si>
  <si>
    <t>Income before tax</t>
  </si>
  <si>
    <t>ASSETS</t>
  </si>
  <si>
    <t>Current Assets:</t>
  </si>
  <si>
    <t>Cash and equivalents</t>
  </si>
  <si>
    <t>Short term investment</t>
  </si>
  <si>
    <t>Accounts receivable</t>
  </si>
  <si>
    <t>Prepaid expense and other current assets</t>
  </si>
  <si>
    <t>TOTAL CURRENT ASSETS</t>
  </si>
  <si>
    <t>Non-current assets:</t>
  </si>
  <si>
    <t>Property,Plant and equipment</t>
  </si>
  <si>
    <t>Operating Lease right of use assets</t>
  </si>
  <si>
    <t>Identifiable intanglible assets</t>
  </si>
  <si>
    <t>Deferred income tax and other assets</t>
  </si>
  <si>
    <t>TOTAL NON-CURRENT ASSETS</t>
  </si>
  <si>
    <t>TOTAL ASSETS</t>
  </si>
  <si>
    <t>LIABILITIES AND SHAREHOLDERS EQUITY</t>
  </si>
  <si>
    <t>Current Liabilities:</t>
  </si>
  <si>
    <t>Current potion of long term debt</t>
  </si>
  <si>
    <t>Notes Payable</t>
  </si>
  <si>
    <t>Current potion of operating lease liabilities</t>
  </si>
  <si>
    <t>Acrued Liabilities</t>
  </si>
  <si>
    <t>Income taxes payable</t>
  </si>
  <si>
    <t>TOTAL CURRENT LIABILITIES</t>
  </si>
  <si>
    <t>Non-current Liabilities:-</t>
  </si>
  <si>
    <t>Operating lease liabilities</t>
  </si>
  <si>
    <t>deferred income taxes and other liabilities</t>
  </si>
  <si>
    <t>Commitments and Contingencies</t>
  </si>
  <si>
    <t>Redeemable preferred stock</t>
  </si>
  <si>
    <t>TOTAL NON-CURRENT LIABILITIES</t>
  </si>
  <si>
    <t>Shareholders Equity:</t>
  </si>
  <si>
    <t>Common Stock at stated value:</t>
  </si>
  <si>
    <t>Class A convertible - 315 and 315 shares outstanding</t>
  </si>
  <si>
    <t>Class B - 1,243 and 1,253 shares outstanding</t>
  </si>
  <si>
    <t>Capital in excess of stated value</t>
  </si>
  <si>
    <t>Accumulated other comprehensive income</t>
  </si>
  <si>
    <t>Retained Earning (deficit)</t>
  </si>
  <si>
    <t>TOTAL LIABILITIES AND SHAREHOLDERS EQUITY</t>
  </si>
  <si>
    <t>Maturities</t>
  </si>
  <si>
    <t>Loan amount</t>
  </si>
  <si>
    <t>ROI</t>
  </si>
  <si>
    <t>Weightage</t>
  </si>
  <si>
    <t>March 27,2025</t>
  </si>
  <si>
    <t>November 1,2026</t>
  </si>
  <si>
    <t>march 27,2027</t>
  </si>
  <si>
    <t>March 27,2030</t>
  </si>
  <si>
    <t>March 27,2040</t>
  </si>
  <si>
    <t>May 1,2043</t>
  </si>
  <si>
    <t>November 1,2045</t>
  </si>
  <si>
    <t>March 27,2050</t>
  </si>
  <si>
    <t>TOTAL</t>
  </si>
  <si>
    <t>Year</t>
  </si>
  <si>
    <t>Amount</t>
  </si>
  <si>
    <t>(-) current potion of long term debt</t>
  </si>
  <si>
    <t>Avg. rate</t>
  </si>
  <si>
    <t>interest exp.</t>
  </si>
  <si>
    <t>cfs</t>
  </si>
  <si>
    <t>dio</t>
  </si>
  <si>
    <t>last year</t>
  </si>
  <si>
    <t>dso</t>
  </si>
  <si>
    <t>%percentage of revenue</t>
  </si>
  <si>
    <t>lastet year</t>
  </si>
  <si>
    <t>intangible asset</t>
  </si>
  <si>
    <t>identifiaBLE  non monetary assts</t>
  </si>
  <si>
    <t>non identifiable</t>
  </si>
  <si>
    <t>dpo</t>
  </si>
  <si>
    <t>unrealised gain or loss</t>
  </si>
  <si>
    <t>dso= 365/artr</t>
  </si>
  <si>
    <t>365/33.4</t>
  </si>
  <si>
    <t>revenue*33.4/365</t>
  </si>
  <si>
    <t>cogs</t>
  </si>
  <si>
    <t>dio=365/artr</t>
  </si>
  <si>
    <t>artr=365/dio</t>
  </si>
  <si>
    <t>108.09/365*cogs</t>
  </si>
  <si>
    <t>% of revenue</t>
  </si>
  <si>
    <t>APTR</t>
  </si>
  <si>
    <t>COGS</t>
  </si>
  <si>
    <t>ACCOUNTS PAYABLE</t>
  </si>
  <si>
    <t>DPO</t>
  </si>
  <si>
    <t>PROJECTED DPO</t>
  </si>
  <si>
    <t>check sum</t>
  </si>
  <si>
    <t xml:space="preserve">  </t>
  </si>
  <si>
    <t>NIKE.inc</t>
  </si>
  <si>
    <t xml:space="preserve">NIKE.inc </t>
  </si>
  <si>
    <t>DPS</t>
  </si>
  <si>
    <t>NIKE.INC</t>
  </si>
  <si>
    <t>BETA ➡️</t>
  </si>
  <si>
    <t>Return</t>
  </si>
  <si>
    <t>Price</t>
  </si>
  <si>
    <t>Date</t>
  </si>
  <si>
    <t>S&amp;P</t>
  </si>
  <si>
    <t>Beta 5yrs Weekly</t>
  </si>
  <si>
    <t xml:space="preserve">Company </t>
  </si>
  <si>
    <t>01/19/2025</t>
  </si>
  <si>
    <t>12/29/2024</t>
  </si>
  <si>
    <t>12/22/2024</t>
  </si>
  <si>
    <t>12/15/2024</t>
  </si>
  <si>
    <t>11/24/2024</t>
  </si>
  <si>
    <t>11/17/2024</t>
  </si>
  <si>
    <t>10/27/2024</t>
  </si>
  <si>
    <t>10/20/2024</t>
  </si>
  <si>
    <t>10/13/2024</t>
  </si>
  <si>
    <t>09/29/2024</t>
  </si>
  <si>
    <t>09/22/2024</t>
  </si>
  <si>
    <t>09/15/2024</t>
  </si>
  <si>
    <t>08/25/2024</t>
  </si>
  <si>
    <t>08/18/2024</t>
  </si>
  <si>
    <t>07/28/2024</t>
  </si>
  <si>
    <t>07/21/2024</t>
  </si>
  <si>
    <t>07/14/2024</t>
  </si>
  <si>
    <t>06/30/2024</t>
  </si>
  <si>
    <t>06/23/2024</t>
  </si>
  <si>
    <t>06/16/2024</t>
  </si>
  <si>
    <t>05/26/2024</t>
  </si>
  <si>
    <t>05/19/2024</t>
  </si>
  <si>
    <t>04/28/2024</t>
  </si>
  <si>
    <t>04/21/2024</t>
  </si>
  <si>
    <t>04/14/2024</t>
  </si>
  <si>
    <t>03/31/2024</t>
  </si>
  <si>
    <t>03/24/2024</t>
  </si>
  <si>
    <t>03/17/2024</t>
  </si>
  <si>
    <t>02/25/2024</t>
  </si>
  <si>
    <t>02/18/2024</t>
  </si>
  <si>
    <t>01/28/2024</t>
  </si>
  <si>
    <t>01/21/2024</t>
  </si>
  <si>
    <t>01/14/2024</t>
  </si>
  <si>
    <t>12/31/2023</t>
  </si>
  <si>
    <t>12/24/2023</t>
  </si>
  <si>
    <t>12/17/2023</t>
  </si>
  <si>
    <t>11/26/2023</t>
  </si>
  <si>
    <t>11/19/2023</t>
  </si>
  <si>
    <t>10/29/2023</t>
  </si>
  <si>
    <t>10/22/2023</t>
  </si>
  <si>
    <t>10/15/2023</t>
  </si>
  <si>
    <t>09/24/2023</t>
  </si>
  <si>
    <t>09/17/2023</t>
  </si>
  <si>
    <t>08/27/2023</t>
  </si>
  <si>
    <t>08/20/2023</t>
  </si>
  <si>
    <t>08/13/2023</t>
  </si>
  <si>
    <t>07/30/2023</t>
  </si>
  <si>
    <t>07/23/2023</t>
  </si>
  <si>
    <t>07/16/2023</t>
  </si>
  <si>
    <t>06/25/2023</t>
  </si>
  <si>
    <t>06/18/2023</t>
  </si>
  <si>
    <t>05/28/2023</t>
  </si>
  <si>
    <t>05/21/2023</t>
  </si>
  <si>
    <t>05/14/2023</t>
  </si>
  <si>
    <t>04/30/2023</t>
  </si>
  <si>
    <t>04/23/2023</t>
  </si>
  <si>
    <t>04/16/2023</t>
  </si>
  <si>
    <t>03/26/2023</t>
  </si>
  <si>
    <t>03/19/2023</t>
  </si>
  <si>
    <t>02/26/2023</t>
  </si>
  <si>
    <t>02/19/2023</t>
  </si>
  <si>
    <t>01/29/2023</t>
  </si>
  <si>
    <t>01/22/2023</t>
  </si>
  <si>
    <t>01/15/2023</t>
  </si>
  <si>
    <t>12/25/2022</t>
  </si>
  <si>
    <t>12/18/2022</t>
  </si>
  <si>
    <t>11/27/2022</t>
  </si>
  <si>
    <t>11/20/2022</t>
  </si>
  <si>
    <t>11/13/2022</t>
  </si>
  <si>
    <t>10/30/2022</t>
  </si>
  <si>
    <t>10/23/2022</t>
  </si>
  <si>
    <t>10/16/2022</t>
  </si>
  <si>
    <t>09/25/2022</t>
  </si>
  <si>
    <t>09/18/2022</t>
  </si>
  <si>
    <t>08/28/2022</t>
  </si>
  <si>
    <t>08/21/2022</t>
  </si>
  <si>
    <t>08/14/2022</t>
  </si>
  <si>
    <t>07/31/2022</t>
  </si>
  <si>
    <t>07/24/2022</t>
  </si>
  <si>
    <t>07/17/2022</t>
  </si>
  <si>
    <t>06/26/2022</t>
  </si>
  <si>
    <t>06/19/2022</t>
  </si>
  <si>
    <t>05/29/2022</t>
  </si>
  <si>
    <t>05/22/2022</t>
  </si>
  <si>
    <t>05/15/2022</t>
  </si>
  <si>
    <t>04/24/2022</t>
  </si>
  <si>
    <t>04/17/2022</t>
  </si>
  <si>
    <t>03/27/2022</t>
  </si>
  <si>
    <t>03/20/2022</t>
  </si>
  <si>
    <t>03/13/2022</t>
  </si>
  <si>
    <t>02/27/2022</t>
  </si>
  <si>
    <t>02/20/2022</t>
  </si>
  <si>
    <t>02/13/2022</t>
  </si>
  <si>
    <t>01/30/2022</t>
  </si>
  <si>
    <t>01/23/2022</t>
  </si>
  <si>
    <t>01/16/2022</t>
  </si>
  <si>
    <t>01/31/2021</t>
  </si>
  <si>
    <t>02/14/2021</t>
  </si>
  <si>
    <t>02/21/2021</t>
  </si>
  <si>
    <t>02/28/2021</t>
  </si>
  <si>
    <t>03/14/2021</t>
  </si>
  <si>
    <t>03/21/2021</t>
  </si>
  <si>
    <t>03/28/2021</t>
  </si>
  <si>
    <t>04/18/2021</t>
  </si>
  <si>
    <t>04/25/2021</t>
  </si>
  <si>
    <t>05/16/2021</t>
  </si>
  <si>
    <t>05/23/2021</t>
  </si>
  <si>
    <t>05/30/2021</t>
  </si>
  <si>
    <t>06/13/2021</t>
  </si>
  <si>
    <t>06/20/2021</t>
  </si>
  <si>
    <t>06/27/2021</t>
  </si>
  <si>
    <t>07/18/2021</t>
  </si>
  <si>
    <t>07/25/2021</t>
  </si>
  <si>
    <t>08/15/2021</t>
  </si>
  <si>
    <t>08/22/2021</t>
  </si>
  <si>
    <t>08/29/2021</t>
  </si>
  <si>
    <t>09/19/2021</t>
  </si>
  <si>
    <t>09/26/2021</t>
  </si>
  <si>
    <t>10/17/2021</t>
  </si>
  <si>
    <t>10/24/2021</t>
  </si>
  <si>
    <t>10/31/2021</t>
  </si>
  <si>
    <t>11/14/2021</t>
  </si>
  <si>
    <t>11/21/2021</t>
  </si>
  <si>
    <t>11/28/2021</t>
  </si>
  <si>
    <t>12/19/2021</t>
  </si>
  <si>
    <t>12/26/2021</t>
  </si>
  <si>
    <t>Adidas</t>
  </si>
  <si>
    <t>NIKE</t>
  </si>
  <si>
    <t>01/17/2021</t>
  </si>
  <si>
    <t>01/24/2021</t>
  </si>
  <si>
    <t>ADIDAS</t>
  </si>
  <si>
    <t>01/26/2025</t>
  </si>
  <si>
    <t>ASICS</t>
  </si>
  <si>
    <t>12/27/2020</t>
  </si>
  <si>
    <t>12/20/2020</t>
  </si>
  <si>
    <t>12/13/2020</t>
  </si>
  <si>
    <t>11/29/2020</t>
  </si>
  <si>
    <t>11/22/2020</t>
  </si>
  <si>
    <t>11/15/2020</t>
  </si>
  <si>
    <t>10/25/2020</t>
  </si>
  <si>
    <t>10/18/2020</t>
  </si>
  <si>
    <t>09/27/2020</t>
  </si>
  <si>
    <t>09/20/2020</t>
  </si>
  <si>
    <t>09/13/2020</t>
  </si>
  <si>
    <t>08/30/2020</t>
  </si>
  <si>
    <t>08/23/2020</t>
  </si>
  <si>
    <t>08/16/2020</t>
  </si>
  <si>
    <t>07/26/2020</t>
  </si>
  <si>
    <t>07/19/2020</t>
  </si>
  <si>
    <t>06/28/2020</t>
  </si>
  <si>
    <t>06/21/2020</t>
  </si>
  <si>
    <t>06/14/2020</t>
  </si>
  <si>
    <t>05/31/2020</t>
  </si>
  <si>
    <t>05/24/2020</t>
  </si>
  <si>
    <t>05/17/2020</t>
  </si>
  <si>
    <t>04/26/2020</t>
  </si>
  <si>
    <t>04/19/2020</t>
  </si>
  <si>
    <t>03/29/2020</t>
  </si>
  <si>
    <t>03/22/2020</t>
  </si>
  <si>
    <t>03/15/2020</t>
  </si>
  <si>
    <t>02/23/2020</t>
  </si>
  <si>
    <t>02/16/2020</t>
  </si>
  <si>
    <t>DIO</t>
  </si>
  <si>
    <t>ARTR</t>
  </si>
  <si>
    <t>Inventory</t>
  </si>
  <si>
    <t>ARTS=COGS / Inventory</t>
  </si>
  <si>
    <t>Revenue</t>
  </si>
  <si>
    <t>DSO</t>
  </si>
  <si>
    <t>Projected</t>
  </si>
  <si>
    <t>Projected dio</t>
  </si>
  <si>
    <t>Projected dso</t>
  </si>
  <si>
    <t>365/Project artr</t>
  </si>
  <si>
    <t>Projected artr</t>
  </si>
  <si>
    <t>Revenue/ AR</t>
  </si>
  <si>
    <t>AR</t>
  </si>
  <si>
    <t>Prepaid expense</t>
  </si>
  <si>
    <t>DIO=365/Inventory tr</t>
  </si>
  <si>
    <t xml:space="preserve">ARTR=revenue / accr </t>
  </si>
  <si>
    <t>Date of Valuations</t>
  </si>
  <si>
    <t>Risk Free Rate</t>
  </si>
  <si>
    <t>Credit Rate</t>
  </si>
  <si>
    <t>Credit Spread</t>
  </si>
  <si>
    <t>Cost Of Debt (Rd)</t>
  </si>
  <si>
    <t>Cost Of Debt as per Book Value</t>
  </si>
  <si>
    <t>(interest expense / O/S Debt)</t>
  </si>
  <si>
    <t>O/S Debt = Long Term + Short Term</t>
  </si>
  <si>
    <t>Interest</t>
  </si>
  <si>
    <t>LTD</t>
  </si>
  <si>
    <t>STD</t>
  </si>
  <si>
    <t>Cost of Equity (Rating Based Method)</t>
  </si>
  <si>
    <t>Regression Beta</t>
  </si>
  <si>
    <t>ERP (From Damodaran)</t>
  </si>
  <si>
    <t>Cost of Equity (Re)</t>
  </si>
  <si>
    <t>Cost of Equity (Historical Method)</t>
  </si>
  <si>
    <t>E(Rm)</t>
  </si>
  <si>
    <t>Rf</t>
  </si>
  <si>
    <t>ERP</t>
  </si>
  <si>
    <t>Calculation of WACC</t>
  </si>
  <si>
    <t xml:space="preserve">WACC </t>
  </si>
  <si>
    <t>⬅️WACC = Wd * Rd * (1-Tax) + We * Re</t>
  </si>
  <si>
    <t>Tax Rate</t>
  </si>
  <si>
    <t>Wd</t>
  </si>
  <si>
    <t>We</t>
  </si>
  <si>
    <t xml:space="preserve"> Amount in Million</t>
  </si>
  <si>
    <t>Cash Flow Sheet</t>
  </si>
  <si>
    <t>Elimitations</t>
  </si>
  <si>
    <t>CMP=</t>
  </si>
  <si>
    <t>EBIT</t>
  </si>
  <si>
    <t>MV = Equity = CMP*O/S Shares</t>
  </si>
  <si>
    <t>Tax</t>
  </si>
  <si>
    <t>Debt = BookValue</t>
  </si>
  <si>
    <t>NOPAT</t>
  </si>
  <si>
    <t>(+/-)Net change is working capital</t>
  </si>
  <si>
    <t>(-)Capex</t>
  </si>
  <si>
    <t>FCFF (EXPLICTED CASH FLOW</t>
  </si>
  <si>
    <t>WACC</t>
  </si>
  <si>
    <t>Growth rate</t>
  </si>
  <si>
    <t xml:space="preserve">PV of explicit cash flow </t>
  </si>
  <si>
    <t>discount factor</t>
  </si>
  <si>
    <t>Discount factor * fcff</t>
  </si>
  <si>
    <t>Sum of  pv explicit cash flow</t>
  </si>
  <si>
    <t>Exit multiple=</t>
  </si>
  <si>
    <t>EV/EBIDA</t>
  </si>
  <si>
    <t>Gordon growth</t>
  </si>
  <si>
    <t>Exit multiple</t>
  </si>
  <si>
    <t>Terminal Value</t>
  </si>
  <si>
    <t>pv of tv</t>
  </si>
  <si>
    <t xml:space="preserve">Non operating assets </t>
  </si>
  <si>
    <t>Short-term investments</t>
  </si>
  <si>
    <t>Long-term investments</t>
  </si>
  <si>
    <t>Total value of  firm</t>
  </si>
  <si>
    <t>Actual year</t>
  </si>
  <si>
    <t xml:space="preserve"> Less:Debt &amp; Debt E.</t>
  </si>
  <si>
    <t>Less:NCI</t>
  </si>
  <si>
    <t>Add:Cash</t>
  </si>
  <si>
    <t>Market Value</t>
  </si>
  <si>
    <t xml:space="preserve">O/S SHARE ASSUMING DILUTION </t>
  </si>
  <si>
    <t xml:space="preserve">Value per share </t>
  </si>
  <si>
    <t>UNLEVERED BETA CALCULATION - COMPARABLES</t>
  </si>
  <si>
    <t>Name</t>
  </si>
  <si>
    <t>Levered Beta</t>
  </si>
  <si>
    <t>Debt</t>
  </si>
  <si>
    <t>% Debt</t>
  </si>
  <si>
    <t>% Equity</t>
  </si>
  <si>
    <t>Unlevered Beta</t>
  </si>
  <si>
    <t>Relevered Beta</t>
  </si>
  <si>
    <t>DFL=[1+(1-t)*(d/e)]</t>
  </si>
  <si>
    <t>Bottom up Beta</t>
  </si>
  <si>
    <t>Calculation of Capital Structure of Peer Group Companies</t>
  </si>
  <si>
    <t>Equity</t>
  </si>
  <si>
    <t>Shares O/S</t>
  </si>
  <si>
    <t>M.Cap</t>
  </si>
  <si>
    <t>CMP</t>
  </si>
  <si>
    <t>(marketscanner from 2027)</t>
  </si>
  <si>
    <t>Operating EV</t>
  </si>
  <si>
    <t>Ratios</t>
  </si>
  <si>
    <t>Gross Profit Ratio</t>
  </si>
  <si>
    <t>Gross profit/Revenue</t>
  </si>
  <si>
    <t>Operating Profit Ratio</t>
  </si>
  <si>
    <t>Operating profit/Revenue</t>
  </si>
  <si>
    <t>Net Profit Ratio</t>
  </si>
  <si>
    <t>Net Profit/ Revenue</t>
  </si>
  <si>
    <t>Tax /EBT</t>
  </si>
  <si>
    <t>Interest Coverage Ratio</t>
  </si>
  <si>
    <t>EBIT/Int</t>
  </si>
  <si>
    <t>SG&amp;A</t>
  </si>
  <si>
    <t>R&amp;D</t>
  </si>
  <si>
    <t>Dep. &amp; Amort.</t>
  </si>
  <si>
    <t>Unusual Expenses</t>
  </si>
  <si>
    <t>Other</t>
  </si>
  <si>
    <t>Extraordinary Items</t>
  </si>
  <si>
    <t>Balance Sheet</t>
  </si>
  <si>
    <t>Quick Ratio</t>
  </si>
  <si>
    <t>Quick Assets/ CL</t>
  </si>
  <si>
    <t>Current Ratio</t>
  </si>
  <si>
    <t>CA/CL</t>
  </si>
  <si>
    <t>Days in Period</t>
  </si>
  <si>
    <t>Efficiency</t>
  </si>
  <si>
    <t>Inventory Turnover Ratio</t>
  </si>
  <si>
    <t>cogs/ Avg.inventory</t>
  </si>
  <si>
    <t>Inventory Days</t>
  </si>
  <si>
    <t>365/Inventory turnover ratio</t>
  </si>
  <si>
    <t>Accounts Receivable Ratio</t>
  </si>
  <si>
    <t>sales/Avg. receivables</t>
  </si>
  <si>
    <t>Accounts Receivable Days</t>
  </si>
  <si>
    <t>365/Accounts receivable ratio</t>
  </si>
  <si>
    <t>Accounts Payable Ratio</t>
  </si>
  <si>
    <t>cogs/Avg. payables</t>
  </si>
  <si>
    <t>Accounts Payable Days</t>
  </si>
  <si>
    <t>365/payable ratio</t>
  </si>
  <si>
    <t>PP&amp;E Turnover Ratio</t>
  </si>
  <si>
    <t>Sales/Avg. PP&amp;E</t>
  </si>
  <si>
    <t>Working Capital Turnover</t>
  </si>
  <si>
    <t>Sales/Working capital</t>
  </si>
  <si>
    <t>Total Asset Turnover Ratio</t>
  </si>
  <si>
    <t>Sales/Avg. Total Assets</t>
  </si>
  <si>
    <t>Cash Conversion Cycle</t>
  </si>
  <si>
    <t>Inventory days+ receivable days-payable days</t>
  </si>
  <si>
    <t>Operating Cash Cycle</t>
  </si>
  <si>
    <t>cash concersion cycle/inventory turnover</t>
  </si>
  <si>
    <t>Leverage &amp; Solvency</t>
  </si>
  <si>
    <t>Debt to Equity</t>
  </si>
  <si>
    <t>Debt/Equity</t>
  </si>
  <si>
    <t>Debt to Capital</t>
  </si>
  <si>
    <t>Debt/(Equity+Debt)</t>
  </si>
  <si>
    <t>Financial Leverage</t>
  </si>
  <si>
    <t>Assets/Equity</t>
  </si>
  <si>
    <t>Debt Service Coverage Ratio</t>
  </si>
  <si>
    <t>(EBIT+Depreciation)/(Int.+Long term debt)</t>
  </si>
  <si>
    <t>Rates of Return</t>
  </si>
  <si>
    <t>Return on Equity</t>
  </si>
  <si>
    <t>Net profit/Avg. Equity</t>
  </si>
  <si>
    <t>Return on Assets</t>
  </si>
  <si>
    <t>Net Profit/Avg. Assets</t>
  </si>
  <si>
    <t>Return on capital employed (ROCE)</t>
  </si>
  <si>
    <t>EBIT/(Equity+Debt)</t>
  </si>
  <si>
    <t>Return on Invested Capital (ROIC)</t>
  </si>
  <si>
    <t>EBIT(1-t)/(Equity+Debt-cash)</t>
  </si>
  <si>
    <t>DUPONT ANALYSIS</t>
  </si>
  <si>
    <t>Net profit</t>
  </si>
  <si>
    <t>Average Shareholders Equity</t>
  </si>
  <si>
    <t>Return on equity</t>
  </si>
  <si>
    <t>ROE-Dupont Equation</t>
  </si>
  <si>
    <t>Net Profit</t>
  </si>
  <si>
    <t>Net Profit Margins (A)</t>
  </si>
  <si>
    <t>Average Total Asset</t>
  </si>
  <si>
    <t>Asset Turnover Ratio (B)</t>
  </si>
  <si>
    <t>Average Shareholder Equity</t>
  </si>
  <si>
    <t>Equity Multiplier (C)</t>
  </si>
  <si>
    <t>Return on Equity (A*B*C)</t>
  </si>
  <si>
    <t>Avg. Total Assets</t>
  </si>
  <si>
    <t>ROA-Dupont Equation</t>
  </si>
  <si>
    <t>Return on Asset (A*B)</t>
  </si>
  <si>
    <t>LTGR</t>
  </si>
  <si>
    <t>Exit Multiple</t>
  </si>
  <si>
    <t>Year 2020</t>
  </si>
  <si>
    <t>Year 2021</t>
  </si>
  <si>
    <t>Year 2022</t>
  </si>
  <si>
    <t>Year 2023</t>
  </si>
  <si>
    <t>Average Total Assets   = (Beginning Total Assets + Ending Total Assets) / 2</t>
  </si>
  <si>
    <t xml:space="preserve">Net Profit             = Total Revenue - Total Expenses                    </t>
  </si>
  <si>
    <t xml:space="preserve">Average Shareholders' Equity= (Beginning Equity + Ending Equity) / 2       </t>
  </si>
  <si>
    <t xml:space="preserve">Return on Assets (ROA) = Net Profit / Average Total Assets                 </t>
  </si>
  <si>
    <t xml:space="preserve">Return on Equity (ROE)  = Net Profit / Average Shareholders' Equity         </t>
  </si>
  <si>
    <t xml:space="preserve">Net Profit Margin (A)  = Net Profit / Revenue                             </t>
  </si>
  <si>
    <t xml:space="preserve">Asset Turnover (B)     = Revenue / Average Total Assets                   </t>
  </si>
  <si>
    <t>Equity Multiplier (C)   = Average Total Assets / Average Shareholders' Equity</t>
  </si>
  <si>
    <t xml:space="preserve">ROE (DuPont)       = Net Profit Margin * Asset Turnover * Equity Multiplier </t>
  </si>
  <si>
    <t xml:space="preserve">ROA (DuPont)       = Net Profit Margin * Asset Turnover    </t>
  </si>
  <si>
    <t>FORMULA</t>
  </si>
  <si>
    <t>  </t>
  </si>
  <si>
    <t>AA-</t>
  </si>
  <si>
    <t>Alpha spread/guru focus</t>
  </si>
  <si>
    <t>INVESTING.COM</t>
  </si>
  <si>
    <t xml:space="preserve">             Equity</t>
  </si>
  <si>
    <t>Income before Tax (PAT)</t>
  </si>
  <si>
    <t>IS</t>
  </si>
  <si>
    <t>CFS</t>
  </si>
  <si>
    <t>(+)Non Cash Expenses (dep+amort )</t>
  </si>
  <si>
    <t>10k sec filling</t>
  </si>
  <si>
    <t>marketscrnner</t>
  </si>
  <si>
    <t>10k</t>
  </si>
  <si>
    <t>REVENUE</t>
  </si>
  <si>
    <t>YEAR</t>
  </si>
  <si>
    <t xml:space="preserve">AMOUNT </t>
  </si>
  <si>
    <t>Year 2024</t>
  </si>
  <si>
    <t>Year 2025</t>
  </si>
  <si>
    <t>Year 2026</t>
  </si>
  <si>
    <t>Year 2027</t>
  </si>
  <si>
    <t>Year 2028</t>
  </si>
  <si>
    <t xml:space="preserve">      O/S shares=</t>
  </si>
  <si>
    <t>Projections</t>
  </si>
  <si>
    <t>scheduel</t>
  </si>
  <si>
    <t>INVENTORY SCHEDULE</t>
  </si>
  <si>
    <t>-7% BECAUSE OF MANAGEMENT COMMENTRY</t>
  </si>
  <si>
    <t xml:space="preserve">   Total Depreciation and Amortisation</t>
  </si>
  <si>
    <t xml:space="preserve">VALUATION DATE </t>
  </si>
  <si>
    <t xml:space="preserve">PROJECTION DATE </t>
  </si>
  <si>
    <t>SKECHERS</t>
  </si>
  <si>
    <t>DECKERS</t>
  </si>
  <si>
    <t>CROCS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</si>
</sst>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₹&quot;\ #,##0;[Red]&quot;₹&quot;\ \-#,##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 &quot;#,##0_);_(&quot;$ &quot;\(#,##0\)"/>
    <numFmt numFmtId="165" formatCode="_(* #,##0_);_(* \(#,##0\);_(* &quot;-&quot;??_);_(@_)"/>
    <numFmt numFmtId="166" formatCode="0&quot; Months&quot;"/>
    <numFmt numFmtId="167" formatCode="_ * #,##0_ ;_ * \-#,##0_ ;_ * &quot;-&quot;??_ ;_ @_ "/>
    <numFmt numFmtId="168" formatCode="0.0%"/>
    <numFmt numFmtId="169" formatCode="#,##0;\(#,##0\);&quot;-&quot;"/>
    <numFmt numFmtId="170" formatCode="0.0"/>
    <numFmt numFmtId="171" formatCode="[$-14009]dd/mm/yyyy;@"/>
    <numFmt numFmtId="172" formatCode="_-[$$-409]* #,##0.00_ ;_-[$$-409]* \-#,##0.00\ ;_-[$$-409]* &quot;-&quot;??_ ;_-@_ "/>
    <numFmt numFmtId="173" formatCode="_-* #,##0_-;\-* #,##0_-;_-* &quot;-&quot;??_-;_-@_-"/>
    <numFmt numFmtId="174" formatCode="_ * #,##0.0000_ ;_ * \-#,##0.0000_ ;_ * &quot;-&quot;??_ ;_ @_ "/>
    <numFmt numFmtId="175" formatCode="0.0000000"/>
    <numFmt numFmtId="176" formatCode="_(* #,##0.0_);_(* \(#,##0.0\);_(* &quot;-&quot;??_);_(@_)"/>
    <numFmt numFmtId="177" formatCode="#,##0.0"/>
    <numFmt numFmtId="178" formatCode="0.00&quot;x&quot;"/>
    <numFmt numFmtId="179" formatCode="0.0&quot;x&quot;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</font>
    <font>
      <sz val="11"/>
      <color rgb="FF7030A0"/>
      <name val="Calibri"/>
      <family val="2"/>
      <scheme val="minor"/>
    </font>
    <font>
      <sz val="10"/>
      <name val="Arial"/>
      <family val="2"/>
    </font>
    <font>
      <i/>
      <sz val="10"/>
      <color rgb="FF7030A0"/>
      <name val="Calibri"/>
      <family val="2"/>
    </font>
    <font>
      <b/>
      <sz val="10"/>
      <color rgb="FF7030A0"/>
      <name val="Calibri"/>
      <family val="2"/>
    </font>
    <font>
      <i/>
      <sz val="11"/>
      <color rgb="FF7030A0"/>
      <name val="Calibri"/>
      <family val="2"/>
      <scheme val="minor"/>
    </font>
    <font>
      <i/>
      <sz val="11"/>
      <color rgb="FF7030A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rgb="FF7030A0"/>
      <name val="Calibri"/>
      <family val="2"/>
    </font>
    <font>
      <sz val="11"/>
      <color rgb="FF000000"/>
      <name val="Calibri"/>
      <family val="2"/>
    </font>
    <font>
      <i/>
      <sz val="11"/>
      <color rgb="FF993366"/>
      <name val="Calibri"/>
      <family val="2"/>
    </font>
    <font>
      <b/>
      <i/>
      <sz val="11"/>
      <color theme="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Calibri"/>
      <family val="2"/>
    </font>
    <font>
      <i/>
      <sz val="6"/>
      <color rgb="FF5C5C5C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36"/>
      <color theme="1"/>
      <name val="Arial Black"/>
      <family val="2"/>
    </font>
    <font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z val="36"/>
      <color theme="0"/>
      <name val="Arial Black"/>
      <family val="2"/>
    </font>
    <font>
      <b/>
      <sz val="36"/>
      <color theme="0"/>
      <name val="Bell MT"/>
      <family val="1"/>
    </font>
    <font>
      <b/>
      <sz val="36"/>
      <color theme="0"/>
      <name val="Bodoni MT"/>
      <family val="1"/>
    </font>
    <font>
      <b/>
      <sz val="36"/>
      <color theme="0"/>
      <name val="Book Antiqua"/>
      <family val="1"/>
    </font>
    <font>
      <b/>
      <sz val="36"/>
      <color theme="0"/>
      <name val="Arial Black"/>
      <family val="2"/>
    </font>
    <font>
      <b/>
      <sz val="36"/>
      <color theme="0"/>
      <name val="Engravers MT"/>
      <family val="1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32526"/>
      <name val="Segoe UI"/>
      <family val="2"/>
    </font>
    <font>
      <sz val="11"/>
      <color theme="1"/>
      <name val="Segoe UI"/>
      <family val="2"/>
    </font>
    <font>
      <sz val="8"/>
      <color rgb="FFD91400"/>
      <name val="Segoe UI"/>
      <family val="2"/>
    </font>
    <font>
      <sz val="6"/>
      <color rgb="FF000000"/>
      <name val="Arial"/>
      <family val="2"/>
    </font>
    <font>
      <sz val="12"/>
      <color theme="1"/>
      <name val="Arial Narrow"/>
      <family val="2"/>
    </font>
    <font>
      <b/>
      <sz val="12"/>
      <color rgb="FFFFFFFF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sz val="10"/>
      <color theme="1"/>
      <name val="Arial Narrow"/>
      <family val="2"/>
    </font>
    <font>
      <sz val="12"/>
      <color theme="4" tint="-0.249977111117893"/>
      <name val="Arial Narrow"/>
      <family val="2"/>
    </font>
    <font>
      <sz val="11"/>
      <color theme="1"/>
      <name val="Calibri"/>
    </font>
    <font>
      <b/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sz val="10"/>
      <color theme="1"/>
      <name val="Times New Roman"/>
      <family val="1"/>
    </font>
    <font>
      <b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i/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rgb="FF1F38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theme="1"/>
      </patternFill>
    </fill>
    <fill>
      <patternFill patternType="solid">
        <fgColor rgb="FFC00000"/>
        <bgColor rgb="FF1F38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rgb="FF1F38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theme="1"/>
      </patternFill>
    </fill>
    <fill>
      <patternFill patternType="solid">
        <fgColor theme="7" tint="-0.249977111117893"/>
        <bgColor theme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1F38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FEFEF"/>
      </left>
      <right style="medium">
        <color rgb="FFEFEFE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8" applyNumberFormat="0" applyFill="0" applyAlignment="0" applyProtection="0"/>
    <xf numFmtId="0" fontId="15" fillId="0" borderId="0"/>
  </cellStyleXfs>
  <cellXfs count="51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5" fillId="3" borderId="0" xfId="0" applyFont="1" applyFill="1"/>
    <xf numFmtId="9" fontId="0" fillId="0" borderId="0" xfId="2" applyFont="1"/>
    <xf numFmtId="43" fontId="0" fillId="0" borderId="0" xfId="1" applyFont="1"/>
    <xf numFmtId="167" fontId="0" fillId="0" borderId="0" xfId="1" applyNumberFormat="1" applyFont="1"/>
    <xf numFmtId="0" fontId="8" fillId="0" borderId="0" xfId="0" applyFont="1"/>
    <xf numFmtId="9" fontId="8" fillId="0" borderId="0" xfId="2" applyFont="1"/>
    <xf numFmtId="0" fontId="9" fillId="0" borderId="0" xfId="0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0" fontId="10" fillId="0" borderId="0" xfId="0" applyFont="1"/>
    <xf numFmtId="167" fontId="0" fillId="0" borderId="0" xfId="1" applyNumberFormat="1" applyFont="1" applyFill="1"/>
    <xf numFmtId="168" fontId="0" fillId="0" borderId="0" xfId="2" applyNumberFormat="1" applyFont="1"/>
    <xf numFmtId="168" fontId="0" fillId="0" borderId="0" xfId="2" applyNumberFormat="1" applyFont="1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37" fontId="0" fillId="0" borderId="0" xfId="0" applyNumberFormat="1"/>
    <xf numFmtId="168" fontId="0" fillId="0" borderId="0" xfId="2" applyNumberFormat="1" applyFont="1" applyBorder="1"/>
    <xf numFmtId="167" fontId="2" fillId="0" borderId="0" xfId="1" applyNumberFormat="1" applyFont="1"/>
    <xf numFmtId="37" fontId="0" fillId="0" borderId="2" xfId="0" applyNumberFormat="1" applyBorder="1"/>
    <xf numFmtId="0" fontId="13" fillId="0" borderId="0" xfId="0" applyFont="1"/>
    <xf numFmtId="0" fontId="20" fillId="0" borderId="0" xfId="0" applyFont="1"/>
    <xf numFmtId="9" fontId="20" fillId="0" borderId="0" xfId="2" applyFont="1"/>
    <xf numFmtId="167" fontId="0" fillId="0" borderId="0" xfId="1" applyNumberFormat="1" applyFont="1" applyFill="1" applyBorder="1"/>
    <xf numFmtId="168" fontId="0" fillId="0" borderId="0" xfId="2" applyNumberFormat="1" applyFont="1" applyFill="1" applyBorder="1"/>
    <xf numFmtId="0" fontId="7" fillId="2" borderId="0" xfId="0" applyFont="1" applyFill="1" applyAlignment="1">
      <alignment vertical="top"/>
    </xf>
    <xf numFmtId="0" fontId="22" fillId="0" borderId="0" xfId="0" applyFont="1"/>
    <xf numFmtId="0" fontId="23" fillId="0" borderId="0" xfId="0" applyFont="1" applyAlignment="1">
      <alignment vertical="top"/>
    </xf>
    <xf numFmtId="166" fontId="7" fillId="2" borderId="0" xfId="0" applyNumberFormat="1" applyFont="1" applyFill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0" fontId="7" fillId="2" borderId="0" xfId="0" applyFont="1" applyFill="1" applyAlignment="1">
      <alignment vertical="top" wrapText="1"/>
    </xf>
    <xf numFmtId="15" fontId="7" fillId="2" borderId="0" xfId="0" applyNumberFormat="1" applyFont="1" applyFill="1" applyAlignment="1">
      <alignment horizontal="center" vertical="top" wrapText="1"/>
    </xf>
    <xf numFmtId="15" fontId="7" fillId="0" borderId="0" xfId="0" applyNumberFormat="1" applyFont="1" applyAlignment="1">
      <alignment horizontal="center" vertical="top" wrapText="1"/>
    </xf>
    <xf numFmtId="0" fontId="21" fillId="0" borderId="0" xfId="0" applyFont="1"/>
    <xf numFmtId="0" fontId="25" fillId="0" borderId="0" xfId="0" applyFont="1" applyAlignment="1">
      <alignment horizontal="left" vertical="top"/>
    </xf>
    <xf numFmtId="167" fontId="0" fillId="0" borderId="0" xfId="0" applyNumberFormat="1"/>
    <xf numFmtId="169" fontId="26" fillId="0" borderId="0" xfId="0" applyNumberFormat="1" applyFont="1" applyAlignment="1">
      <alignment horizontal="center" vertical="top" wrapText="1"/>
    </xf>
    <xf numFmtId="15" fontId="0" fillId="0" borderId="0" xfId="0" applyNumberFormat="1"/>
    <xf numFmtId="0" fontId="27" fillId="2" borderId="0" xfId="0" applyFont="1" applyFill="1" applyAlignment="1">
      <alignment horizontal="left" vertical="top"/>
    </xf>
    <xf numFmtId="165" fontId="25" fillId="0" borderId="0" xfId="0" applyNumberFormat="1" applyFont="1" applyAlignment="1">
      <alignment horizontal="left" vertical="top"/>
    </xf>
    <xf numFmtId="165" fontId="28" fillId="0" borderId="0" xfId="0" applyNumberFormat="1" applyFont="1" applyAlignment="1">
      <alignment horizontal="left" vertical="top" wrapText="1"/>
    </xf>
    <xf numFmtId="165" fontId="28" fillId="0" borderId="0" xfId="0" applyNumberFormat="1" applyFont="1" applyAlignment="1">
      <alignment horizontal="left" vertical="top"/>
    </xf>
    <xf numFmtId="165" fontId="29" fillId="0" borderId="0" xfId="0" applyNumberFormat="1" applyFont="1" applyAlignment="1">
      <alignment horizontal="left" vertical="top"/>
    </xf>
    <xf numFmtId="165" fontId="25" fillId="0" borderId="0" xfId="0" applyNumberFormat="1" applyFont="1" applyAlignment="1">
      <alignment horizontal="right" vertical="top" wrapText="1"/>
    </xf>
    <xf numFmtId="165" fontId="30" fillId="0" borderId="0" xfId="0" applyNumberFormat="1" applyFont="1" applyAlignment="1">
      <alignment horizontal="left" vertical="top" wrapText="1"/>
    </xf>
    <xf numFmtId="169" fontId="26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horizontal="center" vertical="top"/>
    </xf>
    <xf numFmtId="0" fontId="26" fillId="0" borderId="0" xfId="0" applyFont="1" applyAlignment="1">
      <alignment vertical="top"/>
    </xf>
    <xf numFmtId="0" fontId="33" fillId="0" borderId="0" xfId="0" applyFont="1"/>
    <xf numFmtId="0" fontId="2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0" fontId="0" fillId="0" borderId="0" xfId="0" applyNumberFormat="1"/>
    <xf numFmtId="0" fontId="17" fillId="0" borderId="0" xfId="0" applyFont="1"/>
    <xf numFmtId="0" fontId="7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1" fontId="0" fillId="0" borderId="0" xfId="0" applyNumberFormat="1"/>
    <xf numFmtId="168" fontId="0" fillId="0" borderId="0" xfId="0" applyNumberFormat="1"/>
    <xf numFmtId="165" fontId="30" fillId="0" borderId="0" xfId="0" applyNumberFormat="1" applyFont="1" applyAlignment="1">
      <alignment horizontal="left" vertical="top"/>
    </xf>
    <xf numFmtId="165" fontId="28" fillId="0" borderId="0" xfId="0" applyNumberFormat="1" applyFont="1" applyAlignment="1">
      <alignment horizontal="left" vertical="top" wrapText="1" indent="1"/>
    </xf>
    <xf numFmtId="0" fontId="0" fillId="0" borderId="0" xfId="0" applyAlignment="1">
      <alignment horizontal="left" indent="1"/>
    </xf>
    <xf numFmtId="165" fontId="25" fillId="0" borderId="0" xfId="0" applyNumberFormat="1" applyFont="1" applyAlignment="1">
      <alignment horizontal="left" vertical="top" indent="1"/>
    </xf>
    <xf numFmtId="165" fontId="25" fillId="0" borderId="0" xfId="0" applyNumberFormat="1" applyFont="1" applyAlignment="1">
      <alignment horizontal="left" vertical="top" wrapText="1" indent="1"/>
    </xf>
    <xf numFmtId="165" fontId="29" fillId="0" borderId="0" xfId="0" applyNumberFormat="1" applyFont="1" applyAlignment="1">
      <alignment horizontal="left" vertical="top" wrapText="1"/>
    </xf>
    <xf numFmtId="3" fontId="0" fillId="0" borderId="0" xfId="0" applyNumberFormat="1"/>
    <xf numFmtId="0" fontId="1" fillId="0" borderId="0" xfId="2" applyNumberFormat="1" applyFont="1"/>
    <xf numFmtId="1" fontId="1" fillId="0" borderId="0" xfId="2" applyNumberFormat="1" applyFont="1"/>
    <xf numFmtId="1" fontId="2" fillId="0" borderId="0" xfId="2" applyNumberFormat="1" applyFont="1"/>
    <xf numFmtId="9" fontId="1" fillId="0" borderId="0" xfId="2" applyFont="1"/>
    <xf numFmtId="10" fontId="1" fillId="0" borderId="0" xfId="2" applyNumberFormat="1" applyFont="1"/>
    <xf numFmtId="0" fontId="3" fillId="0" borderId="0" xfId="0" applyFont="1" applyAlignment="1">
      <alignment horizontal="left" vertical="top"/>
    </xf>
    <xf numFmtId="10" fontId="0" fillId="0" borderId="0" xfId="2" applyNumberFormat="1" applyFont="1"/>
    <xf numFmtId="0" fontId="2" fillId="0" borderId="6" xfId="0" applyFont="1" applyBorder="1"/>
    <xf numFmtId="1" fontId="2" fillId="0" borderId="6" xfId="0" applyNumberFormat="1" applyFont="1" applyBorder="1"/>
    <xf numFmtId="1" fontId="2" fillId="0" borderId="6" xfId="2" applyNumberFormat="1" applyFont="1" applyBorder="1"/>
    <xf numFmtId="167" fontId="2" fillId="0" borderId="6" xfId="1" applyNumberFormat="1" applyFont="1" applyBorder="1"/>
    <xf numFmtId="0" fontId="8" fillId="0" borderId="0" xfId="0" applyFont="1" applyAlignment="1">
      <alignment horizontal="left"/>
    </xf>
    <xf numFmtId="0" fontId="0" fillId="0" borderId="0" xfId="0" applyAlignment="1">
      <alignment horizontal="left" indent="2"/>
    </xf>
    <xf numFmtId="15" fontId="7" fillId="4" borderId="0" xfId="0" applyNumberFormat="1" applyFont="1" applyFill="1" applyAlignment="1">
      <alignment horizontal="center" vertical="top" wrapText="1"/>
    </xf>
    <xf numFmtId="170" fontId="0" fillId="0" borderId="0" xfId="0" applyNumberFormat="1"/>
    <xf numFmtId="1" fontId="38" fillId="0" borderId="6" xfId="2" applyNumberFormat="1" applyFont="1" applyBorder="1"/>
    <xf numFmtId="167" fontId="38" fillId="0" borderId="6" xfId="1" applyNumberFormat="1" applyFont="1" applyBorder="1"/>
    <xf numFmtId="0" fontId="39" fillId="0" borderId="0" xfId="0" applyFont="1"/>
    <xf numFmtId="3" fontId="11" fillId="0" borderId="0" xfId="0" applyNumberFormat="1" applyFont="1"/>
    <xf numFmtId="10" fontId="11" fillId="5" borderId="0" xfId="2" applyNumberFormat="1" applyFont="1" applyFill="1"/>
    <xf numFmtId="10" fontId="11" fillId="0" borderId="0" xfId="2" applyNumberFormat="1" applyFont="1"/>
    <xf numFmtId="0" fontId="11" fillId="0" borderId="0" xfId="2" applyNumberFormat="1" applyFont="1"/>
    <xf numFmtId="9" fontId="11" fillId="5" borderId="0" xfId="2" applyFont="1" applyFill="1"/>
    <xf numFmtId="9" fontId="11" fillId="0" borderId="0" xfId="2" applyFont="1"/>
    <xf numFmtId="167" fontId="11" fillId="0" borderId="0" xfId="1" applyNumberFormat="1" applyFont="1"/>
    <xf numFmtId="1" fontId="12" fillId="0" borderId="0" xfId="2" applyNumberFormat="1" applyFont="1"/>
    <xf numFmtId="1" fontId="11" fillId="0" borderId="0" xfId="2" applyNumberFormat="1" applyFont="1"/>
    <xf numFmtId="166" fontId="7" fillId="6" borderId="0" xfId="0" applyNumberFormat="1" applyFont="1" applyFill="1" applyAlignment="1">
      <alignment horizontal="center" vertical="top"/>
    </xf>
    <xf numFmtId="166" fontId="7" fillId="7" borderId="0" xfId="0" applyNumberFormat="1" applyFont="1" applyFill="1" applyAlignment="1">
      <alignment horizontal="center" vertical="top"/>
    </xf>
    <xf numFmtId="15" fontId="7" fillId="7" borderId="0" xfId="0" applyNumberFormat="1" applyFont="1" applyFill="1" applyAlignment="1">
      <alignment horizontal="center" vertical="top" wrapText="1"/>
    </xf>
    <xf numFmtId="1" fontId="11" fillId="0" borderId="0" xfId="0" applyNumberFormat="1" applyFont="1"/>
    <xf numFmtId="1" fontId="12" fillId="0" borderId="0" xfId="0" applyNumberFormat="1" applyFont="1"/>
    <xf numFmtId="2" fontId="11" fillId="0" borderId="0" xfId="0" applyNumberFormat="1" applyFont="1"/>
    <xf numFmtId="0" fontId="36" fillId="0" borderId="6" xfId="0" applyFont="1" applyBorder="1" applyAlignment="1">
      <alignment horizontal="left" vertical="top" wrapText="1" indent="1"/>
    </xf>
    <xf numFmtId="0" fontId="0" fillId="0" borderId="9" xfId="0" applyBorder="1"/>
    <xf numFmtId="10" fontId="11" fillId="0" borderId="0" xfId="0" applyNumberFormat="1" applyFont="1"/>
    <xf numFmtId="10" fontId="11" fillId="0" borderId="10" xfId="0" applyNumberFormat="1" applyFont="1" applyBorder="1"/>
    <xf numFmtId="0" fontId="0" fillId="0" borderId="11" xfId="0" applyBorder="1"/>
    <xf numFmtId="10" fontId="11" fillId="0" borderId="12" xfId="0" applyNumberFormat="1" applyFont="1" applyBorder="1"/>
    <xf numFmtId="10" fontId="11" fillId="0" borderId="13" xfId="0" applyNumberFormat="1" applyFont="1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10" fontId="37" fillId="5" borderId="16" xfId="0" applyNumberFormat="1" applyFont="1" applyFill="1" applyBorder="1" applyAlignment="1">
      <alignment horizontal="right" vertical="center"/>
    </xf>
    <xf numFmtId="9" fontId="37" fillId="5" borderId="16" xfId="0" applyNumberFormat="1" applyFont="1" applyFill="1" applyBorder="1" applyAlignment="1">
      <alignment horizontal="right" vertical="center"/>
    </xf>
    <xf numFmtId="0" fontId="0" fillId="9" borderId="0" xfId="0" applyFill="1"/>
    <xf numFmtId="15" fontId="7" fillId="10" borderId="0" xfId="0" applyNumberFormat="1" applyFont="1" applyFill="1" applyAlignment="1">
      <alignment horizontal="center" vertical="top" wrapText="1"/>
    </xf>
    <xf numFmtId="0" fontId="2" fillId="0" borderId="14" xfId="0" applyFont="1" applyBorder="1"/>
    <xf numFmtId="0" fontId="2" fillId="0" borderId="15" xfId="0" applyFont="1" applyBorder="1"/>
    <xf numFmtId="2" fontId="0" fillId="0" borderId="6" xfId="0" applyNumberFormat="1" applyBorder="1"/>
    <xf numFmtId="2" fontId="0" fillId="0" borderId="15" xfId="0" applyNumberFormat="1" applyBorder="1"/>
    <xf numFmtId="0" fontId="6" fillId="2" borderId="7" xfId="0" applyFont="1" applyFill="1" applyBorder="1" applyAlignment="1">
      <alignment vertical="top"/>
    </xf>
    <xf numFmtId="166" fontId="6" fillId="10" borderId="2" xfId="0" applyNumberFormat="1" applyFont="1" applyFill="1" applyBorder="1" applyAlignment="1">
      <alignment horizontal="center" vertical="top"/>
    </xf>
    <xf numFmtId="166" fontId="6" fillId="10" borderId="8" xfId="0" applyNumberFormat="1" applyFont="1" applyFill="1" applyBorder="1" applyAlignment="1">
      <alignment horizontal="center" vertical="top"/>
    </xf>
    <xf numFmtId="0" fontId="6" fillId="2" borderId="9" xfId="0" applyFont="1" applyFill="1" applyBorder="1" applyAlignment="1">
      <alignment vertical="top" wrapText="1"/>
    </xf>
    <xf numFmtId="15" fontId="7" fillId="10" borderId="10" xfId="0" applyNumberFormat="1" applyFont="1" applyFill="1" applyBorder="1" applyAlignment="1">
      <alignment horizontal="center" vertical="top" wrapText="1"/>
    </xf>
    <xf numFmtId="0" fontId="2" fillId="0" borderId="9" xfId="0" applyFont="1" applyBorder="1"/>
    <xf numFmtId="0" fontId="2" fillId="0" borderId="10" xfId="0" applyFont="1" applyBorder="1"/>
    <xf numFmtId="0" fontId="0" fillId="0" borderId="10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7" fillId="2" borderId="7" xfId="0" applyFont="1" applyFill="1" applyBorder="1" applyAlignment="1">
      <alignment vertical="top"/>
    </xf>
    <xf numFmtId="166" fontId="7" fillId="2" borderId="2" xfId="0" applyNumberFormat="1" applyFont="1" applyFill="1" applyBorder="1" applyAlignment="1">
      <alignment horizontal="center" vertical="top"/>
    </xf>
    <xf numFmtId="166" fontId="7" fillId="4" borderId="2" xfId="0" applyNumberFormat="1" applyFont="1" applyFill="1" applyBorder="1" applyAlignment="1">
      <alignment horizontal="center" vertical="top"/>
    </xf>
    <xf numFmtId="0" fontId="7" fillId="2" borderId="9" xfId="0" applyFont="1" applyFill="1" applyBorder="1" applyAlignment="1">
      <alignment vertical="top" wrapText="1"/>
    </xf>
    <xf numFmtId="167" fontId="0" fillId="0" borderId="0" xfId="1" applyNumberFormat="1" applyFont="1" applyBorder="1"/>
    <xf numFmtId="167" fontId="0" fillId="0" borderId="10" xfId="1" applyNumberFormat="1" applyFont="1" applyBorder="1"/>
    <xf numFmtId="0" fontId="22" fillId="0" borderId="9" xfId="0" applyFont="1" applyBorder="1"/>
    <xf numFmtId="0" fontId="21" fillId="0" borderId="9" xfId="0" applyFont="1" applyBorder="1"/>
    <xf numFmtId="0" fontId="24" fillId="0" borderId="9" xfId="0" applyFont="1" applyBorder="1"/>
    <xf numFmtId="43" fontId="0" fillId="0" borderId="0" xfId="1" applyFont="1" applyBorder="1"/>
    <xf numFmtId="43" fontId="0" fillId="0" borderId="10" xfId="1" applyFont="1" applyBorder="1"/>
    <xf numFmtId="10" fontId="0" fillId="0" borderId="0" xfId="2" applyNumberFormat="1" applyFont="1" applyBorder="1"/>
    <xf numFmtId="168" fontId="0" fillId="0" borderId="10" xfId="2" applyNumberFormat="1" applyFont="1" applyBorder="1"/>
    <xf numFmtId="0" fontId="25" fillId="0" borderId="11" xfId="0" applyFont="1" applyBorder="1" applyAlignment="1">
      <alignment horizontal="left" vertical="top"/>
    </xf>
    <xf numFmtId="167" fontId="0" fillId="0" borderId="12" xfId="1" applyNumberFormat="1" applyFont="1" applyBorder="1"/>
    <xf numFmtId="167" fontId="0" fillId="0" borderId="12" xfId="1" applyNumberFormat="1" applyFont="1" applyFill="1" applyBorder="1"/>
    <xf numFmtId="168" fontId="0" fillId="0" borderId="13" xfId="2" applyNumberFormat="1" applyFont="1" applyBorder="1"/>
    <xf numFmtId="0" fontId="22" fillId="0" borderId="14" xfId="0" applyFont="1" applyBorder="1"/>
    <xf numFmtId="167" fontId="0" fillId="0" borderId="6" xfId="1" applyNumberFormat="1" applyFont="1" applyFill="1" applyBorder="1"/>
    <xf numFmtId="167" fontId="0" fillId="0" borderId="6" xfId="1" applyNumberFormat="1" applyFont="1" applyBorder="1"/>
    <xf numFmtId="167" fontId="0" fillId="0" borderId="15" xfId="1" applyNumberFormat="1" applyFont="1" applyBorder="1"/>
    <xf numFmtId="0" fontId="33" fillId="0" borderId="14" xfId="0" applyFont="1" applyBorder="1"/>
    <xf numFmtId="167" fontId="2" fillId="0" borderId="6" xfId="1" applyNumberFormat="1" applyFont="1" applyFill="1" applyBorder="1"/>
    <xf numFmtId="167" fontId="2" fillId="0" borderId="15" xfId="1" applyNumberFormat="1" applyFont="1" applyBorder="1"/>
    <xf numFmtId="10" fontId="0" fillId="5" borderId="0" xfId="2" applyNumberFormat="1" applyFont="1" applyFill="1" applyBorder="1"/>
    <xf numFmtId="43" fontId="0" fillId="5" borderId="1" xfId="1" applyFont="1" applyFill="1" applyBorder="1"/>
    <xf numFmtId="167" fontId="0" fillId="0" borderId="10" xfId="0" applyNumberFormat="1" applyBorder="1"/>
    <xf numFmtId="0" fontId="33" fillId="0" borderId="11" xfId="0" applyFont="1" applyBorder="1"/>
    <xf numFmtId="37" fontId="2" fillId="0" borderId="12" xfId="0" applyNumberFormat="1" applyFont="1" applyBorder="1"/>
    <xf numFmtId="167" fontId="2" fillId="0" borderId="12" xfId="0" applyNumberFormat="1" applyFont="1" applyBorder="1"/>
    <xf numFmtId="167" fontId="2" fillId="0" borderId="13" xfId="0" applyNumberFormat="1" applyFont="1" applyBorder="1"/>
    <xf numFmtId="167" fontId="2" fillId="0" borderId="6" xfId="0" applyNumberFormat="1" applyFont="1" applyBorder="1"/>
    <xf numFmtId="167" fontId="2" fillId="0" borderId="15" xfId="0" applyNumberFormat="1" applyFont="1" applyBorder="1"/>
    <xf numFmtId="168" fontId="0" fillId="5" borderId="1" xfId="2" applyNumberFormat="1" applyFont="1" applyFill="1" applyBorder="1"/>
    <xf numFmtId="165" fontId="4" fillId="0" borderId="2" xfId="0" applyNumberFormat="1" applyFont="1" applyBorder="1"/>
    <xf numFmtId="165" fontId="4" fillId="0" borderId="0" xfId="0" applyNumberFormat="1" applyFont="1"/>
    <xf numFmtId="167" fontId="38" fillId="0" borderId="2" xfId="1" applyNumberFormat="1" applyFont="1" applyBorder="1"/>
    <xf numFmtId="167" fontId="38" fillId="0" borderId="3" xfId="1" applyNumberFormat="1" applyFont="1" applyBorder="1"/>
    <xf numFmtId="165" fontId="41" fillId="0" borderId="0" xfId="0" applyNumberFormat="1" applyFont="1"/>
    <xf numFmtId="167" fontId="11" fillId="0" borderId="0" xfId="1" applyNumberFormat="1" applyFont="1" applyFill="1"/>
    <xf numFmtId="166" fontId="7" fillId="10" borderId="0" xfId="0" applyNumberFormat="1" applyFont="1" applyFill="1" applyAlignment="1">
      <alignment horizontal="center" vertical="top"/>
    </xf>
    <xf numFmtId="0" fontId="22" fillId="9" borderId="0" xfId="0" applyFont="1" applyFill="1"/>
    <xf numFmtId="0" fontId="0" fillId="5" borderId="0" xfId="0" applyFill="1"/>
    <xf numFmtId="1" fontId="0" fillId="5" borderId="0" xfId="0" applyNumberFormat="1" applyFill="1"/>
    <xf numFmtId="170" fontId="0" fillId="0" borderId="1" xfId="0" applyNumberFormat="1" applyBorder="1"/>
    <xf numFmtId="1" fontId="0" fillId="0" borderId="1" xfId="0" applyNumberFormat="1" applyBorder="1"/>
    <xf numFmtId="0" fontId="40" fillId="0" borderId="0" xfId="0" applyFont="1" applyAlignment="1">
      <alignment horizontal="center"/>
    </xf>
    <xf numFmtId="0" fontId="40" fillId="0" borderId="0" xfId="0" applyFont="1"/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17" xfId="0" applyFont="1" applyFill="1" applyBorder="1"/>
    <xf numFmtId="2" fontId="2" fillId="11" borderId="1" xfId="0" applyNumberFormat="1" applyFont="1" applyFill="1" applyBorder="1"/>
    <xf numFmtId="0" fontId="2" fillId="11" borderId="1" xfId="0" applyFont="1" applyFill="1" applyBorder="1"/>
    <xf numFmtId="0" fontId="2" fillId="12" borderId="1" xfId="0" applyFont="1" applyFill="1" applyBorder="1" applyAlignment="1">
      <alignment horizontal="center"/>
    </xf>
    <xf numFmtId="14" fontId="2" fillId="8" borderId="1" xfId="0" applyNumberFormat="1" applyFont="1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171" fontId="0" fillId="15" borderId="0" xfId="0" applyNumberFormat="1" applyFill="1" applyAlignment="1">
      <alignment horizontal="left"/>
    </xf>
    <xf numFmtId="0" fontId="0" fillId="15" borderId="0" xfId="0" applyFill="1" applyAlignment="1">
      <alignment horizontal="left"/>
    </xf>
    <xf numFmtId="14" fontId="0" fillId="15" borderId="0" xfId="0" applyNumberFormat="1" applyFill="1" applyAlignment="1">
      <alignment horizontal="left"/>
    </xf>
    <xf numFmtId="171" fontId="2" fillId="8" borderId="1" xfId="0" applyNumberFormat="1" applyFont="1" applyFill="1" applyBorder="1" applyAlignment="1">
      <alignment horizontal="left"/>
    </xf>
    <xf numFmtId="4" fontId="0" fillId="15" borderId="0" xfId="0" applyNumberFormat="1" applyFill="1"/>
    <xf numFmtId="0" fontId="49" fillId="0" borderId="1" xfId="0" applyFont="1" applyBorder="1" applyAlignment="1">
      <alignment wrapText="1"/>
    </xf>
    <xf numFmtId="0" fontId="49" fillId="0" borderId="0" xfId="0" applyFont="1"/>
    <xf numFmtId="0" fontId="49" fillId="0" borderId="1" xfId="0" applyFont="1" applyBorder="1"/>
    <xf numFmtId="10" fontId="0" fillId="0" borderId="1" xfId="0" applyNumberFormat="1" applyBorder="1"/>
    <xf numFmtId="0" fontId="50" fillId="0" borderId="0" xfId="0" applyFont="1"/>
    <xf numFmtId="2" fontId="0" fillId="0" borderId="14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10" xfId="0" applyNumberFormat="1" applyBorder="1"/>
    <xf numFmtId="0" fontId="0" fillId="0" borderId="21" xfId="0" applyBorder="1"/>
    <xf numFmtId="0" fontId="2" fillId="0" borderId="1" xfId="0" applyFont="1" applyBorder="1"/>
    <xf numFmtId="0" fontId="51" fillId="0" borderId="0" xfId="0" applyFont="1"/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7" fillId="17" borderId="10" xfId="0" applyFont="1" applyFill="1" applyBorder="1" applyAlignment="1">
      <alignment horizontal="left" vertical="top"/>
    </xf>
    <xf numFmtId="0" fontId="7" fillId="17" borderId="0" xfId="0" applyFont="1" applyFill="1" applyAlignment="1">
      <alignment horizontal="left" vertical="top"/>
    </xf>
    <xf numFmtId="166" fontId="52" fillId="17" borderId="0" xfId="0" applyNumberFormat="1" applyFont="1" applyFill="1" applyAlignment="1">
      <alignment horizontal="right" vertical="top"/>
    </xf>
    <xf numFmtId="0" fontId="7" fillId="18" borderId="10" xfId="0" applyFont="1" applyFill="1" applyBorder="1" applyAlignment="1">
      <alignment horizontal="left" vertical="top"/>
    </xf>
    <xf numFmtId="0" fontId="7" fillId="18" borderId="0" xfId="0" applyFont="1" applyFill="1" applyAlignment="1">
      <alignment horizontal="left" vertical="top"/>
    </xf>
    <xf numFmtId="0" fontId="7" fillId="19" borderId="0" xfId="0" applyFont="1" applyFill="1" applyAlignment="1">
      <alignment horizontal="right" vertical="center"/>
    </xf>
    <xf numFmtId="0" fontId="53" fillId="0" borderId="0" xfId="0" applyFont="1"/>
    <xf numFmtId="9" fontId="0" fillId="0" borderId="0" xfId="0" applyNumberFormat="1"/>
    <xf numFmtId="4" fontId="53" fillId="0" borderId="0" xfId="0" applyNumberFormat="1" applyFont="1"/>
    <xf numFmtId="2" fontId="53" fillId="0" borderId="0" xfId="0" applyNumberFormat="1" applyFont="1"/>
    <xf numFmtId="0" fontId="2" fillId="0" borderId="23" xfId="0" applyFont="1" applyBorder="1"/>
    <xf numFmtId="1" fontId="0" fillId="0" borderId="21" xfId="0" applyNumberFormat="1" applyBorder="1"/>
    <xf numFmtId="0" fontId="2" fillId="20" borderId="1" xfId="0" applyFont="1" applyFill="1" applyBorder="1"/>
    <xf numFmtId="6" fontId="0" fillId="0" borderId="1" xfId="0" applyNumberFormat="1" applyBorder="1"/>
    <xf numFmtId="0" fontId="2" fillId="21" borderId="1" xfId="0" applyFont="1" applyFill="1" applyBorder="1"/>
    <xf numFmtId="0" fontId="2" fillId="5" borderId="17" xfId="4" applyFill="1" applyBorder="1"/>
    <xf numFmtId="6" fontId="2" fillId="5" borderId="2" xfId="0" applyNumberFormat="1" applyFont="1" applyFill="1" applyBorder="1"/>
    <xf numFmtId="0" fontId="0" fillId="5" borderId="2" xfId="0" applyFill="1" applyBorder="1"/>
    <xf numFmtId="0" fontId="2" fillId="5" borderId="8" xfId="0" applyFont="1" applyFill="1" applyBorder="1"/>
    <xf numFmtId="0" fontId="2" fillId="5" borderId="24" xfId="4" applyFill="1" applyBorder="1"/>
    <xf numFmtId="6" fontId="2" fillId="5" borderId="12" xfId="0" applyNumberFormat="1" applyFont="1" applyFill="1" applyBorder="1"/>
    <xf numFmtId="0" fontId="0" fillId="5" borderId="12" xfId="0" applyFill="1" applyBorder="1"/>
    <xf numFmtId="0" fontId="2" fillId="5" borderId="13" xfId="0" applyFont="1" applyFill="1" applyBorder="1"/>
    <xf numFmtId="0" fontId="2" fillId="22" borderId="19" xfId="4" applyFill="1" applyBorder="1"/>
    <xf numFmtId="2" fontId="0" fillId="0" borderId="0" xfId="0" applyNumberFormat="1"/>
    <xf numFmtId="0" fontId="0" fillId="22" borderId="19" xfId="0" applyFill="1" applyBorder="1"/>
    <xf numFmtId="0" fontId="2" fillId="22" borderId="20" xfId="0" applyFont="1" applyFill="1" applyBorder="1"/>
    <xf numFmtId="0" fontId="54" fillId="23" borderId="7" xfId="0" applyFont="1" applyFill="1" applyBorder="1"/>
    <xf numFmtId="0" fontId="42" fillId="23" borderId="2" xfId="0" applyFont="1" applyFill="1" applyBorder="1"/>
    <xf numFmtId="0" fontId="42" fillId="24" borderId="0" xfId="0" applyFont="1" applyFill="1"/>
    <xf numFmtId="0" fontId="2" fillId="25" borderId="9" xfId="0" applyFont="1" applyFill="1" applyBorder="1"/>
    <xf numFmtId="0" fontId="2" fillId="25" borderId="0" xfId="0" applyFont="1" applyFill="1"/>
    <xf numFmtId="0" fontId="2" fillId="25" borderId="0" xfId="0" applyFont="1" applyFill="1" applyAlignment="1">
      <alignment horizontal="right"/>
    </xf>
    <xf numFmtId="0" fontId="2" fillId="26" borderId="0" xfId="0" applyFont="1" applyFill="1"/>
    <xf numFmtId="2" fontId="2" fillId="0" borderId="1" xfId="0" applyNumberFormat="1" applyFont="1" applyBorder="1"/>
    <xf numFmtId="43" fontId="0" fillId="0" borderId="0" xfId="1" applyFont="1" applyFill="1"/>
    <xf numFmtId="173" fontId="0" fillId="0" borderId="0" xfId="1" applyNumberFormat="1" applyFont="1" applyFill="1" applyBorder="1"/>
    <xf numFmtId="10" fontId="0" fillId="0" borderId="0" xfId="2" applyNumberFormat="1" applyFont="1" applyFill="1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2" fillId="24" borderId="1" xfId="0" applyFont="1" applyFill="1" applyBorder="1" applyAlignment="1">
      <alignment vertical="top"/>
    </xf>
    <xf numFmtId="9" fontId="0" fillId="0" borderId="1" xfId="2" applyFont="1" applyBorder="1"/>
    <xf numFmtId="17" fontId="0" fillId="0" borderId="0" xfId="0" applyNumberFormat="1" applyAlignment="1">
      <alignment horizontal="left" vertical="top" indent="1"/>
    </xf>
    <xf numFmtId="0" fontId="2" fillId="27" borderId="1" xfId="0" applyFont="1" applyFill="1" applyBorder="1"/>
    <xf numFmtId="3" fontId="0" fillId="0" borderId="1" xfId="0" applyNumberFormat="1" applyBorder="1"/>
    <xf numFmtId="0" fontId="57" fillId="0" borderId="0" xfId="0" applyFont="1"/>
    <xf numFmtId="3" fontId="58" fillId="0" borderId="0" xfId="0" applyNumberFormat="1" applyFont="1"/>
    <xf numFmtId="0" fontId="2" fillId="22" borderId="19" xfId="0" applyFont="1" applyFill="1" applyBorder="1"/>
    <xf numFmtId="2" fontId="2" fillId="0" borderId="21" xfId="0" applyNumberFormat="1" applyFont="1" applyBorder="1"/>
    <xf numFmtId="0" fontId="2" fillId="0" borderId="21" xfId="0" applyFont="1" applyBorder="1"/>
    <xf numFmtId="2" fontId="2" fillId="0" borderId="22" xfId="0" applyNumberFormat="1" applyFont="1" applyBorder="1"/>
    <xf numFmtId="0" fontId="2" fillId="22" borderId="1" xfId="0" applyFont="1" applyFill="1" applyBorder="1"/>
    <xf numFmtId="172" fontId="2" fillId="0" borderId="6" xfId="0" applyNumberFormat="1" applyFont="1" applyBorder="1"/>
    <xf numFmtId="172" fontId="2" fillId="0" borderId="15" xfId="3" applyNumberFormat="1" applyFont="1" applyBorder="1"/>
    <xf numFmtId="9" fontId="8" fillId="0" borderId="0" xfId="2" quotePrefix="1" applyFont="1"/>
    <xf numFmtId="0" fontId="59" fillId="0" borderId="0" xfId="0" applyFont="1"/>
    <xf numFmtId="0" fontId="60" fillId="29" borderId="0" xfId="0" applyFont="1" applyFill="1" applyAlignment="1">
      <alignment horizontal="left" vertical="center" readingOrder="1"/>
    </xf>
    <xf numFmtId="0" fontId="60" fillId="29" borderId="0" xfId="0" applyFont="1" applyFill="1" applyAlignment="1">
      <alignment horizontal="left" vertical="center" wrapText="1" readingOrder="1"/>
    </xf>
    <xf numFmtId="0" fontId="60" fillId="29" borderId="0" xfId="0" applyFont="1" applyFill="1" applyAlignment="1">
      <alignment horizontal="right" vertical="center" wrapText="1" readingOrder="1"/>
    </xf>
    <xf numFmtId="0" fontId="61" fillId="0" borderId="0" xfId="0" applyFont="1"/>
    <xf numFmtId="168" fontId="59" fillId="0" borderId="0" xfId="2" applyNumberFormat="1" applyFont="1" applyBorder="1" applyAlignment="1">
      <alignment horizontal="right"/>
    </xf>
    <xf numFmtId="168" fontId="62" fillId="0" borderId="0" xfId="2" applyNumberFormat="1" applyFont="1" applyBorder="1" applyAlignment="1">
      <alignment horizontal="right"/>
    </xf>
    <xf numFmtId="0" fontId="63" fillId="0" borderId="0" xfId="0" applyFont="1"/>
    <xf numFmtId="168" fontId="59" fillId="0" borderId="0" xfId="0" applyNumberFormat="1" applyFont="1"/>
    <xf numFmtId="176" fontId="62" fillId="0" borderId="0" xfId="1" applyNumberFormat="1" applyFont="1" applyBorder="1" applyAlignment="1">
      <alignment horizontal="right"/>
    </xf>
    <xf numFmtId="176" fontId="62" fillId="0" borderId="0" xfId="1" applyNumberFormat="1" applyFont="1" applyFill="1" applyBorder="1" applyAlignment="1">
      <alignment horizontal="right"/>
    </xf>
    <xf numFmtId="10" fontId="59" fillId="0" borderId="0" xfId="2" applyNumberFormat="1" applyFont="1" applyFill="1" applyBorder="1"/>
    <xf numFmtId="168" fontId="59" fillId="0" borderId="0" xfId="2" applyNumberFormat="1" applyFont="1" applyFill="1" applyBorder="1" applyAlignment="1">
      <alignment horizontal="right"/>
    </xf>
    <xf numFmtId="4" fontId="62" fillId="0" borderId="0" xfId="0" applyNumberFormat="1" applyFont="1" applyAlignment="1">
      <alignment horizontal="right" vertical="center" readingOrder="1"/>
    </xf>
    <xf numFmtId="177" fontId="62" fillId="0" borderId="0" xfId="0" applyNumberFormat="1" applyFont="1" applyAlignment="1">
      <alignment horizontal="right" vertical="center" readingOrder="1"/>
    </xf>
    <xf numFmtId="0" fontId="64" fillId="0" borderId="0" xfId="0" applyFont="1"/>
    <xf numFmtId="2" fontId="59" fillId="0" borderId="0" xfId="0" applyNumberFormat="1" applyFont="1"/>
    <xf numFmtId="170" fontId="59" fillId="0" borderId="0" xfId="0" applyNumberFormat="1" applyFont="1"/>
    <xf numFmtId="10" fontId="62" fillId="0" borderId="0" xfId="2" applyNumberFormat="1" applyFont="1" applyFill="1" applyBorder="1" applyAlignment="1">
      <alignment horizontal="right" vertical="center" readingOrder="1"/>
    </xf>
    <xf numFmtId="43" fontId="59" fillId="0" borderId="0" xfId="1" applyFont="1" applyFill="1" applyBorder="1"/>
    <xf numFmtId="168" fontId="59" fillId="0" borderId="0" xfId="2" applyNumberFormat="1" applyFont="1" applyFill="1" applyBorder="1"/>
    <xf numFmtId="168" fontId="59" fillId="0" borderId="0" xfId="2" applyNumberFormat="1" applyFont="1" applyBorder="1"/>
    <xf numFmtId="0" fontId="15" fillId="0" borderId="0" xfId="5"/>
    <xf numFmtId="165" fontId="59" fillId="0" borderId="0" xfId="0" applyNumberFormat="1" applyFont="1"/>
    <xf numFmtId="0" fontId="65" fillId="0" borderId="0" xfId="0" applyFont="1" applyAlignment="1">
      <alignment vertical="top"/>
    </xf>
    <xf numFmtId="165" fontId="65" fillId="0" borderId="0" xfId="0" applyNumberFormat="1" applyFont="1" applyAlignment="1">
      <alignment vertical="top"/>
    </xf>
    <xf numFmtId="165" fontId="68" fillId="0" borderId="25" xfId="0" applyNumberFormat="1" applyFont="1" applyBorder="1" applyAlignment="1">
      <alignment horizontal="center" vertical="center"/>
    </xf>
    <xf numFmtId="168" fontId="65" fillId="0" borderId="26" xfId="0" applyNumberFormat="1" applyFont="1" applyBorder="1" applyAlignment="1">
      <alignment vertical="top"/>
    </xf>
    <xf numFmtId="10" fontId="65" fillId="0" borderId="27" xfId="0" applyNumberFormat="1" applyFont="1" applyBorder="1" applyAlignment="1">
      <alignment vertical="top"/>
    </xf>
    <xf numFmtId="10" fontId="65" fillId="0" borderId="28" xfId="0" applyNumberFormat="1" applyFont="1" applyBorder="1" applyAlignment="1">
      <alignment vertical="top"/>
    </xf>
    <xf numFmtId="168" fontId="65" fillId="0" borderId="0" xfId="0" applyNumberFormat="1" applyFont="1" applyAlignment="1">
      <alignment vertical="top"/>
    </xf>
    <xf numFmtId="10" fontId="65" fillId="0" borderId="29" xfId="0" applyNumberFormat="1" applyFont="1" applyBorder="1" applyAlignment="1">
      <alignment vertical="top"/>
    </xf>
    <xf numFmtId="176" fontId="65" fillId="0" borderId="30" xfId="0" applyNumberFormat="1" applyFont="1" applyBorder="1" applyAlignment="1">
      <alignment horizontal="right" vertical="top"/>
    </xf>
    <xf numFmtId="176" fontId="65" fillId="0" borderId="31" xfId="0" applyNumberFormat="1" applyFont="1" applyBorder="1" applyAlignment="1">
      <alignment horizontal="right" vertical="top"/>
    </xf>
    <xf numFmtId="176" fontId="65" fillId="0" borderId="32" xfId="0" applyNumberFormat="1" applyFont="1" applyBorder="1" applyAlignment="1">
      <alignment horizontal="right" vertical="top"/>
    </xf>
    <xf numFmtId="10" fontId="65" fillId="0" borderId="33" xfId="0" applyNumberFormat="1" applyFont="1" applyBorder="1" applyAlignment="1">
      <alignment vertical="top"/>
    </xf>
    <xf numFmtId="176" fontId="65" fillId="0" borderId="34" xfId="0" applyNumberFormat="1" applyFont="1" applyBorder="1" applyAlignment="1">
      <alignment horizontal="right" vertical="top"/>
    </xf>
    <xf numFmtId="176" fontId="65" fillId="0" borderId="0" xfId="0" applyNumberFormat="1" applyFont="1" applyAlignment="1">
      <alignment horizontal="right" vertical="top"/>
    </xf>
    <xf numFmtId="176" fontId="65" fillId="0" borderId="35" xfId="0" applyNumberFormat="1" applyFont="1" applyBorder="1" applyAlignment="1">
      <alignment horizontal="right" vertical="top"/>
    </xf>
    <xf numFmtId="165" fontId="68" fillId="0" borderId="0" xfId="0" applyNumberFormat="1" applyFont="1" applyAlignment="1">
      <alignment vertical="top"/>
    </xf>
    <xf numFmtId="0" fontId="68" fillId="0" borderId="0" xfId="0" applyFont="1" applyAlignment="1">
      <alignment vertical="top"/>
    </xf>
    <xf numFmtId="10" fontId="65" fillId="0" borderId="36" xfId="0" applyNumberFormat="1" applyFont="1" applyBorder="1" applyAlignment="1">
      <alignment vertical="top"/>
    </xf>
    <xf numFmtId="176" fontId="65" fillId="0" borderId="37" xfId="0" applyNumberFormat="1" applyFont="1" applyBorder="1" applyAlignment="1">
      <alignment horizontal="right" vertical="top"/>
    </xf>
    <xf numFmtId="176" fontId="65" fillId="0" borderId="38" xfId="0" applyNumberFormat="1" applyFont="1" applyBorder="1" applyAlignment="1">
      <alignment horizontal="right" vertical="top"/>
    </xf>
    <xf numFmtId="176" fontId="65" fillId="0" borderId="39" xfId="0" applyNumberFormat="1" applyFont="1" applyBorder="1" applyAlignment="1">
      <alignment horizontal="right" vertical="top"/>
    </xf>
    <xf numFmtId="10" fontId="65" fillId="0" borderId="0" xfId="0" applyNumberFormat="1" applyFont="1" applyAlignment="1">
      <alignment vertical="top"/>
    </xf>
    <xf numFmtId="165" fontId="68" fillId="0" borderId="25" xfId="0" applyNumberFormat="1" applyFont="1" applyBorder="1" applyAlignment="1">
      <alignment vertical="top"/>
    </xf>
    <xf numFmtId="10" fontId="65" fillId="0" borderId="26" xfId="0" applyNumberFormat="1" applyFont="1" applyBorder="1" applyAlignment="1">
      <alignment vertical="center"/>
    </xf>
    <xf numFmtId="10" fontId="65" fillId="0" borderId="27" xfId="0" applyNumberFormat="1" applyFont="1" applyBorder="1" applyAlignment="1">
      <alignment vertical="center"/>
    </xf>
    <xf numFmtId="10" fontId="65" fillId="0" borderId="28" xfId="0" applyNumberFormat="1" applyFont="1" applyBorder="1" applyAlignment="1">
      <alignment vertical="center"/>
    </xf>
    <xf numFmtId="179" fontId="65" fillId="0" borderId="29" xfId="0" applyNumberFormat="1" applyFont="1" applyBorder="1" applyAlignment="1">
      <alignment vertical="top"/>
    </xf>
    <xf numFmtId="179" fontId="65" fillId="0" borderId="33" xfId="0" applyNumberFormat="1" applyFont="1" applyBorder="1" applyAlignment="1">
      <alignment vertical="top"/>
    </xf>
    <xf numFmtId="179" fontId="65" fillId="0" borderId="36" xfId="0" applyNumberFormat="1" applyFont="1" applyBorder="1" applyAlignment="1">
      <alignment vertical="top"/>
    </xf>
    <xf numFmtId="1" fontId="53" fillId="0" borderId="0" xfId="0" applyNumberFormat="1" applyFont="1"/>
    <xf numFmtId="0" fontId="59" fillId="25" borderId="14" xfId="0" applyFont="1" applyFill="1" applyBorder="1"/>
    <xf numFmtId="0" fontId="59" fillId="25" borderId="6" xfId="0" applyFont="1" applyFill="1" applyBorder="1"/>
    <xf numFmtId="0" fontId="59" fillId="25" borderId="15" xfId="0" applyFont="1" applyFill="1" applyBorder="1"/>
    <xf numFmtId="0" fontId="59" fillId="25" borderId="0" xfId="0" applyFont="1" applyFill="1"/>
    <xf numFmtId="165" fontId="59" fillId="25" borderId="7" xfId="0" applyNumberFormat="1" applyFont="1" applyFill="1" applyBorder="1"/>
    <xf numFmtId="43" fontId="59" fillId="25" borderId="9" xfId="0" applyNumberFormat="1" applyFont="1" applyFill="1" applyBorder="1"/>
    <xf numFmtId="168" fontId="59" fillId="25" borderId="11" xfId="2" applyNumberFormat="1" applyFont="1" applyFill="1" applyBorder="1"/>
    <xf numFmtId="0" fontId="59" fillId="25" borderId="10" xfId="0" applyFont="1" applyFill="1" applyBorder="1"/>
    <xf numFmtId="0" fontId="11" fillId="14" borderId="0" xfId="0" applyFont="1" applyFill="1"/>
    <xf numFmtId="0" fontId="2" fillId="31" borderId="1" xfId="0" applyFont="1" applyFill="1" applyBorder="1"/>
    <xf numFmtId="0" fontId="0" fillId="31" borderId="1" xfId="0" applyFill="1" applyBorder="1"/>
    <xf numFmtId="3" fontId="0" fillId="31" borderId="1" xfId="0" applyNumberFormat="1" applyFill="1" applyBorder="1"/>
    <xf numFmtId="0" fontId="42" fillId="31" borderId="1" xfId="0" applyFont="1" applyFill="1" applyBorder="1" applyAlignment="1">
      <alignment vertical="top"/>
    </xf>
    <xf numFmtId="0" fontId="54" fillId="31" borderId="1" xfId="0" applyFont="1" applyFill="1" applyBorder="1" applyAlignment="1">
      <alignment horizontal="center" vertical="top"/>
    </xf>
    <xf numFmtId="0" fontId="54" fillId="31" borderId="1" xfId="0" applyFont="1" applyFill="1" applyBorder="1" applyAlignment="1">
      <alignment vertical="top"/>
    </xf>
    <xf numFmtId="0" fontId="0" fillId="0" borderId="0" xfId="0" applyAlignment="1">
      <alignment horizontal="left" wrapText="1" indent="1"/>
    </xf>
    <xf numFmtId="0" fontId="69" fillId="28" borderId="0" xfId="0" applyFont="1" applyFill="1" applyAlignment="1">
      <alignment horizontal="left" vertical="center" wrapText="1" indent="1"/>
    </xf>
    <xf numFmtId="0" fontId="69" fillId="28" borderId="0" xfId="0" applyFont="1" applyFill="1" applyAlignment="1">
      <alignment wrapText="1"/>
    </xf>
    <xf numFmtId="10" fontId="70" fillId="0" borderId="1" xfId="2" applyNumberFormat="1" applyFont="1" applyBorder="1"/>
    <xf numFmtId="10" fontId="0" fillId="25" borderId="10" xfId="0" applyNumberFormat="1" applyFill="1" applyBorder="1"/>
    <xf numFmtId="0" fontId="0" fillId="25" borderId="10" xfId="0" applyFill="1" applyBorder="1" applyAlignment="1">
      <alignment horizontal="right"/>
    </xf>
    <xf numFmtId="0" fontId="72" fillId="0" borderId="0" xfId="0" applyFont="1" applyAlignment="1">
      <alignment horizontal="left" vertical="top" wrapText="1" indent="1"/>
    </xf>
    <xf numFmtId="166" fontId="7" fillId="10" borderId="2" xfId="0" applyNumberFormat="1" applyFont="1" applyFill="1" applyBorder="1" applyAlignment="1">
      <alignment horizontal="center" vertical="top"/>
    </xf>
    <xf numFmtId="166" fontId="7" fillId="10" borderId="8" xfId="0" applyNumberFormat="1" applyFont="1" applyFill="1" applyBorder="1" applyAlignment="1">
      <alignment horizontal="center" vertical="top"/>
    </xf>
    <xf numFmtId="0" fontId="54" fillId="24" borderId="1" xfId="0" applyFont="1" applyFill="1" applyBorder="1" applyAlignment="1">
      <alignment horizontal="center" vertical="top"/>
    </xf>
    <xf numFmtId="10" fontId="0" fillId="5" borderId="0" xfId="0" applyNumberFormat="1" applyFill="1"/>
    <xf numFmtId="10" fontId="0" fillId="12" borderId="0" xfId="0" applyNumberFormat="1" applyFill="1"/>
    <xf numFmtId="0" fontId="55" fillId="28" borderId="1" xfId="0" applyFont="1" applyFill="1" applyBorder="1" applyAlignment="1">
      <alignment horizontal="right" vertical="center" wrapText="1" readingOrder="1"/>
    </xf>
    <xf numFmtId="0" fontId="56" fillId="0" borderId="1" xfId="0" applyFont="1" applyBorder="1"/>
    <xf numFmtId="9" fontId="2" fillId="0" borderId="15" xfId="2" applyFont="1" applyBorder="1"/>
    <xf numFmtId="9" fontId="71" fillId="0" borderId="1" xfId="2" applyFont="1" applyBorder="1"/>
    <xf numFmtId="2" fontId="2" fillId="0" borderId="1" xfId="2" applyNumberFormat="1" applyFont="1" applyFill="1" applyBorder="1"/>
    <xf numFmtId="9" fontId="2" fillId="0" borderId="1" xfId="0" applyNumberFormat="1" applyFont="1" applyBorder="1"/>
    <xf numFmtId="175" fontId="0" fillId="0" borderId="1" xfId="0" applyNumberFormat="1" applyBorder="1"/>
    <xf numFmtId="174" fontId="2" fillId="0" borderId="1" xfId="0" applyNumberFormat="1" applyFont="1" applyBorder="1"/>
    <xf numFmtId="0" fontId="0" fillId="20" borderId="0" xfId="0" applyFill="1"/>
    <xf numFmtId="43" fontId="0" fillId="20" borderId="0" xfId="0" applyNumberFormat="1" applyFill="1"/>
    <xf numFmtId="2" fontId="0" fillId="20" borderId="0" xfId="0" applyNumberFormat="1" applyFill="1"/>
    <xf numFmtId="166" fontId="52" fillId="17" borderId="10" xfId="0" applyNumberFormat="1" applyFont="1" applyFill="1" applyBorder="1" applyAlignment="1">
      <alignment horizontal="right" vertical="top"/>
    </xf>
    <xf numFmtId="1" fontId="0" fillId="0" borderId="10" xfId="0" applyNumberFormat="1" applyBorder="1"/>
    <xf numFmtId="9" fontId="0" fillId="0" borderId="10" xfId="0" applyNumberFormat="1" applyBorder="1"/>
    <xf numFmtId="1" fontId="0" fillId="0" borderId="22" xfId="0" applyNumberFormat="1" applyBorder="1"/>
    <xf numFmtId="166" fontId="7" fillId="7" borderId="10" xfId="0" applyNumberFormat="1" applyFont="1" applyFill="1" applyBorder="1" applyAlignment="1">
      <alignment horizontal="center" vertical="top"/>
    </xf>
    <xf numFmtId="15" fontId="7" fillId="7" borderId="10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Border="1" applyAlignment="1">
      <alignment horizontal="right" vertical="top"/>
    </xf>
    <xf numFmtId="1" fontId="11" fillId="0" borderId="10" xfId="0" applyNumberFormat="1" applyFont="1" applyBorder="1"/>
    <xf numFmtId="37" fontId="11" fillId="0" borderId="10" xfId="0" applyNumberFormat="1" applyFont="1" applyBorder="1"/>
    <xf numFmtId="2" fontId="11" fillId="0" borderId="10" xfId="0" applyNumberFormat="1" applyFont="1" applyBorder="1"/>
    <xf numFmtId="0" fontId="11" fillId="0" borderId="10" xfId="0" applyFont="1" applyBorder="1"/>
    <xf numFmtId="1" fontId="2" fillId="0" borderId="15" xfId="0" applyNumberFormat="1" applyFont="1" applyBorder="1"/>
    <xf numFmtId="0" fontId="39" fillId="0" borderId="10" xfId="0" applyFont="1" applyBorder="1"/>
    <xf numFmtId="3" fontId="11" fillId="0" borderId="10" xfId="0" applyNumberFormat="1" applyFont="1" applyBorder="1"/>
    <xf numFmtId="10" fontId="11" fillId="0" borderId="10" xfId="2" applyNumberFormat="1" applyFont="1" applyBorder="1"/>
    <xf numFmtId="0" fontId="11" fillId="0" borderId="10" xfId="2" applyNumberFormat="1" applyFont="1" applyBorder="1"/>
    <xf numFmtId="9" fontId="11" fillId="0" borderId="10" xfId="2" applyFont="1" applyBorder="1"/>
    <xf numFmtId="167" fontId="11" fillId="0" borderId="10" xfId="1" applyNumberFormat="1" applyFont="1" applyBorder="1"/>
    <xf numFmtId="1" fontId="38" fillId="0" borderId="15" xfId="2" applyNumberFormat="1" applyFont="1" applyBorder="1"/>
    <xf numFmtId="1" fontId="12" fillId="0" borderId="10" xfId="2" applyNumberFormat="1" applyFont="1" applyBorder="1"/>
    <xf numFmtId="1" fontId="11" fillId="0" borderId="10" xfId="2" applyNumberFormat="1" applyFont="1" applyBorder="1"/>
    <xf numFmtId="167" fontId="38" fillId="0" borderId="15" xfId="1" applyNumberFormat="1" applyFont="1" applyBorder="1"/>
    <xf numFmtId="166" fontId="6" fillId="32" borderId="2" xfId="0" applyNumberFormat="1" applyFont="1" applyFill="1" applyBorder="1" applyAlignment="1">
      <alignment horizontal="center" vertical="top"/>
    </xf>
    <xf numFmtId="15" fontId="7" fillId="32" borderId="0" xfId="0" applyNumberFormat="1" applyFont="1" applyFill="1" applyAlignment="1">
      <alignment horizontal="center" vertical="top" wrapText="1"/>
    </xf>
    <xf numFmtId="165" fontId="59" fillId="33" borderId="7" xfId="0" applyNumberFormat="1" applyFont="1" applyFill="1" applyBorder="1"/>
    <xf numFmtId="165" fontId="59" fillId="33" borderId="9" xfId="0" applyNumberFormat="1" applyFont="1" applyFill="1" applyBorder="1"/>
    <xf numFmtId="168" fontId="59" fillId="33" borderId="9" xfId="2" applyNumberFormat="1" applyFont="1" applyFill="1" applyBorder="1"/>
    <xf numFmtId="0" fontId="59" fillId="33" borderId="9" xfId="0" applyFont="1" applyFill="1" applyBorder="1"/>
    <xf numFmtId="0" fontId="59" fillId="33" borderId="0" xfId="0" applyFont="1" applyFill="1"/>
    <xf numFmtId="0" fontId="59" fillId="33" borderId="10" xfId="0" applyFont="1" applyFill="1" applyBorder="1"/>
    <xf numFmtId="43" fontId="59" fillId="33" borderId="9" xfId="0" applyNumberFormat="1" applyFont="1" applyFill="1" applyBorder="1"/>
    <xf numFmtId="178" fontId="59" fillId="33" borderId="9" xfId="0" applyNumberFormat="1" applyFont="1" applyFill="1" applyBorder="1"/>
    <xf numFmtId="168" fontId="59" fillId="33" borderId="11" xfId="0" applyNumberFormat="1" applyFont="1" applyFill="1" applyBorder="1"/>
    <xf numFmtId="0" fontId="59" fillId="33" borderId="11" xfId="0" applyFont="1" applyFill="1" applyBorder="1"/>
    <xf numFmtId="0" fontId="59" fillId="33" borderId="12" xfId="0" applyFont="1" applyFill="1" applyBorder="1"/>
    <xf numFmtId="0" fontId="59" fillId="33" borderId="13" xfId="0" applyFont="1" applyFill="1" applyBorder="1"/>
    <xf numFmtId="0" fontId="0" fillId="21" borderId="0" xfId="0" applyFill="1"/>
    <xf numFmtId="0" fontId="0" fillId="21" borderId="10" xfId="0" applyFill="1" applyBorder="1"/>
    <xf numFmtId="165" fontId="59" fillId="25" borderId="17" xfId="0" applyNumberFormat="1" applyFont="1" applyFill="1" applyBorder="1"/>
    <xf numFmtId="43" fontId="59" fillId="25" borderId="19" xfId="0" applyNumberFormat="1" applyFont="1" applyFill="1" applyBorder="1"/>
    <xf numFmtId="168" fontId="59" fillId="25" borderId="24" xfId="2" applyNumberFormat="1" applyFont="1" applyFill="1" applyBorder="1"/>
    <xf numFmtId="165" fontId="59" fillId="33" borderId="17" xfId="0" applyNumberFormat="1" applyFont="1" applyFill="1" applyBorder="1"/>
    <xf numFmtId="165" fontId="59" fillId="33" borderId="19" xfId="0" applyNumberFormat="1" applyFont="1" applyFill="1" applyBorder="1"/>
    <xf numFmtId="168" fontId="59" fillId="33" borderId="19" xfId="2" applyNumberFormat="1" applyFont="1" applyFill="1" applyBorder="1"/>
    <xf numFmtId="0" fontId="59" fillId="33" borderId="19" xfId="0" applyFont="1" applyFill="1" applyBorder="1"/>
    <xf numFmtId="43" fontId="59" fillId="33" borderId="19" xfId="0" applyNumberFormat="1" applyFont="1" applyFill="1" applyBorder="1"/>
    <xf numFmtId="178" fontId="59" fillId="33" borderId="19" xfId="0" applyNumberFormat="1" applyFont="1" applyFill="1" applyBorder="1"/>
    <xf numFmtId="0" fontId="59" fillId="33" borderId="24" xfId="0" applyFont="1" applyFill="1" applyBorder="1"/>
    <xf numFmtId="10" fontId="0" fillId="5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5" xfId="0" applyFill="1" applyBorder="1"/>
    <xf numFmtId="0" fontId="0" fillId="5" borderId="6" xfId="0" applyFill="1" applyBorder="1"/>
    <xf numFmtId="0" fontId="2" fillId="5" borderId="1" xfId="0" applyFont="1" applyFill="1" applyBorder="1"/>
    <xf numFmtId="0" fontId="2" fillId="20" borderId="20" xfId="0" applyFont="1" applyFill="1" applyBorder="1"/>
    <xf numFmtId="10" fontId="2" fillId="20" borderId="21" xfId="0" applyNumberFormat="1" applyFont="1" applyFill="1" applyBorder="1"/>
    <xf numFmtId="10" fontId="0" fillId="20" borderId="22" xfId="0" applyNumberFormat="1" applyFill="1" applyBorder="1"/>
    <xf numFmtId="0" fontId="2" fillId="20" borderId="20" xfId="0" applyFont="1" applyFill="1" applyBorder="1" applyAlignment="1">
      <alignment horizontal="center"/>
    </xf>
    <xf numFmtId="0" fontId="2" fillId="20" borderId="21" xfId="0" applyFont="1" applyFill="1" applyBorder="1" applyAlignment="1">
      <alignment horizontal="center"/>
    </xf>
    <xf numFmtId="10" fontId="0" fillId="20" borderId="22" xfId="2" applyNumberFormat="1" applyFont="1" applyFill="1" applyBorder="1"/>
    <xf numFmtId="0" fontId="0" fillId="20" borderId="1" xfId="0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10" fontId="0" fillId="33" borderId="1" xfId="0" applyNumberFormat="1" applyFill="1" applyBorder="1" applyAlignment="1">
      <alignment horizontal="center"/>
    </xf>
    <xf numFmtId="9" fontId="0" fillId="33" borderId="1" xfId="2" applyFont="1" applyFill="1" applyBorder="1" applyAlignment="1">
      <alignment horizontal="center"/>
    </xf>
    <xf numFmtId="10" fontId="0" fillId="33" borderId="0" xfId="2" applyNumberFormat="1" applyFont="1" applyFill="1" applyBorder="1"/>
    <xf numFmtId="10" fontId="0" fillId="33" borderId="10" xfId="2" applyNumberFormat="1" applyFont="1" applyFill="1" applyBorder="1"/>
    <xf numFmtId="10" fontId="0" fillId="33" borderId="0" xfId="0" applyNumberFormat="1" applyFill="1"/>
    <xf numFmtId="10" fontId="0" fillId="33" borderId="10" xfId="0" applyNumberFormat="1" applyFill="1" applyBorder="1"/>
    <xf numFmtId="0" fontId="0" fillId="33" borderId="0" xfId="0" applyFill="1"/>
    <xf numFmtId="2" fontId="0" fillId="33" borderId="10" xfId="0" applyNumberFormat="1" applyFill="1" applyBorder="1"/>
    <xf numFmtId="168" fontId="0" fillId="33" borderId="10" xfId="0" applyNumberFormat="1" applyFill="1" applyBorder="1"/>
    <xf numFmtId="0" fontId="0" fillId="33" borderId="21" xfId="0" applyFill="1" applyBorder="1"/>
    <xf numFmtId="10" fontId="0" fillId="33" borderId="22" xfId="0" applyNumberFormat="1" applyFill="1" applyBorder="1"/>
    <xf numFmtId="2" fontId="0" fillId="33" borderId="1" xfId="0" applyNumberFormat="1" applyFill="1" applyBorder="1"/>
    <xf numFmtId="1" fontId="0" fillId="33" borderId="1" xfId="0" applyNumberFormat="1" applyFill="1" applyBorder="1"/>
    <xf numFmtId="0" fontId="0" fillId="33" borderId="1" xfId="0" applyFill="1" applyBorder="1"/>
    <xf numFmtId="0" fontId="73" fillId="5" borderId="1" xfId="0" applyFont="1" applyFill="1" applyBorder="1"/>
    <xf numFmtId="170" fontId="73" fillId="5" borderId="1" xfId="0" applyNumberFormat="1" applyFont="1" applyFill="1" applyBorder="1"/>
    <xf numFmtId="0" fontId="73" fillId="5" borderId="1" xfId="0" applyFont="1" applyFill="1" applyBorder="1" applyAlignment="1">
      <alignment wrapText="1"/>
    </xf>
    <xf numFmtId="2" fontId="0" fillId="5" borderId="0" xfId="0" applyNumberFormat="1" applyFill="1"/>
    <xf numFmtId="0" fontId="74" fillId="5" borderId="0" xfId="0" applyFont="1" applyFill="1"/>
    <xf numFmtId="0" fontId="75" fillId="5" borderId="0" xfId="0" applyFont="1" applyFill="1"/>
    <xf numFmtId="0" fontId="0" fillId="27" borderId="19" xfId="0" applyFill="1" applyBorder="1" applyAlignment="1">
      <alignment horizontal="center"/>
    </xf>
    <xf numFmtId="0" fontId="2" fillId="27" borderId="19" xfId="0" applyFont="1" applyFill="1" applyBorder="1" applyAlignment="1">
      <alignment horizontal="center"/>
    </xf>
    <xf numFmtId="0" fontId="2" fillId="27" borderId="20" xfId="0" applyFont="1" applyFill="1" applyBorder="1" applyAlignment="1">
      <alignment horizontal="center"/>
    </xf>
    <xf numFmtId="0" fontId="0" fillId="27" borderId="19" xfId="0" applyFill="1" applyBorder="1"/>
    <xf numFmtId="1" fontId="2" fillId="0" borderId="1" xfId="0" applyNumberFormat="1" applyFont="1" applyBorder="1"/>
    <xf numFmtId="1" fontId="2" fillId="0" borderId="1" xfId="2" applyNumberFormat="1" applyFont="1" applyFill="1" applyBorder="1"/>
    <xf numFmtId="1" fontId="2" fillId="0" borderId="1" xfId="1" applyNumberFormat="1" applyFont="1" applyFill="1" applyBorder="1"/>
    <xf numFmtId="0" fontId="4" fillId="0" borderId="12" xfId="0" applyFont="1" applyBorder="1" applyAlignment="1">
      <alignment horizontal="left" vertical="top" wrapText="1" indent="1"/>
    </xf>
    <xf numFmtId="0" fontId="72" fillId="0" borderId="0" xfId="0" applyFont="1" applyAlignment="1">
      <alignment vertical="top" wrapText="1"/>
    </xf>
    <xf numFmtId="1" fontId="2" fillId="0" borderId="12" xfId="0" applyNumberFormat="1" applyFont="1" applyBorder="1"/>
    <xf numFmtId="1" fontId="12" fillId="0" borderId="12" xfId="0" applyNumberFormat="1" applyFont="1" applyBorder="1"/>
    <xf numFmtId="1" fontId="12" fillId="0" borderId="13" xfId="0" applyNumberFormat="1" applyFont="1" applyBorder="1"/>
    <xf numFmtId="37" fontId="11" fillId="0" borderId="0" xfId="0" applyNumberFormat="1" applyFont="1"/>
    <xf numFmtId="164" fontId="2" fillId="0" borderId="12" xfId="0" applyNumberFormat="1" applyFont="1" applyBorder="1"/>
    <xf numFmtId="164" fontId="38" fillId="0" borderId="12" xfId="0" applyNumberFormat="1" applyFont="1" applyBorder="1"/>
    <xf numFmtId="164" fontId="38" fillId="0" borderId="13" xfId="0" applyNumberFormat="1" applyFont="1" applyBorder="1"/>
    <xf numFmtId="0" fontId="2" fillId="0" borderId="12" xfId="0" applyFont="1" applyBorder="1"/>
    <xf numFmtId="2" fontId="38" fillId="8" borderId="12" xfId="0" applyNumberFormat="1" applyFont="1" applyFill="1" applyBorder="1"/>
    <xf numFmtId="2" fontId="38" fillId="8" borderId="13" xfId="0" applyNumberFormat="1" applyFont="1" applyFill="1" applyBorder="1"/>
    <xf numFmtId="0" fontId="36" fillId="0" borderId="12" xfId="0" applyFont="1" applyBorder="1" applyAlignment="1">
      <alignment horizontal="left" vertical="top" wrapText="1" indent="1"/>
    </xf>
    <xf numFmtId="10" fontId="0" fillId="34" borderId="15" xfId="0" applyNumberFormat="1" applyFill="1" applyBorder="1"/>
    <xf numFmtId="0" fontId="53" fillId="5" borderId="0" xfId="0" applyFont="1" applyFill="1"/>
    <xf numFmtId="14" fontId="0" fillId="0" borderId="0" xfId="0" applyNumberFormat="1"/>
    <xf numFmtId="0" fontId="2" fillId="11" borderId="19" xfId="0" applyFont="1" applyFill="1" applyBorder="1"/>
    <xf numFmtId="170" fontId="76" fillId="11" borderId="0" xfId="0" applyNumberFormat="1" applyFont="1" applyFill="1"/>
    <xf numFmtId="9" fontId="0" fillId="0" borderId="0" xfId="2" applyFont="1" applyBorder="1"/>
    <xf numFmtId="1" fontId="55" fillId="28" borderId="1" xfId="0" applyNumberFormat="1" applyFont="1" applyFill="1" applyBorder="1" applyAlignment="1">
      <alignment horizontal="right" vertical="center" wrapText="1" readingOrder="1"/>
    </xf>
    <xf numFmtId="0" fontId="47" fillId="9" borderId="0" xfId="0" applyFont="1" applyFill="1" applyAlignment="1">
      <alignment horizontal="center"/>
    </xf>
    <xf numFmtId="0" fontId="44" fillId="2" borderId="0" xfId="0" applyFont="1" applyFill="1" applyAlignment="1">
      <alignment horizontal="center" vertical="top"/>
    </xf>
    <xf numFmtId="0" fontId="45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 wrapText="1"/>
    </xf>
    <xf numFmtId="0" fontId="15" fillId="0" borderId="0" xfId="0" applyFont="1"/>
    <xf numFmtId="169" fontId="16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169" fontId="19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8" fillId="0" borderId="0" xfId="0" applyFont="1" applyAlignment="1">
      <alignment horizontal="center" wrapText="1"/>
    </xf>
    <xf numFmtId="0" fontId="43" fillId="9" borderId="0" xfId="0" applyFont="1" applyFill="1" applyAlignment="1">
      <alignment horizontal="center"/>
    </xf>
    <xf numFmtId="0" fontId="42" fillId="9" borderId="0" xfId="0" applyFont="1" applyFill="1" applyAlignment="1">
      <alignment horizontal="center"/>
    </xf>
    <xf numFmtId="0" fontId="31" fillId="0" borderId="4" xfId="0" applyFont="1" applyBorder="1"/>
    <xf numFmtId="0" fontId="31" fillId="0" borderId="5" xfId="0" applyFont="1" applyBorder="1"/>
    <xf numFmtId="0" fontId="46" fillId="2" borderId="0" xfId="0" applyFont="1" applyFill="1" applyAlignment="1">
      <alignment horizontal="center" vertical="top"/>
    </xf>
    <xf numFmtId="0" fontId="48" fillId="9" borderId="0" xfId="0" applyFont="1" applyFill="1" applyAlignment="1">
      <alignment horizontal="center"/>
    </xf>
    <xf numFmtId="0" fontId="48" fillId="9" borderId="10" xfId="0" applyFont="1" applyFill="1" applyBorder="1" applyAlignment="1">
      <alignment horizontal="center"/>
    </xf>
    <xf numFmtId="165" fontId="66" fillId="30" borderId="35" xfId="0" applyNumberFormat="1" applyFont="1" applyFill="1" applyBorder="1" applyAlignment="1">
      <alignment horizontal="center" vertical="center" textRotation="180"/>
    </xf>
    <xf numFmtId="0" fontId="67" fillId="0" borderId="35" xfId="0" applyFont="1" applyBorder="1"/>
    <xf numFmtId="0" fontId="66" fillId="30" borderId="0" xfId="0" applyFont="1" applyFill="1" applyAlignment="1">
      <alignment horizontal="center" vertical="top"/>
    </xf>
    <xf numFmtId="0" fontId="67" fillId="0" borderId="0" xfId="0" applyFont="1"/>
    <xf numFmtId="165" fontId="66" fillId="30" borderId="0" xfId="0" applyNumberFormat="1" applyFont="1" applyFill="1" applyAlignment="1">
      <alignment horizontal="center" vertical="center" textRotation="180"/>
    </xf>
    <xf numFmtId="0" fontId="0" fillId="0" borderId="0" xfId="0" applyAlignment="1">
      <alignment horizontal="center" vertical="top"/>
    </xf>
    <xf numFmtId="0" fontId="54" fillId="24" borderId="1" xfId="0" applyFont="1" applyFill="1" applyBorder="1" applyAlignment="1">
      <alignment horizontal="center" vertical="top"/>
    </xf>
    <xf numFmtId="0" fontId="61" fillId="21" borderId="0" xfId="0" applyFont="1" applyFill="1" applyAlignment="1">
      <alignment horizontal="center" vertical="center" wrapText="1"/>
    </xf>
    <xf numFmtId="0" fontId="61" fillId="5" borderId="0" xfId="0" applyFont="1" applyFill="1" applyAlignment="1">
      <alignment horizontal="center" vertical="center" wrapText="1"/>
    </xf>
    <xf numFmtId="0" fontId="61" fillId="21" borderId="0" xfId="0" applyFont="1" applyFill="1" applyAlignment="1">
      <alignment horizontal="center" wrapText="1"/>
    </xf>
    <xf numFmtId="0" fontId="61" fillId="21" borderId="0" xfId="0" applyFont="1" applyFill="1" applyAlignment="1">
      <alignment horizontal="center" vertical="center"/>
    </xf>
    <xf numFmtId="176" fontId="65" fillId="0" borderId="7" xfId="0" applyNumberFormat="1" applyFont="1" applyBorder="1" applyAlignment="1">
      <alignment horizontal="right" vertical="top"/>
    </xf>
    <xf numFmtId="176" fontId="65" fillId="0" borderId="2" xfId="0" applyNumberFormat="1" applyFont="1" applyBorder="1" applyAlignment="1">
      <alignment horizontal="right" vertical="top"/>
    </xf>
    <xf numFmtId="176" fontId="65" fillId="0" borderId="8" xfId="0" applyNumberFormat="1" applyFont="1" applyBorder="1" applyAlignment="1">
      <alignment horizontal="right" vertical="top"/>
    </xf>
    <xf numFmtId="176" fontId="65" fillId="0" borderId="9" xfId="0" applyNumberFormat="1" applyFont="1" applyBorder="1" applyAlignment="1">
      <alignment horizontal="right" vertical="top"/>
    </xf>
    <xf numFmtId="176" fontId="65" fillId="0" borderId="0" xfId="0" applyNumberFormat="1" applyFont="1" applyBorder="1" applyAlignment="1">
      <alignment horizontal="right" vertical="top"/>
    </xf>
    <xf numFmtId="176" fontId="65" fillId="0" borderId="10" xfId="0" applyNumberFormat="1" applyFont="1" applyBorder="1" applyAlignment="1">
      <alignment horizontal="right" vertical="top"/>
    </xf>
    <xf numFmtId="176" fontId="65" fillId="0" borderId="11" xfId="0" applyNumberFormat="1" applyFont="1" applyBorder="1" applyAlignment="1">
      <alignment horizontal="right" vertical="top"/>
    </xf>
    <xf numFmtId="176" fontId="65" fillId="0" borderId="12" xfId="0" applyNumberFormat="1" applyFont="1" applyBorder="1" applyAlignment="1">
      <alignment horizontal="right" vertical="top"/>
    </xf>
    <xf numFmtId="176" fontId="65" fillId="0" borderId="13" xfId="0" applyNumberFormat="1" applyFont="1" applyBorder="1" applyAlignment="1">
      <alignment horizontal="right" vertical="top"/>
    </xf>
  </cellXfs>
  <cellStyles count="6">
    <cellStyle name="Comma" xfId="1" builtinId="3"/>
    <cellStyle name="Currency" xfId="3" builtinId="4"/>
    <cellStyle name="Normal" xfId="0" builtinId="0"/>
    <cellStyle name="Normal_inesbitassignment1Stantec" xfId="5" xr:uid="{00000000-0005-0000-0000-000003000000}"/>
    <cellStyle name="Percent" xfId="2" builtinId="5"/>
    <cellStyle name="Total" xfId="4" builtinId="25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GRAPHS!$C$2</c:f>
              <c:strCache>
                <c:ptCount val="1"/>
                <c:pt idx="0">
                  <c:v>AMOUNT 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GRAPHS!$B$3:$B$5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GRAPHS!$C$3:$C$5</c:f>
              <c:numCache>
                <c:formatCode>General</c:formatCode>
                <c:ptCount val="3"/>
                <c:pt idx="0">
                  <c:v>46710</c:v>
                </c:pt>
                <c:pt idx="1">
                  <c:v>51217</c:v>
                </c:pt>
                <c:pt idx="2">
                  <c:v>51362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9-42FF-8927-8684E2F71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495055"/>
        <c:axId val="1672507951"/>
      </c:barChart>
      <c:catAx>
        <c:axId val="167249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07951"/>
        <c:crosses val="autoZero"/>
        <c:auto val="1"/>
        <c:lblAlgn val="ctr"/>
        <c:lblOffset val="100"/>
        <c:noMultiLvlLbl val="0"/>
      </c:catAx>
      <c:valAx>
        <c:axId val="167250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49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0" Type="http://schemas.openxmlformats.org/officeDocument/2006/relationships/image" Target="NULL"/><Relationship Id="rId1" Type="http://schemas.openxmlformats.org/officeDocument/2006/relationships/customXml" Target="../ink/ink1.xml"/><Relationship Id="rId37" Type="http://schemas.openxmlformats.org/officeDocument/2006/relationships/customXml" Target="../ink/ink2.xml"/><Relationship Id="rId36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111375</xdr:colOff>
      <xdr:row>98</xdr:row>
      <xdr:rowOff>17295</xdr:rowOff>
    </xdr:from>
    <xdr:to>
      <xdr:col>2</xdr:col>
      <xdr:colOff>491175</xdr:colOff>
      <xdr:row>100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14:cNvPr>
            <xdr14:cNvContentPartPr/>
          </xdr14:nvContentPartPr>
          <xdr14:nvPr macro=""/>
          <xdr14:xfrm>
            <a:off x="1092450" y="23191620"/>
            <a:ext cx="379800" cy="887040"/>
          </xdr14:xfrm>
        </xdr:contentPart>
      </mc:Choice>
      <mc:Fallback xmlns="">
        <xdr:pic>
          <xdr:nvPicPr>
            <xdr:cNvPr id="1622" name="Ink 1621"/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088490" y="23187660"/>
              <a:ext cx="390240" cy="897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630495</xdr:colOff>
      <xdr:row>66</xdr:row>
      <xdr:rowOff>27915</xdr:rowOff>
    </xdr:from>
    <xdr:to>
      <xdr:col>2</xdr:col>
      <xdr:colOff>630855</xdr:colOff>
      <xdr:row>66</xdr:row>
      <xdr:rowOff>29715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14:cNvPr>
            <xdr14:cNvContentPartPr/>
          </xdr14:nvContentPartPr>
          <xdr14:nvPr macro=""/>
          <xdr14:xfrm>
            <a:off x="1611570" y="16801440"/>
            <a:ext cx="360" cy="1800"/>
          </xdr14:xfrm>
        </xdr:contentPart>
      </mc:Choice>
      <mc:Fallback xmlns="">
        <xdr:pic>
          <xdr:nvPicPr>
            <xdr:cNvPr id="1976" name="Ink 1975"/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06890" y="16796760"/>
              <a:ext cx="9720" cy="11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0</xdr:row>
      <xdr:rowOff>133350</xdr:rowOff>
    </xdr:from>
    <xdr:to>
      <xdr:col>8</xdr:col>
      <xdr:colOff>38100</xdr:colOff>
      <xdr:row>11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2047" units="deg"/>
        </inkml:traceFormat>
        <inkml:channelProperties>
          <inkml:channelProperty channel="X" name="resolution" value="1516.99072" units="1/cm"/>
          <inkml:channelProperty channel="Y" name="resolution" value="2427.1853" units="1/cm"/>
          <inkml:channelProperty channel="F" name="resolution" value="5.68611" units="1/deg"/>
        </inkml:channelProperties>
      </inkml:inkSource>
      <inkml:timestamp xml:id="ts0" timeString="2025-02-13T17:58:20.682"/>
    </inkml:context>
    <inkml:brush xml:id="br0">
      <inkml:brushProperty name="width" value="0.04667" units="cm"/>
      <inkml:brushProperty name="height" value="0.04667" units="cm"/>
      <inkml:brushProperty name="color" value="#ED1C24"/>
    </inkml:brush>
  </inkml:definitions>
  <inkml:trace contextRef="#ctx0" brushRef="#br0">1988 6 150,'0'0'126,"0"0"-126,0 0-128</inkml:trace>
  <inkml:trace contextRef="#ctx0" brushRef="#br0" timeOffset="1">3042 1087 725,'0'0'0,"0"0"-135,0 0 27,0 0 92,0 0-53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2047" units="deg"/>
        </inkml:traceFormat>
        <inkml:channelProperties>
          <inkml:channelProperty channel="X" name="resolution" value="1516.99072" units="1/cm"/>
          <inkml:channelProperty channel="Y" name="resolution" value="2427.1853" units="1/cm"/>
          <inkml:channelProperty channel="F" name="resolution" value="5.68611" units="1/deg"/>
        </inkml:channelProperties>
      </inkml:inkSource>
      <inkml:timestamp xml:id="ts0" timeString="2025-02-13T17:58:20.698"/>
    </inkml:context>
    <inkml:brush xml:id="br0">
      <inkml:brushProperty name="width" value="0.04667" units="cm"/>
      <inkml:brushProperty name="height" value="0.04667" units="cm"/>
      <inkml:brushProperty name="color" value="#3165BB"/>
    </inkml:brush>
  </inkml:definitions>
  <inkml:trace contextRef="#ctx0" brushRef="#br0">646 542 319,'0'0'26,"0"0"-26,0 0 5,0 0 16,0 0 5,0 0 5,0 0-19,0-4-11,0 4-1,0 0-11,0 0-49,0 0-91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showGridLines="0" zoomScale="61" zoomScaleNormal="85" workbookViewId="0">
      <pane xSplit="2" ySplit="7" topLeftCell="D8" activePane="bottomRight" state="frozen"/>
      <selection pane="topRight" activeCell="C1" sqref="C1"/>
      <selection pane="bottomLeft" activeCell="A5" sqref="A5"/>
      <selection pane="bottomRight" activeCell="E48" sqref="E48"/>
    </sheetView>
  </sheetViews>
  <sheetFormatPr defaultRowHeight="15" x14ac:dyDescent="0.25"/>
  <cols>
    <col min="1" max="1" width="31.28515625" customWidth="1"/>
    <col min="2" max="2" width="3.42578125" customWidth="1"/>
    <col min="3" max="3" width="13.7109375" customWidth="1"/>
    <col min="4" max="4" width="14.28515625" customWidth="1"/>
    <col min="5" max="5" width="17.42578125" customWidth="1"/>
    <col min="6" max="8" width="16.7109375" customWidth="1"/>
    <col min="9" max="9" width="17.42578125" customWidth="1"/>
    <col min="10" max="14" width="12.7109375" bestFit="1" customWidth="1"/>
  </cols>
  <sheetData>
    <row r="1" spans="1:23" ht="14.45" customHeight="1" x14ac:dyDescent="0.25">
      <c r="A1" s="473" t="s">
        <v>162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</row>
    <row r="2" spans="1:23" ht="14.45" customHeight="1" x14ac:dyDescent="0.25">
      <c r="A2" s="473"/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</row>
    <row r="3" spans="1:23" ht="14.45" customHeight="1" x14ac:dyDescent="0.25">
      <c r="A3" s="473"/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</row>
    <row r="4" spans="1:23" x14ac:dyDescent="0.25">
      <c r="A4" s="473"/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</row>
    <row r="5" spans="1:23" x14ac:dyDescent="0.25">
      <c r="A5" t="s">
        <v>8</v>
      </c>
      <c r="D5" s="4"/>
      <c r="E5" s="41"/>
    </row>
    <row r="6" spans="1:23" x14ac:dyDescent="0.25">
      <c r="A6" s="42" t="s">
        <v>4</v>
      </c>
      <c r="B6" s="5"/>
      <c r="C6" s="5"/>
      <c r="D6" s="32" t="s">
        <v>5</v>
      </c>
      <c r="E6" s="32" t="s">
        <v>5</v>
      </c>
      <c r="F6" s="32" t="s">
        <v>5</v>
      </c>
      <c r="G6" s="32" t="s">
        <v>5</v>
      </c>
      <c r="H6" s="32" t="s">
        <v>5</v>
      </c>
      <c r="I6" s="32" t="s">
        <v>5</v>
      </c>
      <c r="J6" s="98" t="s">
        <v>5</v>
      </c>
      <c r="K6" s="98" t="s">
        <v>5</v>
      </c>
      <c r="L6" s="98" t="s">
        <v>5</v>
      </c>
      <c r="M6" s="98" t="s">
        <v>5</v>
      </c>
      <c r="N6" s="368">
        <v>12</v>
      </c>
    </row>
    <row r="7" spans="1:23" x14ac:dyDescent="0.25">
      <c r="A7" s="29"/>
      <c r="B7" s="5"/>
      <c r="C7" s="5"/>
      <c r="D7" s="35">
        <v>43616</v>
      </c>
      <c r="E7" s="35">
        <v>43982</v>
      </c>
      <c r="F7" s="35">
        <v>44347</v>
      </c>
      <c r="G7" s="35">
        <v>44712</v>
      </c>
      <c r="H7" s="35">
        <v>45077</v>
      </c>
      <c r="I7" s="84">
        <v>45443</v>
      </c>
      <c r="J7" s="100">
        <v>45808</v>
      </c>
      <c r="K7" s="100">
        <v>46173</v>
      </c>
      <c r="L7" s="100">
        <v>46538</v>
      </c>
      <c r="M7" s="100">
        <v>46904</v>
      </c>
      <c r="N7" s="369">
        <v>47269</v>
      </c>
    </row>
    <row r="8" spans="1:23" x14ac:dyDescent="0.25">
      <c r="A8" s="25" t="s">
        <v>59</v>
      </c>
      <c r="D8" s="70"/>
      <c r="J8" s="88"/>
      <c r="K8" s="88"/>
      <c r="L8" s="88"/>
      <c r="M8" s="88"/>
      <c r="N8" s="376"/>
    </row>
    <row r="9" spans="1:23" x14ac:dyDescent="0.25">
      <c r="A9" s="64" t="s">
        <v>60</v>
      </c>
      <c r="D9" s="8"/>
      <c r="E9" s="8"/>
      <c r="F9" s="8"/>
      <c r="G9" s="8"/>
      <c r="J9" s="88"/>
      <c r="K9" s="88"/>
      <c r="L9" s="88"/>
      <c r="M9" s="88"/>
      <c r="N9" s="376"/>
      <c r="O9" s="8"/>
      <c r="P9" s="8"/>
      <c r="Q9" s="8"/>
      <c r="R9" s="8"/>
      <c r="S9" s="8"/>
      <c r="T9" s="8"/>
      <c r="U9" s="8"/>
      <c r="V9" s="8"/>
      <c r="W9" s="8"/>
    </row>
    <row r="10" spans="1:23" s="9" customFormat="1" x14ac:dyDescent="0.25">
      <c r="A10" s="68" t="s">
        <v>61</v>
      </c>
      <c r="C10">
        <v>22268</v>
      </c>
      <c r="D10" s="70">
        <v>24222</v>
      </c>
      <c r="E10" s="70">
        <v>23305</v>
      </c>
      <c r="F10" s="70">
        <v>28021</v>
      </c>
      <c r="G10" s="70">
        <v>29143</v>
      </c>
      <c r="H10" s="70">
        <v>33135</v>
      </c>
      <c r="I10" s="70">
        <v>33427</v>
      </c>
      <c r="J10" s="89">
        <f>I10*(1+J11)</f>
        <v>31087.109999999997</v>
      </c>
      <c r="K10" s="89">
        <f t="shared" ref="K10:N10" si="0">J10*(1+K11)</f>
        <v>28911.012299999995</v>
      </c>
      <c r="L10" s="89">
        <f t="shared" si="0"/>
        <v>26887.241438999994</v>
      </c>
      <c r="M10" s="89">
        <f t="shared" si="0"/>
        <v>25005.134538269991</v>
      </c>
      <c r="N10" s="377">
        <f t="shared" si="0"/>
        <v>23254.77512059109</v>
      </c>
      <c r="O10" s="10"/>
      <c r="P10" s="271" t="s">
        <v>547</v>
      </c>
      <c r="Q10" s="10"/>
      <c r="R10" s="10"/>
      <c r="S10" s="10"/>
      <c r="T10" s="10"/>
      <c r="U10" s="10"/>
      <c r="V10" s="10"/>
      <c r="W10" s="10"/>
    </row>
    <row r="11" spans="1:23" s="9" customFormat="1" x14ac:dyDescent="0.25">
      <c r="A11" s="65" t="s">
        <v>69</v>
      </c>
      <c r="D11" s="58">
        <f>(D10-C10)/C10</f>
        <v>8.7749236572660316E-2</v>
      </c>
      <c r="E11" s="58">
        <f>(E10-D10)/D10</f>
        <v>-3.7858145487573283E-2</v>
      </c>
      <c r="F11" s="58">
        <f t="shared" ref="F11:H11" si="1">F10/E10-1</f>
        <v>0.20236000858184933</v>
      </c>
      <c r="G11" s="58">
        <f t="shared" si="1"/>
        <v>4.004139752328606E-2</v>
      </c>
      <c r="H11" s="58">
        <f t="shared" si="1"/>
        <v>0.13697972068764375</v>
      </c>
      <c r="I11" s="58">
        <f>AVERAGE(D11:H11)</f>
        <v>8.585444357557323E-2</v>
      </c>
      <c r="J11" s="90">
        <f>-7%</f>
        <v>-7.0000000000000007E-2</v>
      </c>
      <c r="K11" s="91">
        <f>J11</f>
        <v>-7.0000000000000007E-2</v>
      </c>
      <c r="L11" s="91">
        <f t="shared" ref="L11:N11" si="2">K11</f>
        <v>-7.0000000000000007E-2</v>
      </c>
      <c r="M11" s="91">
        <f t="shared" si="2"/>
        <v>-7.0000000000000007E-2</v>
      </c>
      <c r="N11" s="378">
        <f t="shared" si="2"/>
        <v>-7.0000000000000007E-2</v>
      </c>
      <c r="O11" s="10"/>
      <c r="P11" s="10"/>
      <c r="Q11" s="10"/>
      <c r="R11" s="10"/>
      <c r="S11" s="10"/>
      <c r="T11" s="10"/>
      <c r="U11" s="10"/>
      <c r="V11" s="10"/>
      <c r="W11" s="10"/>
    </row>
    <row r="12" spans="1:23" s="9" customFormat="1" x14ac:dyDescent="0.25">
      <c r="A12" s="68"/>
      <c r="D12" s="70"/>
      <c r="E12" s="70"/>
      <c r="F12" s="70"/>
      <c r="G12" s="70"/>
      <c r="H12" s="70"/>
      <c r="I12" s="70"/>
      <c r="J12" s="89"/>
      <c r="K12" s="89"/>
      <c r="L12" s="89"/>
      <c r="M12" s="89"/>
      <c r="N12" s="377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9" customFormat="1" x14ac:dyDescent="0.25">
      <c r="A13" s="67" t="s">
        <v>62</v>
      </c>
      <c r="C13">
        <v>10733</v>
      </c>
      <c r="D13" s="71">
        <v>11550</v>
      </c>
      <c r="E13" s="71">
        <v>10953</v>
      </c>
      <c r="F13" s="71">
        <v>12865</v>
      </c>
      <c r="G13" s="71">
        <v>13567</v>
      </c>
      <c r="H13" s="71">
        <v>13843</v>
      </c>
      <c r="I13" s="71">
        <v>13775</v>
      </c>
      <c r="J13" s="89">
        <f t="shared" ref="J13:N13" si="3">I13*(1+J14)</f>
        <v>14528.133680362496</v>
      </c>
      <c r="K13" s="89">
        <f t="shared" si="3"/>
        <v>15322.444154953402</v>
      </c>
      <c r="L13" s="89">
        <f t="shared" si="3"/>
        <v>16160.182721818655</v>
      </c>
      <c r="M13" s="89">
        <f t="shared" si="3"/>
        <v>17043.723766364114</v>
      </c>
      <c r="N13" s="377">
        <f t="shared" si="3"/>
        <v>17975.571491027891</v>
      </c>
      <c r="O13" s="10"/>
      <c r="P13" s="10"/>
      <c r="Q13" s="10"/>
      <c r="R13" s="10"/>
      <c r="S13" s="10"/>
      <c r="T13" s="10"/>
      <c r="U13" s="10"/>
      <c r="V13" s="10"/>
      <c r="W13" s="10"/>
    </row>
    <row r="14" spans="1:23" s="9" customFormat="1" x14ac:dyDescent="0.25">
      <c r="A14" s="65" t="s">
        <v>69</v>
      </c>
      <c r="D14" s="74">
        <f>D13/C13-1</f>
        <v>7.6120376409205326E-2</v>
      </c>
      <c r="E14" s="74">
        <f>E13/D13-1</f>
        <v>-5.1688311688311672E-2</v>
      </c>
      <c r="F14" s="74">
        <f t="shared" ref="F14:H14" si="4">F13/E13-1</f>
        <v>0.17456404637998713</v>
      </c>
      <c r="G14" s="74">
        <f t="shared" si="4"/>
        <v>5.4566653711620727E-2</v>
      </c>
      <c r="H14" s="74">
        <f t="shared" si="4"/>
        <v>2.0343480504164457E-2</v>
      </c>
      <c r="I14" s="75">
        <f>AVERAGE(D14:H14)</f>
        <v>5.478124906333319E-2</v>
      </c>
      <c r="J14" s="90">
        <f>MEDIAN(F14:I14)</f>
        <v>5.4673951387476959E-2</v>
      </c>
      <c r="K14" s="91">
        <f>J14</f>
        <v>5.4673951387476959E-2</v>
      </c>
      <c r="L14" s="91">
        <f t="shared" ref="L14:N14" si="5">K14</f>
        <v>5.4673951387476959E-2</v>
      </c>
      <c r="M14" s="91">
        <f t="shared" si="5"/>
        <v>5.4673951387476959E-2</v>
      </c>
      <c r="N14" s="378">
        <f t="shared" si="5"/>
        <v>5.4673951387476959E-2</v>
      </c>
      <c r="O14" s="10"/>
      <c r="P14" s="10"/>
      <c r="Q14" s="10"/>
      <c r="R14" s="10"/>
      <c r="S14" s="10"/>
      <c r="T14" s="10"/>
      <c r="U14" s="10"/>
      <c r="V14" s="10"/>
      <c r="W14" s="10"/>
    </row>
    <row r="15" spans="1:23" s="9" customFormat="1" x14ac:dyDescent="0.25">
      <c r="A15" s="67"/>
      <c r="D15" s="71"/>
      <c r="E15" s="71"/>
      <c r="F15" s="71"/>
      <c r="G15" s="71"/>
      <c r="H15" s="71"/>
      <c r="I15" s="71"/>
      <c r="J15" s="92"/>
      <c r="K15" s="92"/>
      <c r="L15" s="92"/>
      <c r="M15" s="92"/>
      <c r="N15" s="379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66" t="s">
        <v>63</v>
      </c>
      <c r="C16">
        <v>1396</v>
      </c>
      <c r="D16">
        <v>1404</v>
      </c>
      <c r="E16">
        <v>1280</v>
      </c>
      <c r="F16">
        <v>1382</v>
      </c>
      <c r="G16">
        <v>1624</v>
      </c>
      <c r="H16">
        <v>1727</v>
      </c>
      <c r="I16">
        <v>2075</v>
      </c>
      <c r="J16" s="89">
        <f t="shared" ref="J16" si="6">I16*(1+J17)</f>
        <v>2172.7869705665021</v>
      </c>
      <c r="K16" s="89">
        <f t="shared" ref="K16" si="7">J16*(1+K17)</f>
        <v>2275.1822744402684</v>
      </c>
      <c r="L16" s="89">
        <f t="shared" ref="L16" si="8">K16*(1+L17)</f>
        <v>2382.4030850928552</v>
      </c>
      <c r="M16" s="89">
        <f t="shared" ref="M16" si="9">L16*(1+M17)</f>
        <v>2494.6768105673223</v>
      </c>
      <c r="N16" s="377">
        <f t="shared" ref="N16" si="10">M16*(1+N17)</f>
        <v>2612.2415757952172</v>
      </c>
    </row>
    <row r="17" spans="1:25" x14ac:dyDescent="0.25">
      <c r="A17" s="65" t="s">
        <v>69</v>
      </c>
      <c r="D17" s="6">
        <f>D16/C16-1</f>
        <v>5.7306590257879542E-3</v>
      </c>
      <c r="E17" s="6">
        <f>E16/D16-1</f>
        <v>-8.8319088319088301E-2</v>
      </c>
      <c r="F17" s="6">
        <f t="shared" ref="F17:H17" si="11">F16/E16-1</f>
        <v>7.9687499999999911E-2</v>
      </c>
      <c r="G17" s="6">
        <f t="shared" si="11"/>
        <v>0.17510853835021711</v>
      </c>
      <c r="H17" s="6">
        <f t="shared" si="11"/>
        <v>6.3423645320197064E-2</v>
      </c>
      <c r="I17" s="6">
        <f>AVERAGE(D17:H17)</f>
        <v>4.712625087542275E-2</v>
      </c>
      <c r="J17" s="93">
        <f>AVERAGE($D17:I17)</f>
        <v>4.712625087542275E-2</v>
      </c>
      <c r="K17" s="94">
        <f>J17</f>
        <v>4.712625087542275E-2</v>
      </c>
      <c r="L17" s="94">
        <f t="shared" ref="L17:N17" si="12">K17</f>
        <v>4.712625087542275E-2</v>
      </c>
      <c r="M17" s="94">
        <f t="shared" si="12"/>
        <v>4.712625087542275E-2</v>
      </c>
      <c r="N17" s="380">
        <f t="shared" si="12"/>
        <v>4.712625087542275E-2</v>
      </c>
    </row>
    <row r="18" spans="1:25" x14ac:dyDescent="0.25">
      <c r="A18" s="66"/>
      <c r="J18" s="17"/>
      <c r="K18" s="17"/>
      <c r="L18" s="17"/>
      <c r="M18" s="17"/>
      <c r="N18" s="374"/>
    </row>
    <row r="19" spans="1:25" x14ac:dyDescent="0.25">
      <c r="A19" s="67" t="s">
        <v>64</v>
      </c>
      <c r="C19">
        <v>88</v>
      </c>
      <c r="D19" s="8">
        <v>42</v>
      </c>
      <c r="E19" s="8">
        <v>30</v>
      </c>
      <c r="F19" s="8">
        <v>25</v>
      </c>
      <c r="G19" s="8">
        <v>102</v>
      </c>
      <c r="H19" s="8">
        <v>58</v>
      </c>
      <c r="I19" s="8">
        <v>45</v>
      </c>
      <c r="J19" s="89">
        <f t="shared" ref="J19" si="13">I19*(1+J20)</f>
        <v>34.821428571428569</v>
      </c>
      <c r="K19" s="89">
        <f t="shared" ref="K19" si="14">J19*(1+K20)</f>
        <v>26.945153061224488</v>
      </c>
      <c r="L19" s="89">
        <f t="shared" ref="L19" si="15">K19*(1+L20)</f>
        <v>20.850416059280853</v>
      </c>
      <c r="M19" s="89">
        <f t="shared" ref="M19" si="16">L19*(1+M20)</f>
        <v>16.134250522062565</v>
      </c>
      <c r="N19" s="377">
        <f t="shared" ref="N19" si="17">M19*(1+N20)</f>
        <v>12.484836713500796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65" t="s">
        <v>69</v>
      </c>
      <c r="D20" s="6">
        <f>D19/C19-1</f>
        <v>-0.52272727272727271</v>
      </c>
      <c r="E20" s="6">
        <f>E19/D19-1</f>
        <v>-0.2857142857142857</v>
      </c>
      <c r="F20" s="6">
        <f t="shared" ref="F20:H20" si="18">F19/E19-1</f>
        <v>-0.16666666666666663</v>
      </c>
      <c r="G20" s="6">
        <f t="shared" si="18"/>
        <v>3.08</v>
      </c>
      <c r="H20" s="6">
        <f t="shared" si="18"/>
        <v>-0.43137254901960786</v>
      </c>
      <c r="I20" s="6">
        <f>AVERAGE(D20:H20)</f>
        <v>0.33470384517443341</v>
      </c>
      <c r="J20" s="93">
        <f>MEDIAN(D20:I20)</f>
        <v>-0.22619047619047616</v>
      </c>
      <c r="K20" s="94">
        <f>J20</f>
        <v>-0.22619047619047616</v>
      </c>
      <c r="L20" s="94">
        <f t="shared" ref="L20:N20" si="19">K20</f>
        <v>-0.22619047619047616</v>
      </c>
      <c r="M20" s="94">
        <f t="shared" si="19"/>
        <v>-0.22619047619047616</v>
      </c>
      <c r="N20" s="380">
        <f t="shared" si="19"/>
        <v>-0.22619047619047616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67"/>
      <c r="D21" s="8"/>
      <c r="E21" s="8"/>
      <c r="F21" s="8"/>
      <c r="G21" s="8"/>
      <c r="H21" s="8"/>
      <c r="I21" s="8"/>
      <c r="J21" s="95"/>
      <c r="K21" s="95"/>
      <c r="L21" s="95"/>
      <c r="M21" s="95"/>
      <c r="N21" s="381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9" customFormat="1" ht="13.15" customHeight="1" x14ac:dyDescent="0.25">
      <c r="A22" s="69" t="s">
        <v>65</v>
      </c>
      <c r="C22" s="73">
        <f t="shared" ref="C22:I22" si="20">C10+C13+C16+C19</f>
        <v>34485</v>
      </c>
      <c r="D22" s="80">
        <f t="shared" si="20"/>
        <v>37218</v>
      </c>
      <c r="E22" s="80">
        <f t="shared" si="20"/>
        <v>35568</v>
      </c>
      <c r="F22" s="80">
        <f t="shared" si="20"/>
        <v>42293</v>
      </c>
      <c r="G22" s="80">
        <f t="shared" si="20"/>
        <v>44436</v>
      </c>
      <c r="H22" s="80">
        <f t="shared" si="20"/>
        <v>48763</v>
      </c>
      <c r="I22" s="80">
        <f t="shared" si="20"/>
        <v>49322</v>
      </c>
      <c r="J22" s="86">
        <f>J10+J13+J16+J19</f>
        <v>47822.852079500422</v>
      </c>
      <c r="K22" s="86">
        <f t="shared" ref="K22:N22" si="21">K10+K13+K16+K19</f>
        <v>46535.583882454892</v>
      </c>
      <c r="L22" s="86">
        <f t="shared" si="21"/>
        <v>45450.677661970782</v>
      </c>
      <c r="M22" s="86">
        <f t="shared" si="21"/>
        <v>44559.669365723494</v>
      </c>
      <c r="N22" s="382">
        <f t="shared" si="21"/>
        <v>43855.073024127698</v>
      </c>
      <c r="O22" s="10"/>
      <c r="P22" s="10"/>
      <c r="Q22" s="10"/>
      <c r="R22" s="10"/>
      <c r="S22" s="10"/>
      <c r="T22" s="10"/>
      <c r="U22" s="10"/>
      <c r="V22" s="10"/>
      <c r="W22" s="10"/>
    </row>
    <row r="23" spans="1:25" s="9" customFormat="1" ht="13.15" customHeight="1" x14ac:dyDescent="0.25">
      <c r="A23" s="69"/>
      <c r="D23" s="73"/>
      <c r="E23" s="73"/>
      <c r="F23" s="73"/>
      <c r="G23" s="73"/>
      <c r="H23" s="73"/>
      <c r="I23" s="73"/>
      <c r="J23" s="96"/>
      <c r="K23" s="96"/>
      <c r="L23" s="96"/>
      <c r="M23" s="96"/>
      <c r="N23" s="383"/>
      <c r="O23" s="10"/>
      <c r="P23" s="10"/>
      <c r="Q23" s="10"/>
      <c r="R23" s="10"/>
      <c r="S23" s="10"/>
      <c r="T23" s="10"/>
      <c r="U23" s="10"/>
      <c r="V23" s="10"/>
      <c r="W23" s="10"/>
    </row>
    <row r="24" spans="1:25" s="9" customFormat="1" x14ac:dyDescent="0.25">
      <c r="A24" s="67" t="s">
        <v>66</v>
      </c>
      <c r="C24" s="9">
        <v>1886</v>
      </c>
      <c r="D24" s="72">
        <v>1906</v>
      </c>
      <c r="E24" s="72">
        <v>1846</v>
      </c>
      <c r="F24" s="72">
        <v>2205</v>
      </c>
      <c r="G24" s="72">
        <v>2346</v>
      </c>
      <c r="H24" s="72">
        <v>2427</v>
      </c>
      <c r="I24" s="72">
        <v>2082</v>
      </c>
      <c r="J24" s="89">
        <f t="shared" ref="J24" si="22">I24*(1+J25)</f>
        <v>2195.2907339827839</v>
      </c>
      <c r="K24" s="89">
        <f t="shared" ref="K24" si="23">J24*(1+K25)</f>
        <v>2314.7461127332708</v>
      </c>
      <c r="L24" s="89">
        <f t="shared" ref="L24" si="24">K24*(1+L25)</f>
        <v>2440.7015815590862</v>
      </c>
      <c r="M24" s="89">
        <f t="shared" ref="M24" si="25">L24*(1+M25)</f>
        <v>2573.5108388154599</v>
      </c>
      <c r="N24" s="377">
        <f t="shared" ref="N24" si="26">M24*(1+N25)</f>
        <v>2713.5468291334491</v>
      </c>
      <c r="O24" s="10"/>
      <c r="P24" s="10"/>
      <c r="Q24" s="10"/>
      <c r="R24" s="10"/>
      <c r="S24" s="10"/>
      <c r="T24" s="10"/>
      <c r="U24" s="10"/>
      <c r="V24" s="10"/>
      <c r="W24" s="10"/>
    </row>
    <row r="25" spans="1:25" s="9" customFormat="1" x14ac:dyDescent="0.25">
      <c r="A25" s="65" t="s">
        <v>69</v>
      </c>
      <c r="D25" s="74">
        <f>D24/C24-1</f>
        <v>1.0604453870625585E-2</v>
      </c>
      <c r="E25" s="74">
        <f>E24/D24-1</f>
        <v>-3.147953830010497E-2</v>
      </c>
      <c r="F25" s="74">
        <f t="shared" ref="F25:H25" si="27">F24/E24-1</f>
        <v>0.19447453954496208</v>
      </c>
      <c r="G25" s="74">
        <f t="shared" si="27"/>
        <v>6.3945578231292544E-2</v>
      </c>
      <c r="H25" s="74">
        <f t="shared" si="27"/>
        <v>3.4526854219948833E-2</v>
      </c>
      <c r="I25" s="74">
        <f>AVERAGE(D25:H25)</f>
        <v>5.4414377513344811E-2</v>
      </c>
      <c r="J25" s="93">
        <f>AVERAGE($D25:I25)</f>
        <v>5.4414377513344818E-2</v>
      </c>
      <c r="K25" s="94">
        <f>AVERAGE($D25:J25)</f>
        <v>5.4414377513344818E-2</v>
      </c>
      <c r="L25" s="94">
        <f>AVERAGE($D25:K25)</f>
        <v>5.4414377513344818E-2</v>
      </c>
      <c r="M25" s="94">
        <f>AVERAGE($D25:L25)</f>
        <v>5.4414377513344818E-2</v>
      </c>
      <c r="N25" s="380">
        <f>AVERAGE($D25:M25)</f>
        <v>5.4414377513344811E-2</v>
      </c>
      <c r="O25" s="10"/>
      <c r="P25" s="10"/>
      <c r="Q25" s="10"/>
      <c r="R25" s="10"/>
      <c r="S25" s="10"/>
      <c r="T25" s="10"/>
      <c r="U25" s="10"/>
      <c r="V25" s="10"/>
      <c r="W25" s="10"/>
    </row>
    <row r="26" spans="1:25" s="9" customFormat="1" x14ac:dyDescent="0.25">
      <c r="A26" s="67"/>
      <c r="D26" s="72"/>
      <c r="E26" s="72"/>
      <c r="F26" s="72"/>
      <c r="G26" s="72"/>
      <c r="H26" s="72"/>
      <c r="I26" s="72"/>
      <c r="J26" s="97"/>
      <c r="K26" s="97"/>
      <c r="L26" s="97"/>
      <c r="M26" s="97"/>
      <c r="N26" s="384"/>
      <c r="O26" s="10"/>
      <c r="P26" s="10"/>
      <c r="Q26" s="10"/>
      <c r="R26" s="10"/>
      <c r="S26" s="10"/>
      <c r="T26" s="10"/>
      <c r="U26" s="10"/>
      <c r="V26" s="10"/>
      <c r="W26" s="10"/>
    </row>
    <row r="27" spans="1:25" x14ac:dyDescent="0.25">
      <c r="A27" s="66" t="s">
        <v>67</v>
      </c>
      <c r="C27">
        <v>26</v>
      </c>
      <c r="D27">
        <v>-7</v>
      </c>
      <c r="E27">
        <v>-11</v>
      </c>
      <c r="F27">
        <v>40</v>
      </c>
      <c r="G27">
        <v>-72</v>
      </c>
      <c r="H27">
        <v>27</v>
      </c>
      <c r="I27">
        <v>-42</v>
      </c>
      <c r="J27" s="89">
        <f t="shared" ref="J27" si="28">I27*(1+J28)</f>
        <v>37.876993006993011</v>
      </c>
      <c r="K27" s="89">
        <f t="shared" ref="K27" si="29">J27*(1+K28)</f>
        <v>-34.158728553614232</v>
      </c>
      <c r="L27" s="89">
        <f t="shared" ref="L27" si="30">K27*(1+L28)</f>
        <v>30.805474346500453</v>
      </c>
      <c r="M27" s="89">
        <f t="shared" ref="M27" si="31">L27*(1+M28)</f>
        <v>-27.781398485702393</v>
      </c>
      <c r="N27" s="377">
        <f t="shared" ref="N27" si="32">M27*(1+N28)</f>
        <v>25.054186575415144</v>
      </c>
    </row>
    <row r="28" spans="1:25" x14ac:dyDescent="0.25">
      <c r="A28" s="65" t="s">
        <v>69</v>
      </c>
      <c r="D28" s="6">
        <f>D27/C27-1</f>
        <v>-1.2692307692307692</v>
      </c>
      <c r="E28" s="6">
        <f>E27/D27-1</f>
        <v>0.5714285714285714</v>
      </c>
      <c r="F28" s="6">
        <f t="shared" ref="F28:H28" si="33">F27/E27-1</f>
        <v>-4.6363636363636367</v>
      </c>
      <c r="G28" s="6">
        <f t="shared" si="33"/>
        <v>-2.8</v>
      </c>
      <c r="H28" s="6">
        <f t="shared" si="33"/>
        <v>-1.375</v>
      </c>
      <c r="I28" s="6">
        <f>AVERAGE(D28:H28)</f>
        <v>-1.9018331668331669</v>
      </c>
      <c r="J28" s="93">
        <f>AVERAGE($D28:I28)</f>
        <v>-1.9018331668331669</v>
      </c>
      <c r="K28" s="94">
        <f>AVERAGE($D28:J28)</f>
        <v>-1.9018331668331672</v>
      </c>
      <c r="L28" s="94">
        <f>AVERAGE($D28:K28)</f>
        <v>-1.9018331668331672</v>
      </c>
      <c r="M28" s="94">
        <f>AVERAGE($D28:L28)</f>
        <v>-1.9018331668331672</v>
      </c>
      <c r="N28" s="380">
        <f>AVERAGE($D28:M28)</f>
        <v>-1.9018331668331672</v>
      </c>
    </row>
    <row r="29" spans="1:25" x14ac:dyDescent="0.25">
      <c r="A29" s="66"/>
      <c r="J29" s="17"/>
      <c r="K29" s="17"/>
      <c r="L29" s="17"/>
      <c r="M29" s="17"/>
      <c r="N29" s="374"/>
    </row>
    <row r="30" spans="1:25" x14ac:dyDescent="0.25">
      <c r="A30" s="46" t="s">
        <v>68</v>
      </c>
      <c r="C30" s="22">
        <f t="shared" ref="C30:I30" si="34">C22+C24+C27</f>
        <v>36397</v>
      </c>
      <c r="D30" s="81">
        <f t="shared" si="34"/>
        <v>39117</v>
      </c>
      <c r="E30" s="81">
        <f t="shared" si="34"/>
        <v>37403</v>
      </c>
      <c r="F30" s="81">
        <f t="shared" si="34"/>
        <v>44538</v>
      </c>
      <c r="G30" s="81">
        <f t="shared" si="34"/>
        <v>46710</v>
      </c>
      <c r="H30" s="81">
        <f t="shared" si="34"/>
        <v>51217</v>
      </c>
      <c r="I30" s="81">
        <f t="shared" si="34"/>
        <v>51362</v>
      </c>
      <c r="J30" s="87">
        <f>J22+J24+J27</f>
        <v>50056.0198064902</v>
      </c>
      <c r="K30" s="87">
        <f t="shared" ref="K30:N30" si="35">K22+K24+K27</f>
        <v>48816.171266634548</v>
      </c>
      <c r="L30" s="87">
        <f t="shared" si="35"/>
        <v>47922.184717876371</v>
      </c>
      <c r="M30" s="87">
        <f t="shared" si="35"/>
        <v>47105.39880605325</v>
      </c>
      <c r="N30" s="385">
        <f t="shared" si="35"/>
        <v>46593.674039836558</v>
      </c>
      <c r="O30" s="8"/>
      <c r="P30" s="8"/>
      <c r="Q30" s="8"/>
      <c r="R30" s="8"/>
      <c r="S30" s="8"/>
      <c r="T30" s="8"/>
      <c r="U30" s="8"/>
      <c r="V30" s="8"/>
      <c r="W30" s="8"/>
    </row>
    <row r="31" spans="1:25" s="9" customFormat="1" x14ac:dyDescent="0.25">
      <c r="A31" s="44" t="s">
        <v>69</v>
      </c>
      <c r="D31" s="77">
        <f>D30/C30-1</f>
        <v>7.4731433909388079E-2</v>
      </c>
      <c r="E31" s="77">
        <f>E30/D30-1</f>
        <v>-4.3817266150267153E-2</v>
      </c>
      <c r="F31" s="77">
        <f t="shared" ref="F31:H31" si="36">F30/E30-1</f>
        <v>0.19076009945726269</v>
      </c>
      <c r="G31" s="77">
        <f t="shared" si="36"/>
        <v>4.8767344739323759E-2</v>
      </c>
      <c r="H31" s="77">
        <f t="shared" si="36"/>
        <v>9.6488974523656568E-2</v>
      </c>
      <c r="I31" s="77">
        <f>I30/H30-1</f>
        <v>2.8310912392370824E-3</v>
      </c>
      <c r="J31" s="91">
        <f>AVERAGE($D31:I31)</f>
        <v>6.1626946286433504E-2</v>
      </c>
      <c r="K31" s="91">
        <f t="shared" ref="K31:N31" si="37">AVERAGE(G31:J31)</f>
        <v>5.2428589197162728E-2</v>
      </c>
      <c r="L31" s="91">
        <f t="shared" si="37"/>
        <v>5.3343900311622471E-2</v>
      </c>
      <c r="M31" s="91">
        <f t="shared" si="37"/>
        <v>4.2557631758613948E-2</v>
      </c>
      <c r="N31" s="91">
        <f t="shared" si="37"/>
        <v>5.2489266888458161E-2</v>
      </c>
      <c r="O31" s="10"/>
      <c r="P31" s="10"/>
    </row>
    <row r="32" spans="1:25" s="9" customFormat="1" x14ac:dyDescent="0.25">
      <c r="A32" s="45"/>
      <c r="D32"/>
      <c r="E32"/>
      <c r="F32"/>
      <c r="G32"/>
      <c r="H32"/>
      <c r="I32"/>
      <c r="J32"/>
      <c r="K32"/>
      <c r="L32"/>
      <c r="M32"/>
      <c r="N32"/>
      <c r="O32" s="10"/>
      <c r="P32" s="10"/>
    </row>
    <row r="34" spans="1:23" x14ac:dyDescent="0.25">
      <c r="A34" s="43"/>
      <c r="O34" s="8"/>
      <c r="P34" s="8"/>
      <c r="Q34" s="8"/>
      <c r="R34" s="8"/>
      <c r="S34" s="8"/>
    </row>
    <row r="35" spans="1:23" s="9" customFormat="1" x14ac:dyDescent="0.25">
      <c r="A35" s="44"/>
      <c r="D35"/>
      <c r="E35"/>
      <c r="F35"/>
      <c r="G35"/>
      <c r="H35"/>
      <c r="I35"/>
      <c r="J35"/>
      <c r="K35"/>
      <c r="L35"/>
      <c r="M35"/>
      <c r="N35"/>
      <c r="O35" s="10"/>
      <c r="P35" s="10"/>
    </row>
    <row r="36" spans="1:23" s="9" customFormat="1" x14ac:dyDescent="0.25">
      <c r="A36" s="45"/>
      <c r="D36"/>
      <c r="E36"/>
      <c r="F36" s="70"/>
      <c r="G36"/>
      <c r="H36"/>
      <c r="I36"/>
      <c r="J36"/>
      <c r="K36"/>
      <c r="L36"/>
      <c r="M36"/>
      <c r="N36"/>
      <c r="O36" s="10"/>
      <c r="P36" s="10"/>
    </row>
    <row r="37" spans="1:23" x14ac:dyDescent="0.25">
      <c r="F37" s="62"/>
    </row>
    <row r="38" spans="1:23" x14ac:dyDescent="0.25">
      <c r="A38" s="43"/>
      <c r="O38" s="8"/>
      <c r="P38" s="8"/>
      <c r="Q38" s="8"/>
      <c r="R38" s="8"/>
      <c r="S38" s="8"/>
    </row>
    <row r="39" spans="1:23" s="9" customFormat="1" x14ac:dyDescent="0.25">
      <c r="A39" s="44"/>
      <c r="D39"/>
      <c r="E39"/>
      <c r="F39" s="39"/>
      <c r="G39"/>
      <c r="H39"/>
      <c r="I39"/>
      <c r="J39"/>
      <c r="K39"/>
      <c r="L39"/>
      <c r="M39"/>
      <c r="N39"/>
      <c r="O39" s="10"/>
      <c r="P39" s="10"/>
      <c r="Q39" s="10"/>
      <c r="R39" s="10"/>
      <c r="S39" s="10"/>
      <c r="T39" s="10"/>
      <c r="U39" s="10"/>
      <c r="V39" s="10"/>
      <c r="W39" s="10"/>
    </row>
    <row r="40" spans="1:23" s="9" customFormat="1" x14ac:dyDescent="0.25">
      <c r="A40" s="45"/>
      <c r="D40"/>
      <c r="E40"/>
      <c r="F40" s="62"/>
      <c r="G40"/>
      <c r="H40"/>
      <c r="I40"/>
      <c r="J40"/>
      <c r="K40"/>
      <c r="L40"/>
      <c r="M40"/>
      <c r="N4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5">
      <c r="F41" s="62"/>
    </row>
    <row r="42" spans="1:23" x14ac:dyDescent="0.25">
      <c r="A42" s="43"/>
      <c r="F42" s="70"/>
      <c r="O42" s="8"/>
      <c r="P42" s="8"/>
      <c r="Q42" s="8"/>
      <c r="R42" s="8"/>
      <c r="S42" s="8"/>
      <c r="T42" s="8"/>
      <c r="U42" s="8"/>
      <c r="V42" s="8"/>
      <c r="W42" s="8"/>
    </row>
    <row r="43" spans="1:23" s="9" customFormat="1" x14ac:dyDescent="0.25">
      <c r="A43" s="44"/>
      <c r="D43"/>
      <c r="E43"/>
      <c r="F43"/>
      <c r="G43"/>
      <c r="H43"/>
      <c r="I43"/>
      <c r="J43"/>
      <c r="K43"/>
      <c r="L43"/>
      <c r="M43"/>
      <c r="N43"/>
      <c r="O43" s="10"/>
      <c r="P43" s="10"/>
      <c r="Q43" s="10"/>
      <c r="R43" s="10"/>
      <c r="S43" s="10"/>
      <c r="T43" s="10"/>
      <c r="U43" s="10"/>
      <c r="V43" s="10"/>
    </row>
    <row r="44" spans="1:23" s="9" customFormat="1" x14ac:dyDescent="0.25">
      <c r="A44" s="45"/>
      <c r="D44"/>
      <c r="E44"/>
      <c r="F44"/>
      <c r="G44"/>
      <c r="H44"/>
      <c r="I44"/>
      <c r="J44"/>
      <c r="K44"/>
      <c r="L44"/>
      <c r="M44"/>
      <c r="N44"/>
      <c r="O44" s="10"/>
      <c r="P44" s="10"/>
      <c r="Q44" s="10"/>
      <c r="R44" s="10"/>
      <c r="S44" s="10"/>
      <c r="T44" s="10"/>
      <c r="U44" s="10"/>
      <c r="V44" s="10"/>
    </row>
    <row r="46" spans="1:23" x14ac:dyDescent="0.25">
      <c r="A46" s="43"/>
      <c r="O46" s="8"/>
      <c r="P46" s="8"/>
      <c r="Q46" s="8"/>
      <c r="R46" s="8"/>
      <c r="S46" s="8"/>
      <c r="T46" s="8"/>
      <c r="U46" s="8"/>
    </row>
    <row r="47" spans="1:23" s="9" customFormat="1" x14ac:dyDescent="0.25">
      <c r="A47" s="44"/>
      <c r="D47"/>
      <c r="E47"/>
      <c r="F47"/>
      <c r="G47"/>
      <c r="H47"/>
      <c r="I47"/>
      <c r="J47"/>
      <c r="K47"/>
      <c r="L47"/>
      <c r="M47"/>
      <c r="N47"/>
      <c r="O47" s="10"/>
      <c r="P47" s="10"/>
      <c r="Q47" s="10"/>
      <c r="R47" s="10"/>
      <c r="S47" s="10"/>
      <c r="T47" s="10"/>
      <c r="U47" s="10"/>
      <c r="V47" s="10"/>
      <c r="W47" s="10"/>
    </row>
    <row r="48" spans="1:23" s="9" customFormat="1" x14ac:dyDescent="0.25">
      <c r="A48" s="45"/>
      <c r="D48"/>
      <c r="E48"/>
      <c r="F48"/>
      <c r="G48"/>
      <c r="H48"/>
      <c r="I48"/>
      <c r="J48"/>
      <c r="K48"/>
      <c r="L48"/>
      <c r="M48"/>
      <c r="N48"/>
      <c r="O48" s="10"/>
      <c r="P48" s="10"/>
      <c r="Q48" s="10"/>
      <c r="R48" s="10"/>
      <c r="S48" s="10"/>
      <c r="T48" s="10"/>
      <c r="U48" s="10"/>
      <c r="V48" s="10"/>
      <c r="W48" s="10"/>
    </row>
    <row r="49" spans="1:25" s="9" customFormat="1" x14ac:dyDescent="0.25">
      <c r="A49" s="45"/>
      <c r="D49"/>
      <c r="E49"/>
      <c r="F49"/>
      <c r="G49"/>
      <c r="H49"/>
      <c r="I49"/>
      <c r="J49"/>
      <c r="K49"/>
      <c r="L49"/>
      <c r="M49"/>
      <c r="N49"/>
      <c r="O49" s="10"/>
      <c r="P49" s="10"/>
      <c r="Q49" s="10"/>
      <c r="R49" s="10"/>
      <c r="S49" s="10"/>
      <c r="T49" s="10"/>
      <c r="U49" s="10"/>
      <c r="V49" s="10"/>
      <c r="W49" s="10"/>
    </row>
    <row r="50" spans="1:25" s="25" customFormat="1" x14ac:dyDescent="0.25">
      <c r="A50" s="46"/>
      <c r="D50"/>
      <c r="E50"/>
      <c r="F50"/>
      <c r="G50"/>
      <c r="H50"/>
      <c r="I50"/>
      <c r="J50"/>
      <c r="K50"/>
      <c r="L50"/>
      <c r="M50"/>
      <c r="N50"/>
      <c r="O50" s="26"/>
      <c r="P50" s="26"/>
      <c r="Q50" s="26"/>
      <c r="R50" s="26"/>
      <c r="S50" s="26"/>
      <c r="T50" s="26"/>
      <c r="U50" s="26"/>
      <c r="V50" s="26"/>
      <c r="W50" s="26"/>
    </row>
    <row r="52" spans="1:25" ht="13.15" customHeight="1" x14ac:dyDescent="0.25">
      <c r="A52" s="43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s="9" customFormat="1" x14ac:dyDescent="0.25">
      <c r="A53" s="45"/>
      <c r="D53"/>
      <c r="E53"/>
      <c r="F53"/>
      <c r="G53"/>
      <c r="H53"/>
      <c r="I53"/>
      <c r="J53"/>
      <c r="K53"/>
      <c r="L53"/>
      <c r="M53"/>
      <c r="N53"/>
    </row>
    <row r="55" spans="1:25" s="4" customFormat="1" x14ac:dyDescent="0.25">
      <c r="A55" s="48"/>
      <c r="D55"/>
      <c r="E55"/>
      <c r="F55"/>
      <c r="G55"/>
      <c r="H55"/>
      <c r="I55"/>
      <c r="J55"/>
      <c r="K55"/>
      <c r="L55"/>
      <c r="M55"/>
      <c r="N55"/>
    </row>
    <row r="56" spans="1:25" s="9" customFormat="1" x14ac:dyDescent="0.25">
      <c r="D56"/>
      <c r="E56"/>
      <c r="F56"/>
      <c r="G56"/>
      <c r="H56"/>
      <c r="I56"/>
      <c r="J56"/>
      <c r="K56"/>
      <c r="L56"/>
      <c r="M56"/>
      <c r="N56"/>
    </row>
    <row r="57" spans="1:25" ht="14.45" customHeight="1" x14ac:dyDescent="0.25">
      <c r="A57" s="49"/>
    </row>
  </sheetData>
  <mergeCells count="1">
    <mergeCell ref="A1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showGridLines="0" zoomScale="90" zoomScaleNormal="90" workbookViewId="0">
      <pane xSplit="1" ySplit="7" topLeftCell="B8" activePane="bottomRight" state="frozen"/>
      <selection pane="topRight" activeCell="B1" sqref="B1"/>
      <selection pane="bottomLeft" activeCell="A5" sqref="A5"/>
      <selection pane="bottomRight" activeCell="N21" sqref="N21"/>
    </sheetView>
  </sheetViews>
  <sheetFormatPr defaultRowHeight="15" x14ac:dyDescent="0.25"/>
  <cols>
    <col min="1" max="1" width="67.7109375" customWidth="1"/>
    <col min="2" max="2" width="10.5703125" bestFit="1" customWidth="1"/>
    <col min="3" max="3" width="12.7109375" bestFit="1" customWidth="1"/>
    <col min="4" max="4" width="10.5703125" bestFit="1" customWidth="1"/>
    <col min="5" max="5" width="10.140625" customWidth="1"/>
    <col min="6" max="6" width="10.7109375" customWidth="1"/>
    <col min="7" max="7" width="16.140625" customWidth="1"/>
    <col min="8" max="8" width="10.42578125" bestFit="1" customWidth="1"/>
    <col min="9" max="12" width="9.7109375" customWidth="1"/>
    <col min="13" max="13" width="17.28515625" customWidth="1"/>
    <col min="14" max="14" width="9.5703125" customWidth="1"/>
  </cols>
  <sheetData>
    <row r="1" spans="1:14" ht="14.45" customHeight="1" x14ac:dyDescent="1.05">
      <c r="A1" s="474" t="s">
        <v>163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184"/>
      <c r="N1" s="184"/>
    </row>
    <row r="2" spans="1:14" ht="14.45" customHeight="1" x14ac:dyDescent="1.05">
      <c r="A2" s="474"/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184"/>
      <c r="N2" s="184"/>
    </row>
    <row r="3" spans="1:14" ht="14.45" customHeight="1" x14ac:dyDescent="1.05">
      <c r="A3" s="474"/>
      <c r="B3" s="474"/>
      <c r="C3" s="474"/>
      <c r="D3" s="474"/>
      <c r="E3" s="474"/>
      <c r="F3" s="474"/>
      <c r="G3" s="474"/>
      <c r="H3" s="474"/>
      <c r="I3" s="474"/>
      <c r="J3" s="474"/>
      <c r="K3" s="474"/>
      <c r="L3" s="474"/>
      <c r="M3" s="184"/>
      <c r="N3" s="184"/>
    </row>
    <row r="4" spans="1:14" x14ac:dyDescent="0.25">
      <c r="A4" s="474"/>
      <c r="B4" s="474"/>
      <c r="C4" s="474"/>
      <c r="D4" s="474"/>
      <c r="E4" s="474"/>
      <c r="F4" s="474"/>
      <c r="G4" s="474"/>
      <c r="H4" s="474"/>
      <c r="I4" s="474"/>
      <c r="J4" s="474"/>
      <c r="K4" s="474"/>
      <c r="L4" s="474"/>
      <c r="M4" s="51"/>
      <c r="N4" s="51"/>
    </row>
    <row r="5" spans="1:14" x14ac:dyDescent="0.25">
      <c r="A5" s="31" t="s">
        <v>6</v>
      </c>
      <c r="B5" s="50"/>
      <c r="C5" s="50"/>
      <c r="D5" s="50"/>
      <c r="E5" s="50"/>
      <c r="F5" s="50"/>
      <c r="G5" s="50"/>
      <c r="H5" s="50"/>
      <c r="I5" s="51"/>
      <c r="J5" s="51"/>
      <c r="K5" s="51"/>
      <c r="L5" s="51"/>
      <c r="M5" s="51"/>
      <c r="N5" s="51"/>
    </row>
    <row r="6" spans="1:14" x14ac:dyDescent="0.25">
      <c r="A6" s="29" t="s">
        <v>7</v>
      </c>
      <c r="B6" s="32" t="s">
        <v>5</v>
      </c>
      <c r="C6" s="32">
        <f>'NIKE-IS'!H16</f>
        <v>6192.7195260389781</v>
      </c>
      <c r="D6" s="32" t="s">
        <v>5</v>
      </c>
      <c r="E6" s="32" t="s">
        <v>5</v>
      </c>
      <c r="F6" s="32" t="s">
        <v>5</v>
      </c>
      <c r="G6" s="32" t="s">
        <v>5</v>
      </c>
      <c r="H6" s="99" t="s">
        <v>5</v>
      </c>
      <c r="I6" s="99" t="s">
        <v>5</v>
      </c>
      <c r="J6" s="99" t="s">
        <v>5</v>
      </c>
      <c r="K6" s="99" t="s">
        <v>5</v>
      </c>
      <c r="L6" s="368">
        <v>12</v>
      </c>
      <c r="M6" s="33"/>
      <c r="N6" s="33"/>
    </row>
    <row r="7" spans="1:14" x14ac:dyDescent="0.25">
      <c r="A7" s="34"/>
      <c r="B7" s="35">
        <v>43616</v>
      </c>
      <c r="C7" s="35">
        <v>43982</v>
      </c>
      <c r="D7" s="35">
        <v>44347</v>
      </c>
      <c r="E7" s="35">
        <v>44712</v>
      </c>
      <c r="F7" s="35">
        <v>45077</v>
      </c>
      <c r="G7" s="84">
        <v>45443</v>
      </c>
      <c r="H7" s="100">
        <v>45808</v>
      </c>
      <c r="I7" s="100">
        <v>46173</v>
      </c>
      <c r="J7" s="100">
        <v>46538</v>
      </c>
      <c r="K7" s="100">
        <v>46904</v>
      </c>
      <c r="L7" s="369">
        <v>47269</v>
      </c>
      <c r="M7" s="36"/>
      <c r="N7" s="36"/>
    </row>
    <row r="8" spans="1:14" x14ac:dyDescent="0.25">
      <c r="L8" s="129"/>
    </row>
    <row r="9" spans="1:14" s="4" customFormat="1" x14ac:dyDescent="0.25">
      <c r="A9" s="3" t="s">
        <v>23</v>
      </c>
      <c r="B9" s="12">
        <f>'Revenue Segments'!D30</f>
        <v>39117</v>
      </c>
      <c r="C9" s="12">
        <f>'Revenue Segments'!E30</f>
        <v>37403</v>
      </c>
      <c r="D9" s="12">
        <f>'Revenue Segments'!F30</f>
        <v>44538</v>
      </c>
      <c r="E9" s="12">
        <f>'Revenue Segments'!G30</f>
        <v>46710</v>
      </c>
      <c r="F9" s="12">
        <f>'Revenue Segments'!H30</f>
        <v>51217</v>
      </c>
      <c r="G9" s="12">
        <f>'Revenue Segments'!I30</f>
        <v>51362</v>
      </c>
      <c r="H9" s="12">
        <f>'Revenue Segments'!J30</f>
        <v>50056.0198064902</v>
      </c>
      <c r="I9" s="12">
        <f>'Revenue Segments'!K30</f>
        <v>48816.171266634548</v>
      </c>
      <c r="J9" s="12">
        <f>'Revenue Segments'!L30</f>
        <v>47922.184717876371</v>
      </c>
      <c r="K9" s="12">
        <f>'Revenue Segments'!M30</f>
        <v>47105.39880605325</v>
      </c>
      <c r="L9" s="370">
        <f>'Revenue Segments'!N30</f>
        <v>46593.674039836558</v>
      </c>
    </row>
    <row r="10" spans="1:14" s="17" customFormat="1" x14ac:dyDescent="0.25">
      <c r="A10" s="2" t="s">
        <v>70</v>
      </c>
      <c r="B10">
        <v>21643</v>
      </c>
      <c r="C10">
        <v>21162</v>
      </c>
      <c r="D10">
        <v>24576</v>
      </c>
      <c r="E10">
        <v>25231</v>
      </c>
      <c r="F10">
        <v>28925</v>
      </c>
      <c r="G10">
        <v>28475</v>
      </c>
      <c r="H10" s="101">
        <f>H$27*H9</f>
        <v>27782.639379761655</v>
      </c>
      <c r="I10" s="101">
        <f>I$27*I9</f>
        <v>27094.485087800404</v>
      </c>
      <c r="J10" s="101">
        <f>J$27*J9</f>
        <v>26598.294899476925</v>
      </c>
      <c r="K10" s="101">
        <f>K$27*K9</f>
        <v>26144.953452706333</v>
      </c>
      <c r="L10" s="371">
        <f>L$27*L9</f>
        <v>25860.930378229925</v>
      </c>
    </row>
    <row r="11" spans="1:14" s="4" customFormat="1" x14ac:dyDescent="0.25">
      <c r="A11" s="465" t="s">
        <v>71</v>
      </c>
      <c r="B11" s="459">
        <f>B9-B10</f>
        <v>17474</v>
      </c>
      <c r="C11" s="459">
        <f t="shared" ref="C11:L11" si="0">C9-C10</f>
        <v>16241</v>
      </c>
      <c r="D11" s="459">
        <f t="shared" si="0"/>
        <v>19962</v>
      </c>
      <c r="E11" s="459">
        <f t="shared" si="0"/>
        <v>21479</v>
      </c>
      <c r="F11" s="459">
        <f t="shared" si="0"/>
        <v>22292</v>
      </c>
      <c r="G11" s="459">
        <f t="shared" si="0"/>
        <v>22887</v>
      </c>
      <c r="H11" s="460">
        <f t="shared" si="0"/>
        <v>22273.380426728545</v>
      </c>
      <c r="I11" s="460">
        <f t="shared" si="0"/>
        <v>21721.686178834145</v>
      </c>
      <c r="J11" s="460">
        <f t="shared" si="0"/>
        <v>21323.889818399446</v>
      </c>
      <c r="K11" s="460">
        <f t="shared" si="0"/>
        <v>20960.445353346917</v>
      </c>
      <c r="L11" s="461">
        <f t="shared" si="0"/>
        <v>20732.743661606633</v>
      </c>
    </row>
    <row r="12" spans="1:14" s="18" customFormat="1" x14ac:dyDescent="0.25">
      <c r="A12" s="76" t="s">
        <v>72</v>
      </c>
      <c r="B12">
        <v>3753</v>
      </c>
      <c r="C12">
        <v>3592</v>
      </c>
      <c r="D12">
        <v>3114</v>
      </c>
      <c r="E12">
        <v>3850</v>
      </c>
      <c r="F12">
        <v>4060</v>
      </c>
      <c r="G12">
        <v>4285</v>
      </c>
      <c r="H12" s="101">
        <f>H9*H28</f>
        <v>4229.8779688324221</v>
      </c>
      <c r="I12" s="101">
        <f>I9*I28</f>
        <v>4125.10719313554</v>
      </c>
      <c r="J12" s="101">
        <f>J9*J28</f>
        <v>4049.5627526937446</v>
      </c>
      <c r="K12" s="101">
        <f>K9*K28</f>
        <v>3980.5419886172253</v>
      </c>
      <c r="L12" s="371">
        <f>L9*L28</f>
        <v>3937.2997707362656</v>
      </c>
    </row>
    <row r="13" spans="1:14" s="4" customFormat="1" x14ac:dyDescent="0.25">
      <c r="A13" s="2" t="s">
        <v>73</v>
      </c>
      <c r="B13">
        <v>8949</v>
      </c>
      <c r="C13">
        <v>9534</v>
      </c>
      <c r="D13">
        <v>9911</v>
      </c>
      <c r="E13">
        <v>10954</v>
      </c>
      <c r="F13">
        <v>12317</v>
      </c>
      <c r="G13">
        <v>12291</v>
      </c>
      <c r="H13" s="101">
        <f>H9*H29</f>
        <v>11850.782931857146</v>
      </c>
      <c r="I13" s="101">
        <f>I9*I29</f>
        <v>11557.24828865117</v>
      </c>
      <c r="J13" s="101">
        <f>J9*J29</f>
        <v>11345.596611704221</v>
      </c>
      <c r="K13" s="101">
        <f>K9*K29</f>
        <v>11152.22221677161</v>
      </c>
      <c r="L13" s="371">
        <f>L9*L29</f>
        <v>11031.071171428148</v>
      </c>
    </row>
    <row r="14" spans="1:14" s="4" customFormat="1" x14ac:dyDescent="0.25">
      <c r="A14" s="347" t="s">
        <v>74</v>
      </c>
      <c r="B14">
        <f t="shared" ref="B14:L14" si="1">B12+B13</f>
        <v>12702</v>
      </c>
      <c r="C14">
        <f t="shared" si="1"/>
        <v>13126</v>
      </c>
      <c r="D14">
        <f t="shared" si="1"/>
        <v>13025</v>
      </c>
      <c r="E14">
        <f t="shared" si="1"/>
        <v>14804</v>
      </c>
      <c r="F14">
        <f t="shared" si="1"/>
        <v>16377</v>
      </c>
      <c r="G14">
        <f t="shared" si="1"/>
        <v>16576</v>
      </c>
      <c r="H14" s="101">
        <f t="shared" si="1"/>
        <v>16080.660900689567</v>
      </c>
      <c r="I14" s="101">
        <f t="shared" si="1"/>
        <v>15682.35548178671</v>
      </c>
      <c r="J14" s="101">
        <f t="shared" si="1"/>
        <v>15395.159364397965</v>
      </c>
      <c r="K14" s="101">
        <f t="shared" si="1"/>
        <v>15132.764205388836</v>
      </c>
      <c r="L14" s="371">
        <f t="shared" si="1"/>
        <v>14968.370942164413</v>
      </c>
    </row>
    <row r="15" spans="1:14" x14ac:dyDescent="0.25">
      <c r="A15" s="454" t="s">
        <v>548</v>
      </c>
      <c r="B15" s="20">
        <f>'Fixed Assets Schedule'!B12+'Fixed Assets Schedule'!B32</f>
        <v>720</v>
      </c>
      <c r="C15" s="20">
        <f>'Fixed Assets Schedule'!C12+'Fixed Assets Schedule'!C32</f>
        <v>1119</v>
      </c>
      <c r="D15" s="20">
        <f>'Fixed Assets Schedule'!D12+'Fixed Assets Schedule'!D32</f>
        <v>797</v>
      </c>
      <c r="E15" s="20">
        <f>'Fixed Assets Schedule'!E12+'Fixed Assets Schedule'!E32</f>
        <v>840</v>
      </c>
      <c r="F15" s="20">
        <f>'Fixed Assets Schedule'!F12+'Fixed Assets Schedule'!F32</f>
        <v>859</v>
      </c>
      <c r="G15" s="20">
        <f>'Fixed Assets Schedule'!G12+'Fixed Assets Schedule'!G32</f>
        <v>844</v>
      </c>
      <c r="H15" s="458">
        <f>'Fixed Assets Schedule'!H12+'Fixed Assets Schedule'!H32</f>
        <v>883.56927075078988</v>
      </c>
      <c r="I15" s="458">
        <f>'Fixed Assets Schedule'!I12+'Fixed Assets Schedule'!I32</f>
        <v>844.87318621628242</v>
      </c>
      <c r="J15" s="458">
        <f>'Fixed Assets Schedule'!J12+'Fixed Assets Schedule'!J32</f>
        <v>817.35645098983753</v>
      </c>
      <c r="K15" s="458">
        <f>'Fixed Assets Schedule'!K12+'Fixed Assets Schedule'!K32</f>
        <v>792.34495882842737</v>
      </c>
      <c r="L15" s="372">
        <f>'Fixed Assets Schedule'!L12+'Fixed Assets Schedule'!L32</f>
        <v>776.32328904397548</v>
      </c>
    </row>
    <row r="16" spans="1:14" s="4" customFormat="1" x14ac:dyDescent="0.25">
      <c r="A16" s="453" t="s">
        <v>380</v>
      </c>
      <c r="B16" s="455">
        <f t="shared" ref="B16:L16" si="2">B11-B14</f>
        <v>4772</v>
      </c>
      <c r="C16" s="455">
        <f t="shared" si="2"/>
        <v>3115</v>
      </c>
      <c r="D16" s="455">
        <f t="shared" si="2"/>
        <v>6937</v>
      </c>
      <c r="E16" s="455">
        <f t="shared" si="2"/>
        <v>6675</v>
      </c>
      <c r="F16" s="455">
        <f t="shared" si="2"/>
        <v>5915</v>
      </c>
      <c r="G16" s="455">
        <f t="shared" si="2"/>
        <v>6311</v>
      </c>
      <c r="H16" s="456">
        <f t="shared" si="2"/>
        <v>6192.7195260389781</v>
      </c>
      <c r="I16" s="456">
        <f t="shared" si="2"/>
        <v>6039.330697047435</v>
      </c>
      <c r="J16" s="456">
        <f t="shared" si="2"/>
        <v>5928.7304540014811</v>
      </c>
      <c r="K16" s="456">
        <f t="shared" si="2"/>
        <v>5827.6811479580811</v>
      </c>
      <c r="L16" s="457">
        <f t="shared" si="2"/>
        <v>5764.3727194422208</v>
      </c>
    </row>
    <row r="17" spans="1:16" s="4" customFormat="1" x14ac:dyDescent="0.25">
      <c r="A17" s="2" t="s">
        <v>50</v>
      </c>
      <c r="B17">
        <v>49</v>
      </c>
      <c r="C17">
        <v>89</v>
      </c>
      <c r="D17">
        <v>262</v>
      </c>
      <c r="E17">
        <v>205</v>
      </c>
      <c r="F17">
        <v>-6</v>
      </c>
      <c r="G17">
        <v>-161</v>
      </c>
      <c r="H17" s="103">
        <f>'Debt Schedule'!C14</f>
        <v>270.60480000000001</v>
      </c>
      <c r="I17" s="103">
        <f>'Debt Schedule'!D14</f>
        <v>246.62879999999998</v>
      </c>
      <c r="J17" s="103">
        <f>'Debt Schedule'!E14</f>
        <v>246.62879999999998</v>
      </c>
      <c r="K17" s="103">
        <f>'Debt Schedule'!F14</f>
        <v>195.4314</v>
      </c>
      <c r="L17" s="373">
        <f>'Debt Schedule'!G14</f>
        <v>195.4314</v>
      </c>
    </row>
    <row r="18" spans="1:16" s="4" customFormat="1" x14ac:dyDescent="0.25">
      <c r="A18" s="2" t="s">
        <v>75</v>
      </c>
      <c r="B18">
        <v>-78</v>
      </c>
      <c r="C18">
        <v>139</v>
      </c>
      <c r="D18">
        <v>14</v>
      </c>
      <c r="E18">
        <v>-181</v>
      </c>
      <c r="F18">
        <v>-280</v>
      </c>
      <c r="G18">
        <v>-228</v>
      </c>
      <c r="H18" s="17">
        <v>0</v>
      </c>
      <c r="I18" s="17">
        <v>0</v>
      </c>
      <c r="J18" s="17">
        <v>0</v>
      </c>
      <c r="K18" s="17">
        <v>0</v>
      </c>
      <c r="L18" s="374">
        <v>0</v>
      </c>
    </row>
    <row r="19" spans="1:16" s="17" customFormat="1" x14ac:dyDescent="0.25">
      <c r="A19" s="2"/>
      <c r="B19"/>
      <c r="C19"/>
      <c r="D19"/>
      <c r="E19"/>
      <c r="F19"/>
      <c r="G19"/>
      <c r="L19" s="374"/>
    </row>
    <row r="20" spans="1:16" s="17" customFormat="1" x14ac:dyDescent="0.25">
      <c r="A20" s="465" t="s">
        <v>528</v>
      </c>
      <c r="B20" s="462">
        <v>4801</v>
      </c>
      <c r="C20" s="462">
        <v>2887</v>
      </c>
      <c r="D20" s="462">
        <v>6661</v>
      </c>
      <c r="E20" s="462">
        <v>6651</v>
      </c>
      <c r="F20" s="462">
        <v>6201</v>
      </c>
      <c r="G20" s="462">
        <v>6700</v>
      </c>
      <c r="H20" s="463">
        <f>H11-H14-H17-H18</f>
        <v>5922.114726038978</v>
      </c>
      <c r="I20" s="463">
        <f>I11-I14-I17-I18</f>
        <v>5792.7018970474346</v>
      </c>
      <c r="J20" s="463">
        <f>J11-J14-J17-J18</f>
        <v>5682.1016540014807</v>
      </c>
      <c r="K20" s="463">
        <f>K11-K14-K17-K18</f>
        <v>5632.2497479580807</v>
      </c>
      <c r="L20" s="464">
        <f>L11-L14-L17-L18</f>
        <v>5568.9413194422204</v>
      </c>
    </row>
    <row r="21" spans="1:16" s="17" customFormat="1" x14ac:dyDescent="0.25">
      <c r="A21" s="76" t="s">
        <v>76</v>
      </c>
      <c r="B21">
        <v>772</v>
      </c>
      <c r="C21">
        <v>348</v>
      </c>
      <c r="D21">
        <v>934</v>
      </c>
      <c r="E21">
        <v>605</v>
      </c>
      <c r="F21">
        <v>1131</v>
      </c>
      <c r="G21">
        <v>1000</v>
      </c>
      <c r="H21" s="101">
        <f>H20*H30</f>
        <v>833.20877911925731</v>
      </c>
      <c r="I21" s="101">
        <f t="shared" ref="I21:L21" si="3">I20*I30</f>
        <v>815.0011100289737</v>
      </c>
      <c r="J21" s="101">
        <f t="shared" si="3"/>
        <v>799.44026770462233</v>
      </c>
      <c r="K21" s="101">
        <f t="shared" si="3"/>
        <v>792.42638031933495</v>
      </c>
      <c r="L21" s="371">
        <f t="shared" si="3"/>
        <v>783.51923466750793</v>
      </c>
    </row>
    <row r="22" spans="1:16" s="4" customFormat="1" x14ac:dyDescent="0.25">
      <c r="A22" s="76"/>
      <c r="B22"/>
      <c r="C22"/>
      <c r="D22"/>
      <c r="E22"/>
      <c r="F22"/>
      <c r="G22"/>
      <c r="H22" s="101"/>
      <c r="I22" s="101"/>
      <c r="J22" s="101"/>
      <c r="K22" s="101"/>
      <c r="L22" s="371"/>
    </row>
    <row r="23" spans="1:16" x14ac:dyDescent="0.25">
      <c r="A23" s="104" t="s">
        <v>32</v>
      </c>
      <c r="B23" s="78">
        <f>B20-B21</f>
        <v>4029</v>
      </c>
      <c r="C23" s="78">
        <f t="shared" ref="C23:G23" si="4">C20-C21</f>
        <v>2539</v>
      </c>
      <c r="D23" s="78">
        <f t="shared" si="4"/>
        <v>5727</v>
      </c>
      <c r="E23" s="78">
        <f t="shared" si="4"/>
        <v>6046</v>
      </c>
      <c r="F23" s="78">
        <f t="shared" si="4"/>
        <v>5070</v>
      </c>
      <c r="G23" s="78">
        <f t="shared" si="4"/>
        <v>5700</v>
      </c>
      <c r="H23" s="79">
        <f>H20-H21-H15</f>
        <v>4205.3366761689313</v>
      </c>
      <c r="I23" s="79">
        <f>I20-I21-I15</f>
        <v>4132.8276008021785</v>
      </c>
      <c r="J23" s="79">
        <f>J20-J21-J15</f>
        <v>4065.3049353070214</v>
      </c>
      <c r="K23" s="79">
        <f>K20-K21-K15</f>
        <v>4047.4784088103179</v>
      </c>
      <c r="L23" s="375">
        <f>L20-L21-L15</f>
        <v>4009.0987957307375</v>
      </c>
      <c r="M23" s="8">
        <f>'Fixed Assets Schedule'!M9+'Fixed Assets Schedule'!M29</f>
        <v>0</v>
      </c>
    </row>
    <row r="25" spans="1:16" x14ac:dyDescent="0.25">
      <c r="A25" t="s">
        <v>544</v>
      </c>
    </row>
    <row r="26" spans="1:16" x14ac:dyDescent="0.25">
      <c r="A26" s="111" t="s">
        <v>77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3"/>
    </row>
    <row r="27" spans="1:16" s="17" customFormat="1" x14ac:dyDescent="0.25">
      <c r="A27" s="105" t="s">
        <v>78</v>
      </c>
      <c r="B27" s="106">
        <f t="shared" ref="B27:G27" si="5">B10/B$9</f>
        <v>0.55328885139453432</v>
      </c>
      <c r="C27" s="106">
        <f t="shared" si="5"/>
        <v>0.5657834933026763</v>
      </c>
      <c r="D27" s="106">
        <f t="shared" si="5"/>
        <v>0.55179846423279</v>
      </c>
      <c r="E27" s="106">
        <f t="shared" si="5"/>
        <v>0.54016270605865979</v>
      </c>
      <c r="F27" s="106">
        <f t="shared" si="5"/>
        <v>0.56475389030985801</v>
      </c>
      <c r="G27" s="106">
        <f t="shared" si="5"/>
        <v>0.55439819321677508</v>
      </c>
      <c r="H27" s="106">
        <f>AVERAGE(B27:G27)</f>
        <v>0.55503093308588214</v>
      </c>
      <c r="I27" s="106">
        <f>AVERAGE(B27:H27)</f>
        <v>0.55503093308588214</v>
      </c>
      <c r="J27" s="106">
        <f>AVERAGE(B27:I27)</f>
        <v>0.55503093308588214</v>
      </c>
      <c r="K27" s="106">
        <f>AVERAGE(B27:J27)</f>
        <v>0.55503093308588214</v>
      </c>
      <c r="L27" s="107">
        <f>AVERAGE(B27:K27)</f>
        <v>0.55503093308588203</v>
      </c>
      <c r="M27"/>
      <c r="N27"/>
      <c r="O27"/>
      <c r="P27"/>
    </row>
    <row r="28" spans="1:16" s="17" customFormat="1" x14ac:dyDescent="0.25">
      <c r="A28" s="105" t="s">
        <v>79</v>
      </c>
      <c r="B28" s="106">
        <f t="shared" ref="B28:G29" si="6">B12/B$9</f>
        <v>9.5942940409540614E-2</v>
      </c>
      <c r="C28" s="106">
        <f t="shared" si="6"/>
        <v>9.6035077400208543E-2</v>
      </c>
      <c r="D28" s="106">
        <f t="shared" si="6"/>
        <v>6.9917822982621586E-2</v>
      </c>
      <c r="E28" s="106">
        <f t="shared" si="6"/>
        <v>8.2423463926354093E-2</v>
      </c>
      <c r="F28" s="106">
        <f t="shared" si="6"/>
        <v>7.9270554698635212E-2</v>
      </c>
      <c r="G28" s="106">
        <f t="shared" si="6"/>
        <v>8.3427436626299603E-2</v>
      </c>
      <c r="H28" s="106">
        <f>AVERAGE($B28:$G28)</f>
        <v>8.4502882673943278E-2</v>
      </c>
      <c r="I28" s="106">
        <f t="shared" ref="I28:L30" si="7">AVERAGE($B28:$G28)</f>
        <v>8.4502882673943278E-2</v>
      </c>
      <c r="J28" s="106">
        <f t="shared" si="7"/>
        <v>8.4502882673943278E-2</v>
      </c>
      <c r="K28" s="106">
        <f t="shared" si="7"/>
        <v>8.4502882673943278E-2</v>
      </c>
      <c r="L28" s="107">
        <f t="shared" si="7"/>
        <v>8.4502882673943278E-2</v>
      </c>
      <c r="M28"/>
      <c r="N28"/>
      <c r="O28"/>
      <c r="P28"/>
    </row>
    <row r="29" spans="1:16" x14ac:dyDescent="0.25">
      <c r="A29" s="105" t="s">
        <v>80</v>
      </c>
      <c r="B29" s="106">
        <f t="shared" si="6"/>
        <v>0.22877521282306926</v>
      </c>
      <c r="C29" s="106">
        <f t="shared" si="6"/>
        <v>0.25489933962516376</v>
      </c>
      <c r="D29" s="106">
        <f t="shared" si="6"/>
        <v>0.22252907629440027</v>
      </c>
      <c r="E29" s="106">
        <f t="shared" si="6"/>
        <v>0.23451081138942412</v>
      </c>
      <c r="F29" s="106">
        <f t="shared" si="6"/>
        <v>0.24048655719780543</v>
      </c>
      <c r="G29" s="106">
        <f t="shared" si="6"/>
        <v>0.23930142907207663</v>
      </c>
      <c r="H29" s="106">
        <f>AVERAGE($B29:$G29)</f>
        <v>0.23675040440032324</v>
      </c>
      <c r="I29" s="106">
        <f t="shared" si="7"/>
        <v>0.23675040440032324</v>
      </c>
      <c r="J29" s="106">
        <f t="shared" si="7"/>
        <v>0.23675040440032324</v>
      </c>
      <c r="K29" s="106">
        <f t="shared" si="7"/>
        <v>0.23675040440032324</v>
      </c>
      <c r="L29" s="107">
        <f t="shared" si="7"/>
        <v>0.23675040440032324</v>
      </c>
    </row>
    <row r="30" spans="1:16" x14ac:dyDescent="0.25">
      <c r="A30" s="108" t="s">
        <v>81</v>
      </c>
      <c r="B30" s="109">
        <f>B21/B20</f>
        <v>0.16079983336804832</v>
      </c>
      <c r="C30" s="109">
        <f t="shared" ref="C30:G30" si="8">C21/C20</f>
        <v>0.12054035330793211</v>
      </c>
      <c r="D30" s="109">
        <f t="shared" si="8"/>
        <v>0.14021918630836211</v>
      </c>
      <c r="E30" s="109">
        <f t="shared" si="8"/>
        <v>9.0963764847391368E-2</v>
      </c>
      <c r="F30" s="109">
        <f t="shared" si="8"/>
        <v>0.18238993710691823</v>
      </c>
      <c r="G30" s="109">
        <f t="shared" si="8"/>
        <v>0.14925373134328357</v>
      </c>
      <c r="H30" s="109">
        <f>AVERAGE($B30:$G30)</f>
        <v>0.14069446771365593</v>
      </c>
      <c r="I30" s="109">
        <f t="shared" si="7"/>
        <v>0.14069446771365593</v>
      </c>
      <c r="J30" s="109">
        <f t="shared" si="7"/>
        <v>0.14069446771365593</v>
      </c>
      <c r="K30" s="109">
        <f t="shared" si="7"/>
        <v>0.14069446771365593</v>
      </c>
      <c r="L30" s="110">
        <f t="shared" si="7"/>
        <v>0.14069446771365593</v>
      </c>
    </row>
    <row r="31" spans="1:1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9" x14ac:dyDescent="0.25">
      <c r="A33" s="111" t="s">
        <v>164</v>
      </c>
      <c r="B33" s="112"/>
      <c r="C33" s="114">
        <v>0.59699999999999998</v>
      </c>
      <c r="D33" s="114">
        <v>0.30099999999999999</v>
      </c>
      <c r="E33" s="114">
        <v>0.317</v>
      </c>
      <c r="F33" s="115">
        <v>0.41</v>
      </c>
      <c r="G33" s="114">
        <v>0.38900000000000001</v>
      </c>
      <c r="H33" s="466">
        <f>AVERAGE(C33:G33)</f>
        <v>0.40279999999999994</v>
      </c>
    </row>
    <row r="47" spans="1:19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s="341"/>
    </row>
    <row r="49" spans="1:19" x14ac:dyDescent="0.25">
      <c r="A49" s="341"/>
      <c r="B49" s="20"/>
      <c r="C49" s="20"/>
      <c r="D49" s="20"/>
      <c r="E49" s="20"/>
      <c r="F49" s="20"/>
      <c r="G49" s="20"/>
    </row>
    <row r="50" spans="1:19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3" spans="1:19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9" spans="1:19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3" spans="1:19" x14ac:dyDescent="0.25">
      <c r="Q63" s="7"/>
      <c r="R63" s="7"/>
      <c r="S63" s="7"/>
    </row>
    <row r="65" spans="1:16" s="19" customFormat="1" ht="32.450000000000003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97" spans="2:5" x14ac:dyDescent="0.25">
      <c r="B97" s="23"/>
      <c r="C97" s="23"/>
      <c r="D97" s="23"/>
      <c r="E97" s="23"/>
    </row>
    <row r="99" spans="2:5" x14ac:dyDescent="0.25">
      <c r="B99" s="6"/>
      <c r="C99" s="6"/>
      <c r="D99" s="6"/>
    </row>
    <row r="100" spans="2:5" x14ac:dyDescent="0.25">
      <c r="B100" s="6"/>
      <c r="C100" s="6"/>
      <c r="D100" s="6"/>
    </row>
    <row r="101" spans="2:5" x14ac:dyDescent="0.25">
      <c r="B101" s="6"/>
      <c r="C101" s="6"/>
      <c r="D101" s="6"/>
    </row>
  </sheetData>
  <mergeCells count="1">
    <mergeCell ref="A1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showGridLines="0" topLeftCell="A2" zoomScale="80" workbookViewId="0">
      <selection activeCell="F30" sqref="F30"/>
    </sheetView>
  </sheetViews>
  <sheetFormatPr defaultRowHeight="15" x14ac:dyDescent="0.25"/>
  <cols>
    <col min="1" max="1" width="36.85546875" customWidth="1"/>
    <col min="2" max="2" width="17.42578125" customWidth="1"/>
    <col min="3" max="6" width="12.140625" customWidth="1"/>
    <col min="7" max="7" width="15.42578125" customWidth="1"/>
    <col min="8" max="8" width="11.5703125" customWidth="1"/>
    <col min="9" max="9" width="17.140625" customWidth="1"/>
    <col min="10" max="15" width="12.140625" customWidth="1"/>
  </cols>
  <sheetData>
    <row r="1" spans="1:7" x14ac:dyDescent="0.25">
      <c r="A1" s="475" t="s">
        <v>165</v>
      </c>
      <c r="B1" s="475"/>
      <c r="C1" s="475"/>
      <c r="D1" s="475"/>
      <c r="E1" s="475"/>
      <c r="F1" s="475"/>
      <c r="G1" s="475"/>
    </row>
    <row r="2" spans="1:7" ht="46.15" customHeight="1" x14ac:dyDescent="0.25">
      <c r="A2" s="475"/>
      <c r="B2" s="475"/>
      <c r="C2" s="475"/>
      <c r="D2" s="475"/>
      <c r="E2" s="475"/>
      <c r="F2" s="475"/>
      <c r="G2" s="475"/>
    </row>
    <row r="3" spans="1:7" x14ac:dyDescent="0.25">
      <c r="A3" s="11" t="s">
        <v>6</v>
      </c>
    </row>
    <row r="4" spans="1:7" x14ac:dyDescent="0.25">
      <c r="A4" s="122" t="s">
        <v>30</v>
      </c>
      <c r="B4" s="386">
        <v>12</v>
      </c>
      <c r="C4" s="123">
        <v>12</v>
      </c>
      <c r="D4" s="123">
        <v>12</v>
      </c>
      <c r="E4" s="123">
        <v>12</v>
      </c>
      <c r="F4" s="123">
        <v>12</v>
      </c>
      <c r="G4" s="124">
        <v>12</v>
      </c>
    </row>
    <row r="5" spans="1:7" x14ac:dyDescent="0.25">
      <c r="A5" s="125"/>
      <c r="B5" s="387">
        <v>45443</v>
      </c>
      <c r="C5" s="117">
        <v>45808</v>
      </c>
      <c r="D5" s="117">
        <v>46173</v>
      </c>
      <c r="E5" s="117">
        <v>46538</v>
      </c>
      <c r="F5" s="117">
        <v>46904</v>
      </c>
      <c r="G5" s="126">
        <v>47269</v>
      </c>
    </row>
    <row r="6" spans="1:7" x14ac:dyDescent="0.25">
      <c r="A6" s="127" t="s">
        <v>52</v>
      </c>
      <c r="B6" s="4"/>
      <c r="C6" s="4">
        <f>'NIKE - BS'!G28+'NIKE - BS'!G37</f>
        <v>8903</v>
      </c>
      <c r="D6" s="4">
        <f t="shared" ref="D6:G6" si="0">C9</f>
        <v>7903</v>
      </c>
      <c r="E6" s="4">
        <f t="shared" si="0"/>
        <v>7903</v>
      </c>
      <c r="F6" s="4">
        <f t="shared" si="0"/>
        <v>5903</v>
      </c>
      <c r="G6" s="128">
        <f t="shared" si="0"/>
        <v>5903</v>
      </c>
    </row>
    <row r="7" spans="1:7" x14ac:dyDescent="0.25">
      <c r="A7" s="105" t="s">
        <v>41</v>
      </c>
      <c r="G7" s="129"/>
    </row>
    <row r="8" spans="1:7" x14ac:dyDescent="0.25">
      <c r="A8" s="105" t="s">
        <v>42</v>
      </c>
      <c r="C8">
        <v>1000</v>
      </c>
      <c r="D8">
        <v>0</v>
      </c>
      <c r="E8">
        <v>2000</v>
      </c>
      <c r="F8">
        <v>0</v>
      </c>
      <c r="G8" s="129">
        <v>0</v>
      </c>
    </row>
    <row r="9" spans="1:7" x14ac:dyDescent="0.25">
      <c r="A9" s="118" t="s">
        <v>54</v>
      </c>
      <c r="B9" s="78"/>
      <c r="C9" s="78">
        <f t="shared" ref="C9:G9" si="1">C6-C8</f>
        <v>7903</v>
      </c>
      <c r="D9" s="78">
        <f t="shared" si="1"/>
        <v>7903</v>
      </c>
      <c r="E9" s="78">
        <f t="shared" si="1"/>
        <v>5903</v>
      </c>
      <c r="F9" s="78">
        <f t="shared" si="1"/>
        <v>5903</v>
      </c>
      <c r="G9" s="119">
        <f t="shared" si="1"/>
        <v>5903</v>
      </c>
    </row>
    <row r="10" spans="1:7" x14ac:dyDescent="0.25">
      <c r="A10" s="105"/>
      <c r="G10" s="129"/>
    </row>
    <row r="11" spans="1:7" x14ac:dyDescent="0.25">
      <c r="A11" s="105" t="s">
        <v>55</v>
      </c>
      <c r="C11">
        <f>C8</f>
        <v>1000</v>
      </c>
      <c r="D11">
        <f t="shared" ref="D11:G11" si="2">D8</f>
        <v>0</v>
      </c>
      <c r="E11">
        <f t="shared" si="2"/>
        <v>2000</v>
      </c>
      <c r="F11">
        <f t="shared" si="2"/>
        <v>0</v>
      </c>
      <c r="G11" s="129">
        <f t="shared" si="2"/>
        <v>0</v>
      </c>
    </row>
    <row r="12" spans="1:7" x14ac:dyDescent="0.25">
      <c r="A12" s="105" t="s">
        <v>56</v>
      </c>
      <c r="C12">
        <f>C9-C11</f>
        <v>6903</v>
      </c>
      <c r="D12">
        <f t="shared" ref="D12:F12" si="3">D9-D11</f>
        <v>7903</v>
      </c>
      <c r="E12">
        <f t="shared" si="3"/>
        <v>3903</v>
      </c>
      <c r="F12">
        <f t="shared" si="3"/>
        <v>5903</v>
      </c>
      <c r="G12" s="129">
        <f t="shared" ref="G12" si="4">G9-G11</f>
        <v>5903</v>
      </c>
    </row>
    <row r="13" spans="1:7" x14ac:dyDescent="0.25">
      <c r="A13" s="105"/>
      <c r="G13" s="129"/>
    </row>
    <row r="14" spans="1:7" x14ac:dyDescent="0.25">
      <c r="A14" s="111" t="s">
        <v>57</v>
      </c>
      <c r="B14" s="120">
        <v>240</v>
      </c>
      <c r="C14" s="120">
        <f>SUM(J19:J26)</f>
        <v>270.60480000000001</v>
      </c>
      <c r="D14" s="120">
        <f>SUM(J20:J26)</f>
        <v>246.62879999999998</v>
      </c>
      <c r="E14" s="120">
        <f>SUM(J20:J26)</f>
        <v>246.62879999999998</v>
      </c>
      <c r="F14" s="120">
        <f>SUM(J22:J26)</f>
        <v>195.4314</v>
      </c>
      <c r="G14" s="121">
        <f>SUM(J22:J26)</f>
        <v>195.4314</v>
      </c>
    </row>
    <row r="15" spans="1:7" ht="14.45" customHeight="1" x14ac:dyDescent="0.25">
      <c r="A15" s="13"/>
      <c r="B15" s="39"/>
      <c r="C15" s="39"/>
      <c r="D15" s="39"/>
      <c r="E15" s="39"/>
      <c r="F15" s="39"/>
    </row>
    <row r="16" spans="1:7" x14ac:dyDescent="0.25">
      <c r="A16" s="24"/>
      <c r="B16" s="13"/>
      <c r="C16" s="476"/>
      <c r="D16" s="476"/>
      <c r="E16" s="479"/>
      <c r="F16" s="479"/>
      <c r="G16" s="476"/>
    </row>
    <row r="17" spans="1:10" x14ac:dyDescent="0.25">
      <c r="A17" s="13"/>
      <c r="B17" s="57"/>
      <c r="C17" s="477"/>
      <c r="D17" s="477"/>
      <c r="E17" s="56"/>
      <c r="F17" s="56"/>
      <c r="G17" s="477"/>
    </row>
    <row r="18" spans="1:10" x14ac:dyDescent="0.25">
      <c r="A18" s="13"/>
      <c r="B18" s="130" t="s">
        <v>118</v>
      </c>
      <c r="C18" s="130" t="s">
        <v>119</v>
      </c>
      <c r="D18" s="130" t="s">
        <v>120</v>
      </c>
      <c r="E18" s="130" t="s">
        <v>121</v>
      </c>
      <c r="G18" s="130" t="s">
        <v>131</v>
      </c>
      <c r="H18" s="130" t="s">
        <v>132</v>
      </c>
      <c r="I18" s="130" t="s">
        <v>134</v>
      </c>
      <c r="J18" s="130" t="s">
        <v>135</v>
      </c>
    </row>
    <row r="19" spans="1:10" x14ac:dyDescent="0.25">
      <c r="B19" s="130" t="s">
        <v>122</v>
      </c>
      <c r="C19" s="130">
        <v>999</v>
      </c>
      <c r="D19" s="131">
        <v>2.4</v>
      </c>
      <c r="E19" s="130">
        <f t="shared" ref="E19:E27" si="5">C19/$C$28</f>
        <v>0.11220936762888914</v>
      </c>
      <c r="G19" s="130">
        <v>2025</v>
      </c>
      <c r="H19" s="130">
        <v>999</v>
      </c>
      <c r="I19" s="136">
        <v>2.4E-2</v>
      </c>
      <c r="J19" s="137">
        <f>H19*I19</f>
        <v>23.975999999999999</v>
      </c>
    </row>
    <row r="20" spans="1:10" x14ac:dyDescent="0.25">
      <c r="B20" s="130" t="s">
        <v>123</v>
      </c>
      <c r="C20" s="130">
        <v>998</v>
      </c>
      <c r="D20" s="130">
        <v>2.38</v>
      </c>
      <c r="E20" s="130">
        <f t="shared" si="5"/>
        <v>0.11209704593957093</v>
      </c>
      <c r="G20" s="130">
        <v>2026</v>
      </c>
      <c r="H20" s="130">
        <v>998</v>
      </c>
      <c r="I20" s="136">
        <v>2.3800000000000002E-2</v>
      </c>
      <c r="J20" s="137">
        <f t="shared" ref="J20:J26" si="6">H20*I20</f>
        <v>23.752400000000002</v>
      </c>
    </row>
    <row r="21" spans="1:10" x14ac:dyDescent="0.25">
      <c r="B21" s="130" t="s">
        <v>124</v>
      </c>
      <c r="C21" s="130">
        <v>998</v>
      </c>
      <c r="D21" s="130">
        <v>2.75</v>
      </c>
      <c r="E21" s="130">
        <f t="shared" si="5"/>
        <v>0.11209704593957093</v>
      </c>
      <c r="G21" s="130">
        <v>2027</v>
      </c>
      <c r="H21" s="130">
        <v>998</v>
      </c>
      <c r="I21" s="136">
        <v>2.75E-2</v>
      </c>
      <c r="J21" s="137">
        <f t="shared" si="6"/>
        <v>27.445</v>
      </c>
    </row>
    <row r="22" spans="1:10" x14ac:dyDescent="0.25">
      <c r="A22" s="61"/>
      <c r="B22" s="130" t="s">
        <v>125</v>
      </c>
      <c r="C22" s="130">
        <v>1494</v>
      </c>
      <c r="D22" s="130">
        <v>2.85</v>
      </c>
      <c r="E22" s="130">
        <f t="shared" si="5"/>
        <v>0.16780860384140178</v>
      </c>
      <c r="G22" s="130">
        <v>2030</v>
      </c>
      <c r="H22" s="130">
        <v>1494</v>
      </c>
      <c r="I22" s="136">
        <v>2.8500000000000001E-2</v>
      </c>
      <c r="J22" s="137">
        <f t="shared" si="6"/>
        <v>42.579000000000001</v>
      </c>
    </row>
    <row r="23" spans="1:10" x14ac:dyDescent="0.25">
      <c r="B23" s="130" t="s">
        <v>126</v>
      </c>
      <c r="C23" s="130">
        <v>966</v>
      </c>
      <c r="D23" s="130">
        <v>3.25</v>
      </c>
      <c r="E23" s="130">
        <f t="shared" si="5"/>
        <v>0.10850275188138829</v>
      </c>
      <c r="G23" s="130">
        <v>2040</v>
      </c>
      <c r="H23" s="130">
        <v>966</v>
      </c>
      <c r="I23" s="136">
        <v>3.2500000000000001E-2</v>
      </c>
      <c r="J23" s="137">
        <f t="shared" si="6"/>
        <v>31.395</v>
      </c>
    </row>
    <row r="24" spans="1:10" x14ac:dyDescent="0.25">
      <c r="B24" s="130" t="s">
        <v>127</v>
      </c>
      <c r="C24" s="130">
        <v>488</v>
      </c>
      <c r="D24" s="130">
        <v>3.63</v>
      </c>
      <c r="E24" s="130">
        <f t="shared" si="5"/>
        <v>5.4812984387285185E-2</v>
      </c>
      <c r="G24" s="130">
        <v>2043</v>
      </c>
      <c r="H24" s="130">
        <v>488</v>
      </c>
      <c r="I24" s="136">
        <v>3.6299999999999999E-2</v>
      </c>
      <c r="J24" s="137">
        <f t="shared" si="6"/>
        <v>17.714399999999998</v>
      </c>
    </row>
    <row r="25" spans="1:10" x14ac:dyDescent="0.25">
      <c r="B25" s="130" t="s">
        <v>128</v>
      </c>
      <c r="C25" s="130">
        <v>986</v>
      </c>
      <c r="D25" s="130">
        <v>3.88</v>
      </c>
      <c r="E25" s="130">
        <f t="shared" si="5"/>
        <v>0.11074918566775244</v>
      </c>
      <c r="G25" s="130">
        <v>2045</v>
      </c>
      <c r="H25" s="130">
        <f>C25+C26</f>
        <v>1478</v>
      </c>
      <c r="I25" s="136">
        <v>3.6299999999999999E-2</v>
      </c>
      <c r="J25" s="137">
        <f t="shared" si="6"/>
        <v>53.651399999999995</v>
      </c>
    </row>
    <row r="26" spans="1:10" x14ac:dyDescent="0.25">
      <c r="B26" s="130" t="s">
        <v>128</v>
      </c>
      <c r="C26" s="130">
        <v>492</v>
      </c>
      <c r="D26" s="130">
        <v>3.38</v>
      </c>
      <c r="E26" s="130">
        <f t="shared" si="5"/>
        <v>5.5262271144558013E-2</v>
      </c>
      <c r="G26" s="130">
        <v>2050</v>
      </c>
      <c r="H26" s="130">
        <v>1482</v>
      </c>
      <c r="I26" s="136">
        <v>3.3799999999999997E-2</v>
      </c>
      <c r="J26" s="137">
        <f t="shared" si="6"/>
        <v>50.091599999999993</v>
      </c>
    </row>
    <row r="27" spans="1:10" x14ac:dyDescent="0.25">
      <c r="B27" s="130" t="s">
        <v>129</v>
      </c>
      <c r="C27" s="130">
        <v>1482</v>
      </c>
      <c r="D27" s="130">
        <v>3.38</v>
      </c>
      <c r="E27" s="130">
        <f t="shared" si="5"/>
        <v>0.16646074356958329</v>
      </c>
      <c r="G27" s="135"/>
      <c r="H27" s="132">
        <f>SUM(H19:H26)</f>
        <v>8903</v>
      </c>
      <c r="I27" s="135"/>
      <c r="J27" s="135"/>
    </row>
    <row r="28" spans="1:10" x14ac:dyDescent="0.25">
      <c r="B28" s="130" t="s">
        <v>130</v>
      </c>
      <c r="C28" s="132">
        <f>SUM(C19:C27)</f>
        <v>8903</v>
      </c>
      <c r="D28" s="130"/>
      <c r="E28" s="130"/>
    </row>
    <row r="29" spans="1:10" ht="30" x14ac:dyDescent="0.25">
      <c r="B29" s="133" t="s">
        <v>133</v>
      </c>
      <c r="C29" s="133">
        <v>1000</v>
      </c>
    </row>
    <row r="30" spans="1:10" x14ac:dyDescent="0.25">
      <c r="B30" s="134"/>
      <c r="C30" s="130">
        <f>C28-C29</f>
        <v>7903</v>
      </c>
    </row>
    <row r="38" spans="1:6" x14ac:dyDescent="0.25">
      <c r="A38" s="59"/>
      <c r="B38" s="478"/>
      <c r="C38" s="478"/>
      <c r="D38" s="478"/>
      <c r="E38" s="478"/>
    </row>
    <row r="40" spans="1:6" x14ac:dyDescent="0.25">
      <c r="A40" s="4"/>
      <c r="B40" s="60"/>
      <c r="C40" s="60"/>
      <c r="D40" s="60"/>
      <c r="E40" s="60"/>
      <c r="F40" s="60"/>
    </row>
    <row r="41" spans="1:6" x14ac:dyDescent="0.25">
      <c r="B41" s="20"/>
    </row>
    <row r="45" spans="1:6" x14ac:dyDescent="0.25">
      <c r="A45" s="4"/>
      <c r="B45" s="60"/>
      <c r="C45" s="60"/>
      <c r="D45" s="60"/>
      <c r="E45" s="60"/>
      <c r="F45" s="60"/>
    </row>
    <row r="46" spans="1:6" x14ac:dyDescent="0.25">
      <c r="A46" s="4"/>
    </row>
    <row r="47" spans="1:6" x14ac:dyDescent="0.25">
      <c r="B47" s="20"/>
    </row>
    <row r="48" spans="1:6" x14ac:dyDescent="0.25">
      <c r="B48" s="20"/>
    </row>
    <row r="49" spans="1:6" x14ac:dyDescent="0.25">
      <c r="C49" s="20"/>
      <c r="D49" s="20"/>
      <c r="E49" s="20"/>
      <c r="F49" s="20"/>
    </row>
    <row r="50" spans="1:6" x14ac:dyDescent="0.25">
      <c r="B50" s="20"/>
      <c r="C50" s="20"/>
      <c r="D50" s="20"/>
      <c r="E50" s="20"/>
      <c r="F50" s="20"/>
    </row>
    <row r="52" spans="1:6" x14ac:dyDescent="0.25">
      <c r="A52" s="4"/>
      <c r="B52" s="60"/>
      <c r="C52" s="60"/>
      <c r="D52" s="60"/>
      <c r="E52" s="60"/>
      <c r="F52" s="60"/>
    </row>
    <row r="53" spans="1:6" x14ac:dyDescent="0.25">
      <c r="B53" s="20"/>
    </row>
    <row r="55" spans="1:6" x14ac:dyDescent="0.25">
      <c r="B55" s="20"/>
    </row>
    <row r="58" spans="1:6" x14ac:dyDescent="0.25">
      <c r="B58" s="8"/>
      <c r="C58" s="8"/>
      <c r="D58" s="8"/>
      <c r="E58" s="8"/>
      <c r="F58" s="8"/>
    </row>
  </sheetData>
  <mergeCells count="7">
    <mergeCell ref="A1:G2"/>
    <mergeCell ref="G16:G17"/>
    <mergeCell ref="B38:C38"/>
    <mergeCell ref="D38:E38"/>
    <mergeCell ref="C16:C17"/>
    <mergeCell ref="E16:F16"/>
    <mergeCell ref="D16:D17"/>
  </mergeCells>
  <phoneticPr fontId="3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showGridLines="0" zoomScale="60" workbookViewId="0">
      <selection activeCell="I42" sqref="I42"/>
    </sheetView>
  </sheetViews>
  <sheetFormatPr defaultColWidth="8.7109375" defaultRowHeight="15" x14ac:dyDescent="0.25"/>
  <cols>
    <col min="1" max="1" width="48.28515625" customWidth="1"/>
    <col min="2" max="4" width="11.28515625" customWidth="1"/>
    <col min="5" max="5" width="11.85546875" customWidth="1"/>
    <col min="6" max="6" width="23.140625" customWidth="1"/>
    <col min="7" max="7" width="18.140625" customWidth="1"/>
    <col min="8" max="8" width="15.5703125" customWidth="1"/>
    <col min="9" max="9" width="21.140625" customWidth="1"/>
    <col min="10" max="12" width="10.28515625" customWidth="1"/>
  </cols>
  <sheetData>
    <row r="1" spans="1:13" x14ac:dyDescent="0.25">
      <c r="A1" s="475" t="s">
        <v>162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</row>
    <row r="2" spans="1:13" x14ac:dyDescent="0.25">
      <c r="A2" s="475"/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</row>
    <row r="3" spans="1:13" x14ac:dyDescent="0.25">
      <c r="A3" s="475"/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</row>
    <row r="4" spans="1:13" x14ac:dyDescent="0.25">
      <c r="A4" s="475"/>
      <c r="B4" s="475"/>
      <c r="C4" s="475"/>
      <c r="D4" s="475"/>
      <c r="E4" s="475"/>
      <c r="F4" s="475"/>
      <c r="G4" s="475"/>
      <c r="H4" s="475"/>
      <c r="I4" s="475"/>
      <c r="J4" s="475"/>
      <c r="K4" s="475"/>
      <c r="L4" s="475"/>
    </row>
    <row r="5" spans="1:13" x14ac:dyDescent="0.25">
      <c r="A5" s="31" t="s">
        <v>6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3" x14ac:dyDescent="0.25">
      <c r="A6" s="138" t="s">
        <v>9</v>
      </c>
      <c r="B6" s="139">
        <v>12</v>
      </c>
      <c r="C6" s="139">
        <v>12</v>
      </c>
      <c r="D6" s="139">
        <v>12</v>
      </c>
      <c r="E6" s="139">
        <v>12</v>
      </c>
      <c r="F6" s="139">
        <v>12</v>
      </c>
      <c r="G6" s="140">
        <v>12</v>
      </c>
      <c r="H6" s="348">
        <v>12</v>
      </c>
      <c r="I6" s="348">
        <v>12</v>
      </c>
      <c r="J6" s="348">
        <v>12</v>
      </c>
      <c r="K6" s="348">
        <v>12</v>
      </c>
      <c r="L6" s="349">
        <v>12</v>
      </c>
    </row>
    <row r="7" spans="1:13" x14ac:dyDescent="0.25">
      <c r="A7" s="141"/>
      <c r="B7" s="35">
        <v>43616</v>
      </c>
      <c r="C7" s="35">
        <v>43982</v>
      </c>
      <c r="D7" s="35">
        <v>44347</v>
      </c>
      <c r="E7" s="35">
        <v>44712</v>
      </c>
      <c r="F7" s="35">
        <v>45077</v>
      </c>
      <c r="G7" s="84">
        <v>45443</v>
      </c>
      <c r="H7" s="117">
        <v>46022</v>
      </c>
      <c r="I7" s="117">
        <v>46387</v>
      </c>
      <c r="J7" s="117">
        <v>46752</v>
      </c>
      <c r="K7" s="117">
        <v>47118</v>
      </c>
      <c r="L7" s="126">
        <v>47483</v>
      </c>
    </row>
    <row r="8" spans="1:13" x14ac:dyDescent="0.25">
      <c r="A8" s="105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3"/>
    </row>
    <row r="9" spans="1:13" x14ac:dyDescent="0.25">
      <c r="A9" s="144" t="s">
        <v>10</v>
      </c>
      <c r="B9" s="70">
        <v>4454</v>
      </c>
      <c r="C9" s="27">
        <f>B13</f>
        <v>4744</v>
      </c>
      <c r="D9" s="27">
        <f t="shared" ref="D9:F9" si="0">C13</f>
        <v>4866</v>
      </c>
      <c r="E9" s="27">
        <f t="shared" si="0"/>
        <v>4904</v>
      </c>
      <c r="F9" s="27">
        <f t="shared" si="0"/>
        <v>4791</v>
      </c>
      <c r="G9" s="142">
        <f>F13</f>
        <v>5081</v>
      </c>
      <c r="H9" s="142">
        <f>G13</f>
        <v>5000</v>
      </c>
      <c r="I9" s="142">
        <f t="shared" ref="I9:L9" si="1">H13</f>
        <v>5449.411129363476</v>
      </c>
      <c r="J9" s="142">
        <f t="shared" si="1"/>
        <v>5313.9376479566481</v>
      </c>
      <c r="K9" s="142">
        <f t="shared" si="1"/>
        <v>5215.722176500205</v>
      </c>
      <c r="L9" s="143">
        <f t="shared" si="1"/>
        <v>5128.4247122989309</v>
      </c>
    </row>
    <row r="10" spans="1:13" x14ac:dyDescent="0.25">
      <c r="A10" s="144" t="s">
        <v>11</v>
      </c>
      <c r="B10" s="27">
        <f>B11-B9</f>
        <v>995</v>
      </c>
      <c r="C10" s="27">
        <f t="shared" ref="C10:G10" si="2">C11-C9</f>
        <v>843</v>
      </c>
      <c r="D10" s="27">
        <f t="shared" si="2"/>
        <v>782</v>
      </c>
      <c r="E10" s="27">
        <f t="shared" si="2"/>
        <v>604</v>
      </c>
      <c r="F10" s="27">
        <f t="shared" si="2"/>
        <v>993</v>
      </c>
      <c r="G10" s="27">
        <f t="shared" si="2"/>
        <v>715</v>
      </c>
      <c r="H10" s="142">
        <f>H11-H9</f>
        <v>1262.7452232606111</v>
      </c>
      <c r="I10" s="142">
        <f t="shared" ref="I10:L10" si="3">I11-I9</f>
        <v>658.21078304330604</v>
      </c>
      <c r="J10" s="142">
        <f t="shared" si="3"/>
        <v>681.83338198806996</v>
      </c>
      <c r="K10" s="142">
        <f t="shared" si="3"/>
        <v>677.85690755125233</v>
      </c>
      <c r="L10" s="143">
        <f t="shared" si="3"/>
        <v>701.13006763012345</v>
      </c>
    </row>
    <row r="11" spans="1:13" ht="14.45" customHeight="1" x14ac:dyDescent="0.25">
      <c r="A11" s="155" t="s">
        <v>12</v>
      </c>
      <c r="B11" s="156">
        <f>B12+B13</f>
        <v>5449</v>
      </c>
      <c r="C11" s="156">
        <f t="shared" ref="C11:G11" si="4">C12+C13</f>
        <v>5587</v>
      </c>
      <c r="D11" s="156">
        <f t="shared" si="4"/>
        <v>5648</v>
      </c>
      <c r="E11" s="156">
        <f t="shared" si="4"/>
        <v>5508</v>
      </c>
      <c r="F11" s="156">
        <f t="shared" si="4"/>
        <v>5784</v>
      </c>
      <c r="G11" s="156">
        <f t="shared" si="4"/>
        <v>5796</v>
      </c>
      <c r="H11" s="157">
        <f>'NIKE-IS'!H9/'Fixed Assets Schedule'!H16</f>
        <v>6262.7452232606111</v>
      </c>
      <c r="I11" s="157">
        <f>'NIKE-IS'!I9/'Fixed Assets Schedule'!I16</f>
        <v>6107.621912406782</v>
      </c>
      <c r="J11" s="157">
        <f>'NIKE-IS'!J9/'Fixed Assets Schedule'!J16</f>
        <v>5995.7710299447181</v>
      </c>
      <c r="K11" s="157">
        <f>'NIKE-IS'!K9/'Fixed Assets Schedule'!K16</f>
        <v>5893.5790840514574</v>
      </c>
      <c r="L11" s="158">
        <f>'NIKE-IS'!L9/'Fixed Assets Schedule'!L16</f>
        <v>5829.5547799290543</v>
      </c>
    </row>
    <row r="12" spans="1:13" ht="14.45" customHeight="1" x14ac:dyDescent="0.25">
      <c r="A12" s="144" t="s">
        <v>13</v>
      </c>
      <c r="B12" s="27">
        <v>705</v>
      </c>
      <c r="C12" s="27">
        <v>721</v>
      </c>
      <c r="D12" s="27">
        <v>744</v>
      </c>
      <c r="E12" s="27">
        <v>717</v>
      </c>
      <c r="F12" s="27">
        <v>703</v>
      </c>
      <c r="G12" s="142">
        <v>796</v>
      </c>
      <c r="H12" s="142">
        <f>H11*H18</f>
        <v>813.33409389713472</v>
      </c>
      <c r="I12" s="142">
        <f t="shared" ref="I12:L12" si="5">I11*I18</f>
        <v>793.68426445013392</v>
      </c>
      <c r="J12" s="142">
        <f t="shared" si="5"/>
        <v>780.04885344451282</v>
      </c>
      <c r="K12" s="142">
        <f t="shared" si="5"/>
        <v>765.1543717525268</v>
      </c>
      <c r="L12" s="143">
        <f t="shared" si="5"/>
        <v>756.50619884850198</v>
      </c>
    </row>
    <row r="13" spans="1:13" x14ac:dyDescent="0.25">
      <c r="A13" s="159" t="s">
        <v>14</v>
      </c>
      <c r="B13" s="160">
        <f>'NIKE - BS'!B17</f>
        <v>4744</v>
      </c>
      <c r="C13" s="160">
        <f>'NIKE - BS'!C17</f>
        <v>4866</v>
      </c>
      <c r="D13" s="160">
        <f>'NIKE - BS'!D17</f>
        <v>4904</v>
      </c>
      <c r="E13" s="160">
        <f>'NIKE - BS'!E17</f>
        <v>4791</v>
      </c>
      <c r="F13" s="160">
        <f>'NIKE - BS'!F17</f>
        <v>5081</v>
      </c>
      <c r="G13" s="81">
        <f>'NIKE - BS'!G17</f>
        <v>5000</v>
      </c>
      <c r="H13" s="81">
        <f>H11-H12</f>
        <v>5449.411129363476</v>
      </c>
      <c r="I13" s="81">
        <f t="shared" ref="I13:L13" si="6">I11-I12</f>
        <v>5313.9376479566481</v>
      </c>
      <c r="J13" s="81">
        <f t="shared" si="6"/>
        <v>5215.722176500205</v>
      </c>
      <c r="K13" s="81">
        <f t="shared" si="6"/>
        <v>5128.4247122989309</v>
      </c>
      <c r="L13" s="161">
        <f t="shared" si="6"/>
        <v>5073.0485810805521</v>
      </c>
    </row>
    <row r="14" spans="1:13" x14ac:dyDescent="0.25">
      <c r="A14" s="145" t="s">
        <v>24</v>
      </c>
      <c r="B14" s="480" t="s">
        <v>29</v>
      </c>
      <c r="C14" s="481"/>
      <c r="D14" s="480" t="s">
        <v>28</v>
      </c>
      <c r="E14" s="481"/>
      <c r="F14" s="482"/>
      <c r="G14" s="480" t="s">
        <v>49</v>
      </c>
      <c r="H14" s="480"/>
      <c r="I14" s="480"/>
      <c r="J14" s="480"/>
      <c r="K14" s="480"/>
      <c r="L14" s="143"/>
    </row>
    <row r="15" spans="1:13" x14ac:dyDescent="0.25">
      <c r="A15" s="146"/>
      <c r="B15" s="142"/>
      <c r="C15" s="142"/>
      <c r="D15" s="142"/>
      <c r="E15" s="142"/>
      <c r="F15" s="482"/>
      <c r="G15" s="142"/>
      <c r="H15" s="142"/>
      <c r="I15" s="142"/>
      <c r="J15" s="142"/>
      <c r="K15" s="142"/>
      <c r="L15" s="143"/>
      <c r="M15" s="15"/>
    </row>
    <row r="16" spans="1:13" x14ac:dyDescent="0.25">
      <c r="A16" s="144" t="s">
        <v>15</v>
      </c>
      <c r="B16" s="147">
        <f>'NIKE-IS'!B9/'Fixed Assets Schedule'!B11</f>
        <v>7.1787483942007704</v>
      </c>
      <c r="C16" s="147">
        <f>'NIKE-IS'!C9/'Fixed Assets Schedule'!C11</f>
        <v>6.6946482906747811</v>
      </c>
      <c r="D16" s="147">
        <f>'NIKE-IS'!D9/'Fixed Assets Schedule'!D11</f>
        <v>7.8856232294617561</v>
      </c>
      <c r="E16" s="147">
        <f>'NIKE-IS'!E9/'Fixed Assets Schedule'!E11</f>
        <v>8.4803921568627452</v>
      </c>
      <c r="F16" s="147">
        <f>'NIKE-IS'!F9/'Fixed Assets Schedule'!F11</f>
        <v>8.8549446749654219</v>
      </c>
      <c r="G16" s="163">
        <f>'NIKE-IS'!G9/'Fixed Assets Schedule'!G11</f>
        <v>8.8616287094547967</v>
      </c>
      <c r="H16" s="147">
        <f>AVERAGE($B$16:G16)</f>
        <v>7.9926642426033787</v>
      </c>
      <c r="I16" s="147">
        <f>AVERAGE($B$16:H16)</f>
        <v>7.9926642426033778</v>
      </c>
      <c r="J16" s="147">
        <f>AVERAGE($B$16:I16)</f>
        <v>7.9926642426033778</v>
      </c>
      <c r="K16" s="147">
        <f>AVERAGE($B$16:J16)</f>
        <v>7.9926642426033778</v>
      </c>
      <c r="L16" s="148">
        <f>AVERAGE($B$16:K16)</f>
        <v>7.9926642426033778</v>
      </c>
      <c r="M16" s="15"/>
    </row>
    <row r="17" spans="1:13" x14ac:dyDescent="0.25">
      <c r="A17" s="144"/>
      <c r="B17" s="142"/>
      <c r="C17" s="142"/>
      <c r="D17" s="142"/>
      <c r="E17" s="142"/>
      <c r="F17" s="27"/>
      <c r="G17" s="142"/>
      <c r="H17" s="142"/>
      <c r="I17" s="142"/>
      <c r="J17" s="142"/>
      <c r="K17" s="142"/>
      <c r="L17" s="143"/>
      <c r="M17" s="15"/>
    </row>
    <row r="18" spans="1:13" x14ac:dyDescent="0.25">
      <c r="A18" s="144" t="s">
        <v>16</v>
      </c>
      <c r="B18" s="149">
        <f>B12/B11</f>
        <v>0.1293815378968618</v>
      </c>
      <c r="C18" s="149">
        <f t="shared" ref="C18:G18" si="7">C12/C11</f>
        <v>0.12904957938070521</v>
      </c>
      <c r="D18" s="149">
        <f t="shared" si="7"/>
        <v>0.13172804532577903</v>
      </c>
      <c r="E18" s="149">
        <f t="shared" si="7"/>
        <v>0.13017429193899782</v>
      </c>
      <c r="F18" s="149">
        <f t="shared" si="7"/>
        <v>0.12154218533886584</v>
      </c>
      <c r="G18" s="162">
        <f t="shared" si="7"/>
        <v>0.13733609385783299</v>
      </c>
      <c r="H18" s="21">
        <f>AVERAGE(B18:G18)</f>
        <v>0.12986862228984045</v>
      </c>
      <c r="I18" s="21">
        <f>AVERAGE(C18:H18)</f>
        <v>0.12994980302200354</v>
      </c>
      <c r="J18" s="21">
        <f>AVERAGE(D18:I18)</f>
        <v>0.13009984029555327</v>
      </c>
      <c r="K18" s="21">
        <f>AVERAGE(E18:J18)</f>
        <v>0.12982847279051565</v>
      </c>
      <c r="L18" s="150">
        <f>AVERAGE(F18:K18)</f>
        <v>0.1297708362657686</v>
      </c>
      <c r="M18" s="15"/>
    </row>
    <row r="19" spans="1:13" x14ac:dyDescent="0.25">
      <c r="A19" s="144"/>
      <c r="B19" s="21"/>
      <c r="C19" s="21"/>
      <c r="D19" s="21"/>
      <c r="E19" s="21"/>
      <c r="F19" s="21"/>
      <c r="G19" s="28"/>
      <c r="H19" s="21"/>
      <c r="I19" s="21"/>
      <c r="J19" s="21"/>
      <c r="K19" s="21"/>
      <c r="L19" s="150"/>
      <c r="M19" s="15"/>
    </row>
    <row r="20" spans="1:13" x14ac:dyDescent="0.25">
      <c r="A20" s="151"/>
      <c r="B20" s="152"/>
      <c r="C20" s="152"/>
      <c r="D20" s="152"/>
      <c r="E20" s="152"/>
      <c r="F20" s="152"/>
      <c r="G20" s="153"/>
      <c r="H20" s="153">
        <f>'NIKE-IS'!H23/'Fixed Assets Schedule'!H16</f>
        <v>526.1495477006506</v>
      </c>
      <c r="I20" s="153"/>
      <c r="J20" s="153"/>
      <c r="K20" s="153"/>
      <c r="L20" s="154"/>
      <c r="M20" s="15"/>
    </row>
    <row r="21" spans="1:13" x14ac:dyDescent="0.25">
      <c r="A21" s="38"/>
      <c r="B21" s="8"/>
      <c r="C21" s="8"/>
      <c r="D21" s="8"/>
      <c r="E21" s="8"/>
      <c r="F21" s="8"/>
      <c r="G21" s="14"/>
      <c r="H21" s="14"/>
      <c r="I21" s="14"/>
      <c r="J21" s="14"/>
      <c r="K21" s="14"/>
      <c r="L21" s="15"/>
    </row>
    <row r="22" spans="1:13" x14ac:dyDescent="0.25">
      <c r="A22" s="30"/>
      <c r="L22" s="15"/>
    </row>
    <row r="23" spans="1:13" x14ac:dyDescent="0.25">
      <c r="A23" s="30"/>
      <c r="B23" s="15"/>
      <c r="C23" s="15"/>
      <c r="D23" s="15"/>
      <c r="E23" s="15"/>
      <c r="F23" s="15"/>
      <c r="G23" s="16"/>
      <c r="H23" s="15"/>
      <c r="I23" s="15"/>
      <c r="J23" s="15"/>
      <c r="K23" s="15"/>
      <c r="L23" s="15"/>
    </row>
    <row r="24" spans="1:13" x14ac:dyDescent="0.25">
      <c r="A24" s="30"/>
      <c r="F24" s="27"/>
    </row>
    <row r="26" spans="1:13" x14ac:dyDescent="0.25">
      <c r="A26" s="138" t="s">
        <v>17</v>
      </c>
      <c r="B26" s="139">
        <v>12</v>
      </c>
      <c r="C26" s="139">
        <v>12</v>
      </c>
      <c r="D26" s="139">
        <v>12</v>
      </c>
      <c r="E26" s="139">
        <v>12</v>
      </c>
      <c r="F26" s="139">
        <v>12</v>
      </c>
      <c r="G26" s="140">
        <v>12</v>
      </c>
      <c r="H26" s="348">
        <v>12</v>
      </c>
      <c r="I26" s="348">
        <v>12</v>
      </c>
      <c r="J26" s="348">
        <v>12</v>
      </c>
      <c r="K26" s="348">
        <v>12</v>
      </c>
      <c r="L26" s="349">
        <v>12</v>
      </c>
    </row>
    <row r="27" spans="1:13" x14ac:dyDescent="0.25">
      <c r="A27" s="141"/>
      <c r="B27" s="35">
        <v>43616</v>
      </c>
      <c r="C27" s="35">
        <v>43982</v>
      </c>
      <c r="D27" s="35">
        <v>44347</v>
      </c>
      <c r="E27" s="35">
        <v>44712</v>
      </c>
      <c r="F27" s="35">
        <v>45077</v>
      </c>
      <c r="G27" s="84">
        <v>45443</v>
      </c>
      <c r="H27" s="117">
        <v>46022</v>
      </c>
      <c r="I27" s="117">
        <v>46387</v>
      </c>
      <c r="J27" s="117">
        <v>46752</v>
      </c>
      <c r="K27" s="117">
        <v>47118</v>
      </c>
      <c r="L27" s="126">
        <v>47483</v>
      </c>
    </row>
    <row r="28" spans="1:13" x14ac:dyDescent="0.25">
      <c r="A28" s="105"/>
      <c r="L28" s="129"/>
    </row>
    <row r="29" spans="1:13" x14ac:dyDescent="0.25">
      <c r="A29" s="144" t="s">
        <v>10</v>
      </c>
      <c r="B29">
        <v>285</v>
      </c>
      <c r="C29">
        <f>B33</f>
        <v>283</v>
      </c>
      <c r="D29">
        <f t="shared" ref="D29:F29" si="8">C33</f>
        <v>274</v>
      </c>
      <c r="E29">
        <f t="shared" si="8"/>
        <v>269</v>
      </c>
      <c r="F29">
        <f t="shared" si="8"/>
        <v>286</v>
      </c>
      <c r="G29">
        <f>F33</f>
        <v>274</v>
      </c>
      <c r="H29" s="142">
        <f>G33</f>
        <v>259</v>
      </c>
      <c r="I29" s="142">
        <f t="shared" ref="I29:L29" si="9">H33</f>
        <v>188.76482314634478</v>
      </c>
      <c r="J29" s="142">
        <f t="shared" si="9"/>
        <v>137.57590138019623</v>
      </c>
      <c r="K29" s="142">
        <f t="shared" si="9"/>
        <v>100.26830383487149</v>
      </c>
      <c r="L29" s="143">
        <f t="shared" si="9"/>
        <v>73.077716758970979</v>
      </c>
    </row>
    <row r="30" spans="1:13" x14ac:dyDescent="0.25">
      <c r="A30" s="144" t="s">
        <v>11</v>
      </c>
      <c r="B30">
        <f>B31-B29</f>
        <v>13</v>
      </c>
      <c r="C30">
        <f t="shared" ref="C30:F30" si="10">C31-C29</f>
        <v>389</v>
      </c>
      <c r="D30">
        <f t="shared" si="10"/>
        <v>48</v>
      </c>
      <c r="E30">
        <f t="shared" si="10"/>
        <v>140</v>
      </c>
      <c r="F30">
        <f t="shared" si="10"/>
        <v>144</v>
      </c>
      <c r="G30" s="20">
        <f>G31-G29</f>
        <v>33</v>
      </c>
      <c r="H30" s="147">
        <v>0</v>
      </c>
      <c r="I30" s="147">
        <v>0</v>
      </c>
      <c r="J30" s="147">
        <v>0</v>
      </c>
      <c r="K30" s="147">
        <v>0</v>
      </c>
      <c r="L30" s="148">
        <v>0</v>
      </c>
    </row>
    <row r="31" spans="1:13" x14ac:dyDescent="0.25">
      <c r="A31" s="165" t="s">
        <v>18</v>
      </c>
      <c r="B31" s="166">
        <f>B32+B33</f>
        <v>298</v>
      </c>
      <c r="C31" s="166">
        <f t="shared" ref="C31:F31" si="11">C32+C33</f>
        <v>672</v>
      </c>
      <c r="D31" s="166">
        <f t="shared" si="11"/>
        <v>322</v>
      </c>
      <c r="E31" s="166">
        <f t="shared" si="11"/>
        <v>409</v>
      </c>
      <c r="F31" s="166">
        <f t="shared" si="11"/>
        <v>430</v>
      </c>
      <c r="G31" s="166">
        <f>G32+G33</f>
        <v>307</v>
      </c>
      <c r="H31" s="167">
        <f>H29+H30</f>
        <v>259</v>
      </c>
      <c r="I31" s="167">
        <f t="shared" ref="I31:L31" si="12">I29+I30</f>
        <v>188.76482314634478</v>
      </c>
      <c r="J31" s="167">
        <f t="shared" si="12"/>
        <v>137.57590138019623</v>
      </c>
      <c r="K31" s="167">
        <f t="shared" si="12"/>
        <v>100.26830383487149</v>
      </c>
      <c r="L31" s="168">
        <f t="shared" si="12"/>
        <v>73.077716758970979</v>
      </c>
    </row>
    <row r="32" spans="1:13" x14ac:dyDescent="0.25">
      <c r="A32" s="144" t="s">
        <v>19</v>
      </c>
      <c r="B32" s="20">
        <v>15</v>
      </c>
      <c r="C32" s="20">
        <v>398</v>
      </c>
      <c r="D32" s="20">
        <v>53</v>
      </c>
      <c r="E32" s="20">
        <v>123</v>
      </c>
      <c r="F32" s="20">
        <v>156</v>
      </c>
      <c r="G32" s="39">
        <v>48</v>
      </c>
      <c r="H32" s="39">
        <f>H31*H36</f>
        <v>70.235176853655204</v>
      </c>
      <c r="I32" s="39">
        <f t="shared" ref="I32:L32" si="13">I31*I36</f>
        <v>51.188921766148546</v>
      </c>
      <c r="J32" s="39">
        <f t="shared" si="13"/>
        <v>37.307597545324747</v>
      </c>
      <c r="K32" s="39">
        <f t="shared" si="13"/>
        <v>27.190587075900517</v>
      </c>
      <c r="L32" s="164">
        <f t="shared" si="13"/>
        <v>19.817090195473551</v>
      </c>
    </row>
    <row r="33" spans="1:12" x14ac:dyDescent="0.25">
      <c r="A33" s="159" t="s">
        <v>14</v>
      </c>
      <c r="B33" s="78">
        <f>'NIKE - BS'!B19</f>
        <v>283</v>
      </c>
      <c r="C33" s="78">
        <f>'NIKE - BS'!C19</f>
        <v>274</v>
      </c>
      <c r="D33" s="78">
        <f>'NIKE - BS'!D19</f>
        <v>269</v>
      </c>
      <c r="E33" s="78">
        <f>'NIKE - BS'!E19</f>
        <v>286</v>
      </c>
      <c r="F33" s="78">
        <f>'NIKE - BS'!F19</f>
        <v>274</v>
      </c>
      <c r="G33" s="169">
        <f>'NIKE - BS'!G19</f>
        <v>259</v>
      </c>
      <c r="H33" s="169">
        <f>H31-H32</f>
        <v>188.76482314634478</v>
      </c>
      <c r="I33" s="169">
        <f t="shared" ref="I33:L33" si="14">I31-I32</f>
        <v>137.57590138019623</v>
      </c>
      <c r="J33" s="169">
        <f t="shared" si="14"/>
        <v>100.26830383487149</v>
      </c>
      <c r="K33" s="169">
        <f t="shared" si="14"/>
        <v>73.077716758970979</v>
      </c>
      <c r="L33" s="170">
        <f t="shared" si="14"/>
        <v>53.260626563497425</v>
      </c>
    </row>
    <row r="34" spans="1:12" x14ac:dyDescent="0.25">
      <c r="A34" s="37" t="s">
        <v>24</v>
      </c>
      <c r="B34" s="480" t="s">
        <v>26</v>
      </c>
      <c r="C34" s="481"/>
      <c r="D34" s="480" t="s">
        <v>27</v>
      </c>
      <c r="E34" s="481"/>
      <c r="F34" s="482"/>
      <c r="G34" s="480" t="s">
        <v>49</v>
      </c>
      <c r="H34" s="480"/>
      <c r="I34" s="480"/>
      <c r="J34" s="480"/>
      <c r="K34" s="480"/>
    </row>
    <row r="35" spans="1:12" x14ac:dyDescent="0.25">
      <c r="B35" s="40"/>
      <c r="E35" s="39"/>
      <c r="F35" s="482"/>
    </row>
    <row r="36" spans="1:12" x14ac:dyDescent="0.25">
      <c r="A36" s="30" t="s">
        <v>20</v>
      </c>
      <c r="B36" s="21">
        <f>B32/B31</f>
        <v>5.0335570469798654E-2</v>
      </c>
      <c r="C36" s="21">
        <f t="shared" ref="C36:F36" si="15">C32/C31</f>
        <v>0.59226190476190477</v>
      </c>
      <c r="D36" s="21">
        <f t="shared" si="15"/>
        <v>0.16459627329192547</v>
      </c>
      <c r="E36" s="21">
        <f t="shared" si="15"/>
        <v>0.30073349633251834</v>
      </c>
      <c r="F36" s="21">
        <f t="shared" si="15"/>
        <v>0.36279069767441863</v>
      </c>
      <c r="G36" s="171">
        <f>G32/G31</f>
        <v>0.15635179153094461</v>
      </c>
      <c r="H36" s="63">
        <f>AVERAGE($B$36:G36)</f>
        <v>0.27117828901025176</v>
      </c>
      <c r="I36" s="63">
        <f>AVERAGE($B$36:H36)</f>
        <v>0.27117828901025176</v>
      </c>
      <c r="J36" s="63">
        <f>AVERAGE($B$36:I36)</f>
        <v>0.27117828901025176</v>
      </c>
      <c r="K36" s="63">
        <f>AVERAGE($B$36:J36)</f>
        <v>0.27117828901025176</v>
      </c>
      <c r="L36" s="63">
        <f>AVERAGE($B$36:K36)</f>
        <v>0.27117828901025176</v>
      </c>
    </row>
    <row r="38" spans="1:12" x14ac:dyDescent="0.25">
      <c r="A38" s="30" t="s">
        <v>25</v>
      </c>
      <c r="C38" s="39"/>
      <c r="D38" s="39"/>
      <c r="E38" s="39"/>
      <c r="F38" s="39"/>
      <c r="G38" s="39"/>
      <c r="H38" s="39"/>
      <c r="I38" s="39"/>
      <c r="J38" s="39"/>
      <c r="K38" s="39"/>
    </row>
    <row r="41" spans="1:12" x14ac:dyDescent="0.25">
      <c r="B41" s="39"/>
      <c r="C41" s="39"/>
      <c r="D41" s="39"/>
      <c r="E41" s="39"/>
    </row>
    <row r="42" spans="1:12" x14ac:dyDescent="0.25">
      <c r="B42" s="39"/>
      <c r="C42" s="39"/>
      <c r="D42" s="39"/>
      <c r="E42" s="39"/>
      <c r="I42" s="39"/>
    </row>
    <row r="43" spans="1:12" x14ac:dyDescent="0.25">
      <c r="B43" s="20"/>
      <c r="C43" s="20"/>
      <c r="D43" s="20"/>
      <c r="E43" s="20"/>
    </row>
    <row r="44" spans="1:12" x14ac:dyDescent="0.25">
      <c r="B44" s="39"/>
      <c r="C44" s="39"/>
      <c r="D44" s="39"/>
      <c r="E44" s="39"/>
    </row>
  </sheetData>
  <mergeCells count="9">
    <mergeCell ref="A1:L4"/>
    <mergeCell ref="G14:K14"/>
    <mergeCell ref="G34:K34"/>
    <mergeCell ref="B34:C34"/>
    <mergeCell ref="D34:E34"/>
    <mergeCell ref="F34:F35"/>
    <mergeCell ref="F14:F15"/>
    <mergeCell ref="D14:E14"/>
    <mergeCell ref="B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1"/>
  <sheetViews>
    <sheetView showGridLines="0" zoomScale="80" zoomScaleNormal="80" workbookViewId="0">
      <pane xSplit="1" ySplit="6" topLeftCell="B7" activePane="bottomRight" state="frozen"/>
      <selection pane="topRight" activeCell="B1" sqref="B1"/>
      <selection pane="bottomLeft" activeCell="A4" sqref="A4"/>
      <selection pane="bottomRight" activeCell="K100" sqref="K100"/>
    </sheetView>
  </sheetViews>
  <sheetFormatPr defaultColWidth="8.7109375" defaultRowHeight="15" x14ac:dyDescent="0.25"/>
  <cols>
    <col min="1" max="1" width="70.28515625" customWidth="1"/>
    <col min="2" max="2" width="18.42578125" customWidth="1"/>
    <col min="3" max="3" width="11.28515625" customWidth="1"/>
    <col min="4" max="4" width="11.7109375" customWidth="1"/>
    <col min="5" max="5" width="11.5703125" customWidth="1"/>
    <col min="6" max="6" width="11.7109375" customWidth="1"/>
    <col min="7" max="7" width="12.7109375" customWidth="1"/>
    <col min="8" max="10" width="15.140625" customWidth="1"/>
    <col min="11" max="12" width="16.140625" customWidth="1"/>
    <col min="13" max="13" width="11.28515625" customWidth="1"/>
  </cols>
  <sheetData>
    <row r="1" spans="1:15" x14ac:dyDescent="0.25">
      <c r="A1" s="483" t="s">
        <v>162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</row>
    <row r="2" spans="1:15" x14ac:dyDescent="0.25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</row>
    <row r="3" spans="1:15" x14ac:dyDescent="0.25">
      <c r="A3" s="484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</row>
    <row r="4" spans="1:15" x14ac:dyDescent="0.25">
      <c r="A4" s="29"/>
      <c r="B4" s="179"/>
      <c r="C4" s="179"/>
      <c r="D4" s="179"/>
      <c r="E4" s="179"/>
      <c r="F4" s="179"/>
      <c r="G4" s="179"/>
      <c r="H4" s="179"/>
      <c r="I4" s="179"/>
      <c r="J4" s="179"/>
      <c r="K4" s="116"/>
      <c r="L4" s="116"/>
      <c r="M4" s="116"/>
      <c r="N4" s="116"/>
    </row>
    <row r="5" spans="1:15" x14ac:dyDescent="0.25">
      <c r="A5" s="31" t="s">
        <v>6</v>
      </c>
      <c r="B5" s="50"/>
      <c r="C5" s="50"/>
      <c r="D5" s="50"/>
      <c r="E5" s="50"/>
      <c r="F5" s="30"/>
      <c r="G5" s="30"/>
      <c r="H5" s="30"/>
      <c r="I5" s="30"/>
      <c r="J5" s="30"/>
    </row>
    <row r="6" spans="1:15" x14ac:dyDescent="0.25">
      <c r="A6" s="29" t="s">
        <v>21</v>
      </c>
      <c r="B6" s="35">
        <v>43616</v>
      </c>
      <c r="C6" s="35">
        <v>43982</v>
      </c>
      <c r="D6" s="35">
        <v>44347</v>
      </c>
      <c r="E6" s="35">
        <v>44712</v>
      </c>
      <c r="F6" s="35">
        <v>45077</v>
      </c>
      <c r="G6" s="84">
        <v>45443</v>
      </c>
      <c r="H6" s="117">
        <v>45808</v>
      </c>
      <c r="I6" s="117">
        <v>46173</v>
      </c>
      <c r="J6" s="117">
        <v>46538</v>
      </c>
      <c r="K6" s="117">
        <v>46904</v>
      </c>
      <c r="L6" s="117">
        <v>47269</v>
      </c>
    </row>
    <row r="7" spans="1:15" x14ac:dyDescent="0.25">
      <c r="A7" s="4" t="s">
        <v>82</v>
      </c>
    </row>
    <row r="8" spans="1:15" x14ac:dyDescent="0.25">
      <c r="A8" s="9" t="s">
        <v>83</v>
      </c>
    </row>
    <row r="9" spans="1:15" x14ac:dyDescent="0.25">
      <c r="A9" s="66" t="s">
        <v>84</v>
      </c>
      <c r="B9">
        <v>4466</v>
      </c>
      <c r="C9">
        <v>8348</v>
      </c>
      <c r="D9">
        <v>9889</v>
      </c>
      <c r="E9">
        <v>8574</v>
      </c>
      <c r="F9">
        <v>7441</v>
      </c>
      <c r="G9">
        <v>9860</v>
      </c>
      <c r="H9" s="101">
        <f>'NIKE-CFS'!B37</f>
        <v>10189.666866336116</v>
      </c>
      <c r="I9" s="101">
        <f>'NIKE-CFS'!C37</f>
        <v>13135.531481848517</v>
      </c>
      <c r="J9" s="101">
        <f>'NIKE-CFS'!D37</f>
        <v>13908.734674275511</v>
      </c>
      <c r="K9" s="101">
        <f>'NIKE-CFS'!E37</f>
        <v>16632.132557964862</v>
      </c>
      <c r="L9" s="101">
        <f>'NIKE-CFS'!F37</f>
        <v>19221.696513234674</v>
      </c>
      <c r="M9" t="s">
        <v>136</v>
      </c>
    </row>
    <row r="10" spans="1:15" x14ac:dyDescent="0.25">
      <c r="A10" s="66" t="s">
        <v>85</v>
      </c>
      <c r="B10">
        <v>197</v>
      </c>
      <c r="C10">
        <v>439</v>
      </c>
      <c r="D10">
        <v>3587</v>
      </c>
      <c r="E10">
        <v>4423</v>
      </c>
      <c r="F10">
        <v>3234</v>
      </c>
      <c r="G10">
        <v>1722</v>
      </c>
      <c r="H10" s="17">
        <v>1722</v>
      </c>
      <c r="I10" s="17">
        <v>1722</v>
      </c>
      <c r="J10" s="17">
        <v>1722</v>
      </c>
      <c r="K10" s="17">
        <v>1722</v>
      </c>
      <c r="L10" s="17">
        <v>1722</v>
      </c>
      <c r="M10" t="s">
        <v>138</v>
      </c>
    </row>
    <row r="11" spans="1:15" x14ac:dyDescent="0.25">
      <c r="A11" s="66" t="s">
        <v>86</v>
      </c>
      <c r="B11">
        <v>4272</v>
      </c>
      <c r="C11">
        <v>2749</v>
      </c>
      <c r="D11">
        <v>4463</v>
      </c>
      <c r="E11">
        <v>4667</v>
      </c>
      <c r="F11">
        <v>4131</v>
      </c>
      <c r="G11">
        <v>4427</v>
      </c>
      <c r="H11" s="101">
        <f>H73</f>
        <v>4580.4686617445823</v>
      </c>
      <c r="I11" s="101">
        <f>I73</f>
        <v>4467.0140282345037</v>
      </c>
      <c r="J11" s="101">
        <f>J73</f>
        <v>4385.2081358275909</v>
      </c>
      <c r="K11" s="101">
        <f>K73</f>
        <v>4310.4666304717221</v>
      </c>
      <c r="L11" s="101">
        <f>M73</f>
        <v>4263.6403093987428</v>
      </c>
      <c r="M11" t="s">
        <v>139</v>
      </c>
    </row>
    <row r="12" spans="1:15" x14ac:dyDescent="0.25">
      <c r="A12" s="66" t="s">
        <v>0</v>
      </c>
      <c r="B12">
        <v>5622</v>
      </c>
      <c r="C12">
        <v>7367</v>
      </c>
      <c r="D12">
        <v>6854</v>
      </c>
      <c r="E12">
        <v>8420</v>
      </c>
      <c r="F12">
        <v>8454</v>
      </c>
      <c r="G12">
        <v>7519</v>
      </c>
      <c r="H12" s="101">
        <f>H79</f>
        <v>8227.4600745538082</v>
      </c>
      <c r="I12" s="101">
        <f t="shared" ref="I12:L12" si="0">I79</f>
        <v>8023.6723103729737</v>
      </c>
      <c r="J12" s="101">
        <f t="shared" si="0"/>
        <v>7876.7321687969879</v>
      </c>
      <c r="K12" s="101">
        <f t="shared" si="0"/>
        <v>7742.4811135800201</v>
      </c>
      <c r="L12" s="101">
        <f t="shared" si="0"/>
        <v>7658.3714480595827</v>
      </c>
      <c r="M12" t="s">
        <v>137</v>
      </c>
    </row>
    <row r="13" spans="1:15" x14ac:dyDescent="0.25">
      <c r="A13" s="66" t="s">
        <v>87</v>
      </c>
      <c r="B13">
        <v>1968</v>
      </c>
      <c r="C13">
        <v>1653</v>
      </c>
      <c r="D13">
        <v>1498</v>
      </c>
      <c r="E13">
        <v>2129</v>
      </c>
      <c r="F13">
        <v>1942</v>
      </c>
      <c r="G13">
        <v>1854</v>
      </c>
      <c r="H13" s="101">
        <f>$H$87*'NIKE-IS'!H9</f>
        <v>2066.7467400513519</v>
      </c>
      <c r="I13" s="101">
        <f>$H$87*'NIKE-IS'!I9</f>
        <v>2015.5550364798298</v>
      </c>
      <c r="J13" s="101">
        <f>$H$87*'NIKE-IS'!J9</f>
        <v>1978.6435162982721</v>
      </c>
      <c r="K13" s="101">
        <f>$H$87*'NIKE-IS'!K9</f>
        <v>1944.9195081348935</v>
      </c>
      <c r="L13" s="101">
        <f>$H$87*'NIKE-IS'!L9</f>
        <v>1923.7910705070028</v>
      </c>
      <c r="M13" t="s">
        <v>140</v>
      </c>
    </row>
    <row r="14" spans="1:15" x14ac:dyDescent="0.25">
      <c r="A14" s="78" t="s">
        <v>88</v>
      </c>
      <c r="B14" s="78">
        <f>SUM(B9:B13)</f>
        <v>16525</v>
      </c>
      <c r="C14" s="78">
        <f t="shared" ref="C14:L14" si="1">SUM(C9:C13)</f>
        <v>20556</v>
      </c>
      <c r="D14" s="78">
        <f t="shared" si="1"/>
        <v>26291</v>
      </c>
      <c r="E14" s="78">
        <f t="shared" si="1"/>
        <v>28213</v>
      </c>
      <c r="F14" s="78">
        <f t="shared" si="1"/>
        <v>25202</v>
      </c>
      <c r="G14" s="78">
        <f t="shared" si="1"/>
        <v>25382</v>
      </c>
      <c r="H14" s="79">
        <f t="shared" si="1"/>
        <v>26786.342342685857</v>
      </c>
      <c r="I14" s="79">
        <f t="shared" si="1"/>
        <v>29363.772856935826</v>
      </c>
      <c r="J14" s="79">
        <f t="shared" si="1"/>
        <v>29871.31849519836</v>
      </c>
      <c r="K14" s="79">
        <f t="shared" si="1"/>
        <v>32351.999810151494</v>
      </c>
      <c r="L14" s="79">
        <f t="shared" si="1"/>
        <v>34789.499341200004</v>
      </c>
    </row>
    <row r="16" spans="1:15" s="4" customFormat="1" x14ac:dyDescent="0.25">
      <c r="A16" s="82" t="s">
        <v>89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6" x14ac:dyDescent="0.25">
      <c r="A17" s="66" t="s">
        <v>90</v>
      </c>
      <c r="B17">
        <v>4744</v>
      </c>
      <c r="C17">
        <v>4866</v>
      </c>
      <c r="D17">
        <v>4904</v>
      </c>
      <c r="E17">
        <v>4791</v>
      </c>
      <c r="F17">
        <v>5081</v>
      </c>
      <c r="G17">
        <v>5000</v>
      </c>
      <c r="H17" s="101">
        <f>'Fixed Assets Schedule'!H13</f>
        <v>5449.411129363476</v>
      </c>
      <c r="I17" s="101">
        <f>'Fixed Assets Schedule'!I13</f>
        <v>5313.9376479566481</v>
      </c>
      <c r="J17" s="101">
        <f>'Fixed Assets Schedule'!J13</f>
        <v>5215.722176500205</v>
      </c>
      <c r="K17" s="101">
        <f>'Fixed Assets Schedule'!K13</f>
        <v>5128.4247122989309</v>
      </c>
      <c r="L17" s="101">
        <f>'Fixed Assets Schedule'!L13</f>
        <v>5073.0485810805521</v>
      </c>
    </row>
    <row r="18" spans="1:16" x14ac:dyDescent="0.25">
      <c r="A18" s="66" t="s">
        <v>91</v>
      </c>
      <c r="B18">
        <v>0</v>
      </c>
      <c r="C18">
        <v>3097</v>
      </c>
      <c r="D18">
        <v>3113</v>
      </c>
      <c r="E18">
        <v>2926</v>
      </c>
      <c r="F18">
        <v>2923</v>
      </c>
      <c r="G18">
        <v>2718</v>
      </c>
      <c r="H18" s="17">
        <v>2718</v>
      </c>
      <c r="I18" s="17">
        <v>2718</v>
      </c>
      <c r="J18" s="17">
        <v>2718</v>
      </c>
      <c r="K18" s="17">
        <v>2718</v>
      </c>
      <c r="L18" s="17">
        <v>2718</v>
      </c>
      <c r="M18" t="s">
        <v>138</v>
      </c>
    </row>
    <row r="19" spans="1:16" x14ac:dyDescent="0.25">
      <c r="A19" s="66" t="s">
        <v>92</v>
      </c>
      <c r="B19">
        <v>283</v>
      </c>
      <c r="C19">
        <v>274</v>
      </c>
      <c r="D19">
        <v>269</v>
      </c>
      <c r="E19">
        <v>286</v>
      </c>
      <c r="F19">
        <v>274</v>
      </c>
      <c r="G19">
        <v>259</v>
      </c>
      <c r="H19" s="101">
        <f>'Fixed Assets Schedule'!H33</f>
        <v>188.76482314634478</v>
      </c>
      <c r="I19" s="101">
        <f>'Fixed Assets Schedule'!I33</f>
        <v>137.57590138019623</v>
      </c>
      <c r="J19" s="101">
        <f>'Fixed Assets Schedule'!J33</f>
        <v>100.26830383487149</v>
      </c>
      <c r="K19" s="101">
        <f>'Fixed Assets Schedule'!K33</f>
        <v>73.077716758970979</v>
      </c>
      <c r="L19" s="101">
        <f>'Fixed Assets Schedule'!L33</f>
        <v>53.260626563497425</v>
      </c>
      <c r="N19" t="s">
        <v>142</v>
      </c>
      <c r="P19" t="s">
        <v>143</v>
      </c>
    </row>
    <row r="20" spans="1:16" x14ac:dyDescent="0.25">
      <c r="A20" s="66" t="s">
        <v>51</v>
      </c>
      <c r="B20">
        <v>154</v>
      </c>
      <c r="C20">
        <v>223</v>
      </c>
      <c r="D20">
        <v>242</v>
      </c>
      <c r="E20">
        <v>284</v>
      </c>
      <c r="F20">
        <v>281</v>
      </c>
      <c r="G20">
        <v>240</v>
      </c>
      <c r="H20" s="17">
        <v>240</v>
      </c>
      <c r="I20" s="17">
        <v>240</v>
      </c>
      <c r="J20" s="17">
        <v>240</v>
      </c>
      <c r="K20" s="17">
        <v>240</v>
      </c>
      <c r="L20" s="17">
        <v>240</v>
      </c>
      <c r="M20" t="s">
        <v>138</v>
      </c>
      <c r="N20" t="s">
        <v>144</v>
      </c>
    </row>
    <row r="21" spans="1:16" x14ac:dyDescent="0.25">
      <c r="A21" s="66" t="s">
        <v>93</v>
      </c>
      <c r="B21">
        <v>2011</v>
      </c>
      <c r="C21">
        <v>2326</v>
      </c>
      <c r="D21">
        <v>2921</v>
      </c>
      <c r="E21">
        <v>3821</v>
      </c>
      <c r="F21">
        <v>3770</v>
      </c>
      <c r="G21">
        <v>4511</v>
      </c>
      <c r="H21" s="17">
        <v>4511</v>
      </c>
      <c r="I21" s="17">
        <v>4511</v>
      </c>
      <c r="J21" s="17">
        <v>4511</v>
      </c>
      <c r="K21" s="17">
        <v>4511</v>
      </c>
      <c r="L21" s="17">
        <v>4511</v>
      </c>
      <c r="M21" t="s">
        <v>141</v>
      </c>
      <c r="N21" t="s">
        <v>48</v>
      </c>
    </row>
    <row r="22" spans="1:16" x14ac:dyDescent="0.25">
      <c r="A22" s="78" t="s">
        <v>94</v>
      </c>
      <c r="B22" s="78">
        <f>SUM(B17:B21)</f>
        <v>7192</v>
      </c>
      <c r="C22" s="78">
        <f t="shared" ref="C22:L22" si="2">SUM(C17:C21)</f>
        <v>10786</v>
      </c>
      <c r="D22" s="78">
        <f t="shared" si="2"/>
        <v>11449</v>
      </c>
      <c r="E22" s="78">
        <f t="shared" si="2"/>
        <v>12108</v>
      </c>
      <c r="F22" s="78">
        <f t="shared" si="2"/>
        <v>12329</v>
      </c>
      <c r="G22" s="78">
        <f t="shared" si="2"/>
        <v>12728</v>
      </c>
      <c r="H22" s="79">
        <f t="shared" si="2"/>
        <v>13107.17595250982</v>
      </c>
      <c r="I22" s="79">
        <f t="shared" si="2"/>
        <v>12920.513549336843</v>
      </c>
      <c r="J22" s="79">
        <f t="shared" si="2"/>
        <v>12784.990480335076</v>
      </c>
      <c r="K22" s="79">
        <f t="shared" si="2"/>
        <v>12670.502429057902</v>
      </c>
      <c r="L22" s="79">
        <f t="shared" si="2"/>
        <v>12595.30920764405</v>
      </c>
    </row>
    <row r="23" spans="1:16" x14ac:dyDescent="0.25">
      <c r="I23" s="62"/>
      <c r="J23" s="62"/>
      <c r="K23" s="62"/>
      <c r="L23" s="62"/>
    </row>
    <row r="24" spans="1:16" x14ac:dyDescent="0.25">
      <c r="A24" s="78" t="s">
        <v>95</v>
      </c>
      <c r="B24" s="78">
        <f>B14+B22</f>
        <v>23717</v>
      </c>
      <c r="C24" s="78">
        <f t="shared" ref="C24:L24" si="3">C14+C22</f>
        <v>31342</v>
      </c>
      <c r="D24" s="78">
        <f t="shared" si="3"/>
        <v>37740</v>
      </c>
      <c r="E24" s="78">
        <f t="shared" si="3"/>
        <v>40321</v>
      </c>
      <c r="F24" s="78">
        <f t="shared" si="3"/>
        <v>37531</v>
      </c>
      <c r="G24" s="78">
        <f t="shared" si="3"/>
        <v>38110</v>
      </c>
      <c r="H24" s="79">
        <f t="shared" si="3"/>
        <v>39893.518295195681</v>
      </c>
      <c r="I24" s="79">
        <f t="shared" si="3"/>
        <v>42284.286406272673</v>
      </c>
      <c r="J24" s="79">
        <f t="shared" si="3"/>
        <v>42656.308975533437</v>
      </c>
      <c r="K24" s="79">
        <f t="shared" si="3"/>
        <v>45022.502239209396</v>
      </c>
      <c r="L24" s="79">
        <f t="shared" si="3"/>
        <v>47384.808548844056</v>
      </c>
    </row>
    <row r="25" spans="1:1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6" x14ac:dyDescent="0.25">
      <c r="A26" s="4" t="s">
        <v>96</v>
      </c>
    </row>
    <row r="27" spans="1:16" x14ac:dyDescent="0.25">
      <c r="A27" s="9" t="s">
        <v>97</v>
      </c>
    </row>
    <row r="28" spans="1:16" x14ac:dyDescent="0.25">
      <c r="A28" t="s">
        <v>98</v>
      </c>
      <c r="B28">
        <v>6</v>
      </c>
      <c r="C28">
        <v>3</v>
      </c>
      <c r="D28">
        <v>0</v>
      </c>
      <c r="E28">
        <v>500</v>
      </c>
      <c r="F28">
        <v>0</v>
      </c>
      <c r="G28">
        <v>1000</v>
      </c>
      <c r="H28" s="17">
        <f>'Debt Schedule'!C11</f>
        <v>1000</v>
      </c>
      <c r="I28" s="17">
        <f>'Debt Schedule'!D11</f>
        <v>0</v>
      </c>
      <c r="J28" s="17">
        <f>'Debt Schedule'!E11</f>
        <v>2000</v>
      </c>
      <c r="K28" s="17">
        <f>'Debt Schedule'!F11</f>
        <v>0</v>
      </c>
      <c r="L28" s="17">
        <f>'Debt Schedule'!G11</f>
        <v>0</v>
      </c>
    </row>
    <row r="29" spans="1:16" x14ac:dyDescent="0.25">
      <c r="A29" t="s">
        <v>99</v>
      </c>
      <c r="B29">
        <v>9</v>
      </c>
      <c r="C29">
        <v>248</v>
      </c>
      <c r="D29">
        <v>2</v>
      </c>
      <c r="E29">
        <v>10</v>
      </c>
      <c r="F29">
        <v>6</v>
      </c>
      <c r="G29">
        <v>6</v>
      </c>
      <c r="H29" s="17">
        <v>6</v>
      </c>
      <c r="I29" s="17">
        <v>6</v>
      </c>
      <c r="J29" s="17">
        <v>6</v>
      </c>
      <c r="K29" s="17">
        <v>6</v>
      </c>
      <c r="L29" s="17">
        <v>6</v>
      </c>
      <c r="M29" t="s">
        <v>138</v>
      </c>
    </row>
    <row r="30" spans="1:16" x14ac:dyDescent="0.25">
      <c r="A30" t="s">
        <v>58</v>
      </c>
      <c r="B30">
        <v>2612</v>
      </c>
      <c r="C30">
        <v>2248</v>
      </c>
      <c r="D30">
        <v>2836</v>
      </c>
      <c r="E30">
        <v>3358</v>
      </c>
      <c r="F30">
        <v>2862</v>
      </c>
      <c r="G30">
        <v>2851</v>
      </c>
      <c r="H30" s="101">
        <f>H89</f>
        <v>3123.091232187594</v>
      </c>
      <c r="I30" s="101">
        <f t="shared" ref="I30:L30" si="4">I89</f>
        <v>3045.7347000655227</v>
      </c>
      <c r="J30" s="101">
        <f t="shared" si="4"/>
        <v>2989.9571619609392</v>
      </c>
      <c r="K30" s="101">
        <f t="shared" si="4"/>
        <v>2938.9963198953778</v>
      </c>
      <c r="L30" s="101">
        <f t="shared" si="4"/>
        <v>2907.0688287196331</v>
      </c>
      <c r="M30" t="s">
        <v>145</v>
      </c>
    </row>
    <row r="31" spans="1:16" x14ac:dyDescent="0.25">
      <c r="A31" t="s">
        <v>100</v>
      </c>
      <c r="B31">
        <v>0</v>
      </c>
      <c r="C31">
        <v>445</v>
      </c>
      <c r="D31">
        <v>467</v>
      </c>
      <c r="E31">
        <v>420</v>
      </c>
      <c r="F31">
        <v>425</v>
      </c>
      <c r="G31">
        <v>477</v>
      </c>
      <c r="H31" s="17">
        <v>477</v>
      </c>
      <c r="I31" s="17">
        <v>477</v>
      </c>
      <c r="J31" s="17">
        <v>477</v>
      </c>
      <c r="K31" s="17">
        <v>477</v>
      </c>
      <c r="L31" s="17">
        <v>477</v>
      </c>
      <c r="M31" t="s">
        <v>138</v>
      </c>
    </row>
    <row r="32" spans="1:16" s="4" customFormat="1" x14ac:dyDescent="0.25">
      <c r="A32" t="s">
        <v>101</v>
      </c>
      <c r="B32">
        <v>5010</v>
      </c>
      <c r="C32">
        <v>5184</v>
      </c>
      <c r="D32">
        <v>6063</v>
      </c>
      <c r="E32">
        <v>6220</v>
      </c>
      <c r="F32">
        <v>5723</v>
      </c>
      <c r="G32">
        <v>5725</v>
      </c>
      <c r="H32" s="17">
        <v>5725</v>
      </c>
      <c r="I32" s="17">
        <v>5725</v>
      </c>
      <c r="J32" s="17">
        <v>5725</v>
      </c>
      <c r="K32" s="17">
        <v>5725</v>
      </c>
      <c r="L32" s="17">
        <v>5725</v>
      </c>
      <c r="M32" t="s">
        <v>138</v>
      </c>
      <c r="N32"/>
      <c r="O32"/>
    </row>
    <row r="33" spans="1:15" x14ac:dyDescent="0.25">
      <c r="A33" t="s">
        <v>102</v>
      </c>
      <c r="B33">
        <v>229</v>
      </c>
      <c r="C33">
        <v>156</v>
      </c>
      <c r="D33">
        <v>306</v>
      </c>
      <c r="E33">
        <v>222</v>
      </c>
      <c r="F33">
        <v>240</v>
      </c>
      <c r="G33">
        <v>534</v>
      </c>
      <c r="H33" s="17">
        <v>534</v>
      </c>
      <c r="I33" s="17">
        <v>534</v>
      </c>
      <c r="J33" s="17">
        <v>534</v>
      </c>
      <c r="K33" s="17">
        <v>534</v>
      </c>
      <c r="L33" s="17">
        <v>534</v>
      </c>
      <c r="M33" t="s">
        <v>138</v>
      </c>
    </row>
    <row r="34" spans="1:15" x14ac:dyDescent="0.25">
      <c r="A34" s="78" t="s">
        <v>103</v>
      </c>
      <c r="B34" s="78">
        <f>SUM(B28:B33)</f>
        <v>7866</v>
      </c>
      <c r="C34" s="78">
        <f t="shared" ref="C34:L34" si="5">SUM(C28:C33)</f>
        <v>8284</v>
      </c>
      <c r="D34" s="78">
        <f t="shared" si="5"/>
        <v>9674</v>
      </c>
      <c r="E34" s="78">
        <f t="shared" si="5"/>
        <v>10730</v>
      </c>
      <c r="F34" s="78">
        <f t="shared" si="5"/>
        <v>9256</v>
      </c>
      <c r="G34" s="78">
        <f t="shared" si="5"/>
        <v>10593</v>
      </c>
      <c r="H34" s="79">
        <f t="shared" si="5"/>
        <v>10865.091232187595</v>
      </c>
      <c r="I34" s="79">
        <f t="shared" si="5"/>
        <v>9787.7347000655227</v>
      </c>
      <c r="J34" s="79">
        <f t="shared" si="5"/>
        <v>11731.95716196094</v>
      </c>
      <c r="K34" s="79">
        <f t="shared" si="5"/>
        <v>9680.9963198953774</v>
      </c>
      <c r="L34" s="79">
        <f t="shared" si="5"/>
        <v>9649.0688287196335</v>
      </c>
    </row>
    <row r="36" spans="1:15" x14ac:dyDescent="0.25">
      <c r="A36" s="9" t="s">
        <v>104</v>
      </c>
    </row>
    <row r="37" spans="1:15" x14ac:dyDescent="0.25">
      <c r="A37" t="s">
        <v>53</v>
      </c>
      <c r="B37">
        <v>3464</v>
      </c>
      <c r="C37">
        <v>9406</v>
      </c>
      <c r="D37">
        <v>9413</v>
      </c>
      <c r="E37">
        <v>8920</v>
      </c>
      <c r="F37">
        <v>8927</v>
      </c>
      <c r="G37">
        <v>7903</v>
      </c>
      <c r="H37" s="17">
        <f>'Debt Schedule'!C12</f>
        <v>6903</v>
      </c>
      <c r="I37" s="17">
        <f>'Debt Schedule'!D12</f>
        <v>7903</v>
      </c>
      <c r="J37" s="17">
        <f>'Debt Schedule'!E12</f>
        <v>3903</v>
      </c>
      <c r="K37" s="17">
        <f>'Debt Schedule'!F12</f>
        <v>5903</v>
      </c>
      <c r="L37" s="17">
        <f>'Debt Schedule'!G12</f>
        <v>5903</v>
      </c>
    </row>
    <row r="38" spans="1:15" x14ac:dyDescent="0.25">
      <c r="A38" t="s">
        <v>105</v>
      </c>
      <c r="B38">
        <v>0</v>
      </c>
      <c r="C38">
        <v>2913</v>
      </c>
      <c r="D38">
        <v>2931</v>
      </c>
      <c r="E38">
        <v>2777</v>
      </c>
      <c r="F38">
        <v>2786</v>
      </c>
      <c r="G38">
        <v>2566</v>
      </c>
      <c r="H38" s="17">
        <v>2566</v>
      </c>
      <c r="I38" s="17">
        <v>2566</v>
      </c>
      <c r="J38" s="17">
        <v>2566</v>
      </c>
      <c r="K38" s="17">
        <v>2566</v>
      </c>
      <c r="L38" s="17">
        <v>2566</v>
      </c>
      <c r="M38" t="s">
        <v>138</v>
      </c>
    </row>
    <row r="39" spans="1:15" x14ac:dyDescent="0.25">
      <c r="A39" t="s">
        <v>106</v>
      </c>
      <c r="B39">
        <v>3347</v>
      </c>
      <c r="C39">
        <v>2684</v>
      </c>
      <c r="D39">
        <v>2955</v>
      </c>
      <c r="E39">
        <v>2613</v>
      </c>
      <c r="F39">
        <v>2558</v>
      </c>
      <c r="G39">
        <v>2618</v>
      </c>
      <c r="H39" s="17">
        <v>2618</v>
      </c>
      <c r="I39" s="17">
        <v>2618</v>
      </c>
      <c r="J39" s="17">
        <v>2618</v>
      </c>
      <c r="K39" s="17">
        <v>2618</v>
      </c>
      <c r="L39" s="17">
        <v>2618</v>
      </c>
      <c r="M39" t="s">
        <v>138</v>
      </c>
    </row>
    <row r="40" spans="1:15" x14ac:dyDescent="0.25">
      <c r="A40" t="s">
        <v>107</v>
      </c>
      <c r="H40" s="17"/>
      <c r="I40" s="17"/>
      <c r="J40" s="17"/>
      <c r="K40" s="17"/>
      <c r="L40" s="17"/>
      <c r="M40" t="s">
        <v>138</v>
      </c>
    </row>
    <row r="41" spans="1:15" x14ac:dyDescent="0.25">
      <c r="A4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</row>
    <row r="42" spans="1:15" s="4" customFormat="1" x14ac:dyDescent="0.25">
      <c r="A42" s="78" t="s">
        <v>109</v>
      </c>
      <c r="B42" s="78">
        <f>SUM(B37:B41)</f>
        <v>6811</v>
      </c>
      <c r="C42" s="78">
        <f t="shared" ref="C42:L42" si="6">SUM(C37:C41)</f>
        <v>15003</v>
      </c>
      <c r="D42" s="78">
        <f t="shared" si="6"/>
        <v>15299</v>
      </c>
      <c r="E42" s="78">
        <f t="shared" si="6"/>
        <v>14310</v>
      </c>
      <c r="F42" s="78">
        <f t="shared" si="6"/>
        <v>14271</v>
      </c>
      <c r="G42" s="78">
        <f t="shared" si="6"/>
        <v>13087</v>
      </c>
      <c r="H42" s="78">
        <f t="shared" si="6"/>
        <v>12087</v>
      </c>
      <c r="I42" s="78">
        <f t="shared" si="6"/>
        <v>13087</v>
      </c>
      <c r="J42" s="78">
        <f t="shared" si="6"/>
        <v>9087</v>
      </c>
      <c r="K42" s="78">
        <f t="shared" si="6"/>
        <v>11087</v>
      </c>
      <c r="L42" s="78">
        <f t="shared" si="6"/>
        <v>11087</v>
      </c>
      <c r="M42"/>
      <c r="N42"/>
      <c r="O42"/>
    </row>
    <row r="44" spans="1:15" s="4" customFormat="1" x14ac:dyDescent="0.25">
      <c r="A44" s="9" t="s">
        <v>110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25">
      <c r="A45" s="66" t="s">
        <v>111</v>
      </c>
    </row>
    <row r="46" spans="1:15" s="4" customFormat="1" x14ac:dyDescent="0.25">
      <c r="A46" s="83" t="s">
        <v>112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25">
      <c r="A47" s="83" t="s">
        <v>113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 s="17">
        <v>3</v>
      </c>
      <c r="I47" s="17">
        <v>3</v>
      </c>
      <c r="J47" s="17">
        <v>3</v>
      </c>
      <c r="K47" s="17">
        <v>3</v>
      </c>
      <c r="L47" s="17">
        <v>3</v>
      </c>
    </row>
    <row r="48" spans="1:15" x14ac:dyDescent="0.25">
      <c r="A48" t="s">
        <v>114</v>
      </c>
      <c r="B48">
        <v>7163</v>
      </c>
      <c r="C48">
        <v>8299</v>
      </c>
      <c r="D48">
        <v>9965</v>
      </c>
      <c r="E48">
        <v>11484</v>
      </c>
      <c r="F48">
        <v>12412</v>
      </c>
      <c r="G48">
        <v>13409</v>
      </c>
      <c r="H48" s="17">
        <v>13409</v>
      </c>
      <c r="I48" s="17">
        <v>13409</v>
      </c>
      <c r="J48" s="17">
        <v>13409</v>
      </c>
      <c r="K48" s="17">
        <v>13409</v>
      </c>
      <c r="L48" s="17">
        <v>13409</v>
      </c>
    </row>
    <row r="49" spans="1:13" x14ac:dyDescent="0.25">
      <c r="A49" t="s">
        <v>115</v>
      </c>
      <c r="B49">
        <v>231</v>
      </c>
      <c r="C49">
        <v>-56</v>
      </c>
      <c r="D49">
        <v>-380</v>
      </c>
      <c r="E49">
        <v>318</v>
      </c>
      <c r="F49">
        <v>231</v>
      </c>
      <c r="G49">
        <v>53</v>
      </c>
      <c r="H49" s="17">
        <v>53</v>
      </c>
      <c r="I49" s="17">
        <v>53</v>
      </c>
      <c r="J49" s="17">
        <v>53</v>
      </c>
      <c r="K49" s="17">
        <v>53</v>
      </c>
      <c r="L49" s="17">
        <v>53</v>
      </c>
      <c r="M49" t="s">
        <v>146</v>
      </c>
    </row>
    <row r="50" spans="1:13" x14ac:dyDescent="0.25">
      <c r="A50" t="s">
        <v>116</v>
      </c>
      <c r="B50">
        <v>1643</v>
      </c>
      <c r="C50">
        <v>-191</v>
      </c>
      <c r="D50">
        <v>3179</v>
      </c>
      <c r="E50">
        <v>3476</v>
      </c>
      <c r="F50">
        <v>1358</v>
      </c>
      <c r="G50">
        <v>965</v>
      </c>
      <c r="H50" s="102">
        <f>G50+'NIKE-IS'!H23+'NIKE-CFS'!B27</f>
        <v>3476.427063008086</v>
      </c>
      <c r="I50" s="102">
        <f>H50+'NIKE-IS'!I23+'NIKE-CFS'!C27</f>
        <v>5944.5517062071476</v>
      </c>
      <c r="J50" s="102">
        <f>I50+'NIKE-IS'!J23+'NIKE-CFS'!D27</f>
        <v>8372.3518135725008</v>
      </c>
      <c r="K50" s="102">
        <f>J50+'NIKE-IS'!K23+'NIKE-CFS'!E27</f>
        <v>10789.505919314022</v>
      </c>
      <c r="L50" s="102">
        <f>K50+'NIKE-IS'!L23+'NIKE-CFS'!F27</f>
        <v>13183.739720124418</v>
      </c>
    </row>
    <row r="52" spans="1:13" x14ac:dyDescent="0.25">
      <c r="A52" s="78" t="s">
        <v>117</v>
      </c>
      <c r="B52" s="78">
        <f>B34+B42+B47+B48+B49+B50+B51</f>
        <v>23717</v>
      </c>
      <c r="C52" s="78">
        <f t="shared" ref="C52:L52" si="7">C34+C42+C47+C48+C49+C50+C51</f>
        <v>31342</v>
      </c>
      <c r="D52" s="78">
        <f t="shared" si="7"/>
        <v>37740</v>
      </c>
      <c r="E52" s="78">
        <f t="shared" si="7"/>
        <v>40321</v>
      </c>
      <c r="F52" s="78">
        <f t="shared" si="7"/>
        <v>37531</v>
      </c>
      <c r="G52" s="78">
        <f t="shared" si="7"/>
        <v>38110</v>
      </c>
      <c r="H52" s="79">
        <f t="shared" si="7"/>
        <v>39893.518295195681</v>
      </c>
      <c r="I52" s="79">
        <f t="shared" si="7"/>
        <v>42284.286406272666</v>
      </c>
      <c r="J52" s="79">
        <f t="shared" si="7"/>
        <v>42656.308975533444</v>
      </c>
      <c r="K52" s="79">
        <f t="shared" si="7"/>
        <v>45022.502239209396</v>
      </c>
      <c r="L52" s="79">
        <f t="shared" si="7"/>
        <v>47384.808548844048</v>
      </c>
    </row>
    <row r="54" spans="1:13" x14ac:dyDescent="0.25">
      <c r="A54" s="180" t="s">
        <v>160</v>
      </c>
      <c r="B54" s="181">
        <f>B24-B52</f>
        <v>0</v>
      </c>
      <c r="C54" s="181">
        <f t="shared" ref="C54:L54" si="8">C24-C52</f>
        <v>0</v>
      </c>
      <c r="D54" s="181">
        <f t="shared" si="8"/>
        <v>0</v>
      </c>
      <c r="E54" s="181">
        <f t="shared" si="8"/>
        <v>0</v>
      </c>
      <c r="F54" s="181">
        <f t="shared" si="8"/>
        <v>0</v>
      </c>
      <c r="G54" s="181">
        <f t="shared" si="8"/>
        <v>0</v>
      </c>
      <c r="H54" s="181">
        <f t="shared" si="8"/>
        <v>0</v>
      </c>
      <c r="I54" s="181">
        <f t="shared" si="8"/>
        <v>0</v>
      </c>
      <c r="J54" s="181">
        <f t="shared" si="8"/>
        <v>0</v>
      </c>
      <c r="K54" s="181">
        <f t="shared" si="8"/>
        <v>0</v>
      </c>
      <c r="L54" s="181">
        <f t="shared" si="8"/>
        <v>0</v>
      </c>
    </row>
    <row r="63" spans="1:13" ht="23.25" x14ac:dyDescent="0.35">
      <c r="A63" s="202"/>
    </row>
    <row r="69" spans="1:13" ht="36" x14ac:dyDescent="0.55000000000000004">
      <c r="A69" s="444" t="s">
        <v>545</v>
      </c>
    </row>
    <row r="70" spans="1:13" x14ac:dyDescent="0.25">
      <c r="A70" s="31"/>
    </row>
    <row r="71" spans="1:13" ht="31.5" x14ac:dyDescent="0.5">
      <c r="A71" s="445" t="s">
        <v>546</v>
      </c>
    </row>
    <row r="72" spans="1:13" ht="23.25" x14ac:dyDescent="0.35">
      <c r="A72" s="203" t="s">
        <v>339</v>
      </c>
      <c r="B72" s="183">
        <f>'NIKE-IS'!B9</f>
        <v>39117</v>
      </c>
      <c r="C72" s="183">
        <f>'NIKE-IS'!C9</f>
        <v>37403</v>
      </c>
      <c r="D72" s="183">
        <f>'NIKE-IS'!D9</f>
        <v>44538</v>
      </c>
      <c r="E72" s="183">
        <f>'NIKE-IS'!E9</f>
        <v>46710</v>
      </c>
      <c r="F72" s="183">
        <f>'NIKE-IS'!F9</f>
        <v>51217</v>
      </c>
      <c r="G72" s="183">
        <f>'NIKE-IS'!G9</f>
        <v>51362</v>
      </c>
      <c r="H72" s="183">
        <f>'NIKE-IS'!H9</f>
        <v>50056.0198064902</v>
      </c>
      <c r="I72" s="183">
        <f>'NIKE-IS'!I9</f>
        <v>48816.171266634548</v>
      </c>
      <c r="J72" s="183">
        <f>'NIKE-IS'!J9</f>
        <v>47922.184717876371</v>
      </c>
      <c r="K72" s="183">
        <f>'NIKE-IS'!K9</f>
        <v>47105.39880605325</v>
      </c>
      <c r="L72" s="135"/>
      <c r="M72" s="183">
        <f>'NIKE-IS'!L9</f>
        <v>46593.674039836558</v>
      </c>
    </row>
    <row r="73" spans="1:13" ht="23.25" x14ac:dyDescent="0.35">
      <c r="A73" s="203" t="s">
        <v>86</v>
      </c>
      <c r="B73" s="135">
        <f t="shared" ref="B73:G73" si="9">B11</f>
        <v>4272</v>
      </c>
      <c r="C73" s="135">
        <f t="shared" si="9"/>
        <v>2749</v>
      </c>
      <c r="D73" s="135">
        <f t="shared" si="9"/>
        <v>4463</v>
      </c>
      <c r="E73" s="135">
        <f t="shared" si="9"/>
        <v>4667</v>
      </c>
      <c r="F73" s="135">
        <f t="shared" si="9"/>
        <v>4131</v>
      </c>
      <c r="G73" s="135">
        <f t="shared" si="9"/>
        <v>4427</v>
      </c>
      <c r="H73" s="182">
        <f>H72*33.4/365</f>
        <v>4580.4686617445823</v>
      </c>
      <c r="I73" s="182">
        <f>I72*33.4/365</f>
        <v>4467.0140282345037</v>
      </c>
      <c r="J73" s="182">
        <f>J72*33.4/365</f>
        <v>4385.2081358275909</v>
      </c>
      <c r="K73" s="182">
        <f>K72*33.4/365</f>
        <v>4310.4666304717221</v>
      </c>
      <c r="L73" s="135"/>
      <c r="M73" s="182">
        <f>M72*33.4/365</f>
        <v>4263.6403093987428</v>
      </c>
    </row>
    <row r="74" spans="1:13" ht="23.25" x14ac:dyDescent="0.35">
      <c r="A74" s="203" t="s">
        <v>336</v>
      </c>
      <c r="B74" s="182">
        <f t="shared" ref="B74:G74" si="10">B72/B73</f>
        <v>9.1566011235955056</v>
      </c>
      <c r="C74" s="182">
        <f t="shared" si="10"/>
        <v>13.606038559476174</v>
      </c>
      <c r="D74" s="182">
        <f t="shared" si="10"/>
        <v>9.9793860631861975</v>
      </c>
      <c r="E74" s="182">
        <f t="shared" si="10"/>
        <v>10.008570816370259</v>
      </c>
      <c r="F74" s="182">
        <f t="shared" si="10"/>
        <v>12.398208666182523</v>
      </c>
      <c r="G74" s="182">
        <f t="shared" si="10"/>
        <v>11.601987802123334</v>
      </c>
      <c r="H74" s="85"/>
      <c r="I74" s="85"/>
      <c r="J74" s="85"/>
      <c r="K74" s="85"/>
    </row>
    <row r="75" spans="1:13" ht="23.25" x14ac:dyDescent="0.35">
      <c r="A75" s="203" t="s">
        <v>340</v>
      </c>
      <c r="B75" s="182">
        <f t="shared" ref="B75:G75" si="11">365/B74</f>
        <v>39.861952603727282</v>
      </c>
      <c r="C75" s="182">
        <f t="shared" si="11"/>
        <v>26.826324091650402</v>
      </c>
      <c r="D75" s="182">
        <f t="shared" si="11"/>
        <v>36.575396290807852</v>
      </c>
      <c r="E75" s="182">
        <f t="shared" si="11"/>
        <v>36.468743309783775</v>
      </c>
      <c r="F75" s="182">
        <f t="shared" si="11"/>
        <v>29.439736806138587</v>
      </c>
      <c r="G75" s="182">
        <f t="shared" si="11"/>
        <v>31.460126163311397</v>
      </c>
      <c r="H75" s="85"/>
      <c r="I75" s="85"/>
      <c r="J75" s="85"/>
      <c r="K75" s="85"/>
    </row>
    <row r="76" spans="1:13" ht="23.25" x14ac:dyDescent="0.35">
      <c r="A76" s="202"/>
      <c r="B76" s="85"/>
      <c r="C76" s="85"/>
      <c r="D76" s="85"/>
      <c r="E76" s="85"/>
      <c r="F76" s="85"/>
      <c r="G76" s="85"/>
      <c r="H76" s="85"/>
      <c r="I76" s="85"/>
      <c r="J76" s="85"/>
      <c r="K76" s="85"/>
    </row>
    <row r="77" spans="1:13" ht="23.25" x14ac:dyDescent="0.35">
      <c r="A77" s="202"/>
      <c r="B77" s="85"/>
      <c r="C77" s="85"/>
      <c r="D77" s="85"/>
      <c r="E77" s="85"/>
      <c r="F77" s="85"/>
      <c r="G77" s="85"/>
      <c r="H77" s="85"/>
      <c r="I77" s="85"/>
      <c r="J77" s="85"/>
      <c r="K77" s="85"/>
    </row>
    <row r="78" spans="1:13" ht="23.25" x14ac:dyDescent="0.35">
      <c r="A78" s="203" t="s">
        <v>150</v>
      </c>
      <c r="B78" s="135">
        <f>'NIKE-IS'!B10</f>
        <v>21643</v>
      </c>
      <c r="C78" s="135">
        <f>'NIKE-IS'!C10</f>
        <v>21162</v>
      </c>
      <c r="D78" s="135">
        <f>'NIKE-IS'!D10</f>
        <v>24576</v>
      </c>
      <c r="E78" s="135">
        <f>'NIKE-IS'!E10</f>
        <v>25231</v>
      </c>
      <c r="F78" s="135">
        <f>'NIKE-IS'!F10</f>
        <v>28925</v>
      </c>
      <c r="G78" s="135">
        <f>'NIKE-IS'!G10</f>
        <v>28475</v>
      </c>
      <c r="H78" s="183">
        <f>'NIKE-IS'!H10</f>
        <v>27782.639379761655</v>
      </c>
      <c r="I78" s="183">
        <f>'NIKE-IS'!I10</f>
        <v>27094.485087800404</v>
      </c>
      <c r="J78" s="183">
        <f>'NIKE-IS'!J10</f>
        <v>26598.294899476925</v>
      </c>
      <c r="K78" s="183">
        <f>'NIKE-IS'!K10</f>
        <v>26144.953452706333</v>
      </c>
      <c r="L78" s="183">
        <f>'NIKE-IS'!L10</f>
        <v>25860.930378229925</v>
      </c>
    </row>
    <row r="79" spans="1:13" ht="23.25" x14ac:dyDescent="0.35">
      <c r="A79" s="203" t="s">
        <v>337</v>
      </c>
      <c r="B79" s="135">
        <f t="shared" ref="B79:G79" si="12">B12</f>
        <v>5622</v>
      </c>
      <c r="C79" s="135">
        <f t="shared" si="12"/>
        <v>7367</v>
      </c>
      <c r="D79" s="135">
        <f t="shared" si="12"/>
        <v>6854</v>
      </c>
      <c r="E79" s="135">
        <f t="shared" si="12"/>
        <v>8420</v>
      </c>
      <c r="F79" s="135">
        <f t="shared" si="12"/>
        <v>8454</v>
      </c>
      <c r="G79" s="135">
        <f t="shared" si="12"/>
        <v>7519</v>
      </c>
      <c r="H79" s="183">
        <f>$H$83*H78/365</f>
        <v>8227.4600745538082</v>
      </c>
      <c r="I79" s="183">
        <f>$H$83*I78/365</f>
        <v>8023.6723103729737</v>
      </c>
      <c r="J79" s="183">
        <f>$H$83*J78/365</f>
        <v>7876.7321687969879</v>
      </c>
      <c r="K79" s="183">
        <f>$H$83*K78/365</f>
        <v>7742.4811135800201</v>
      </c>
      <c r="L79" s="183">
        <f>$H$83*L78/365</f>
        <v>7658.3714480595827</v>
      </c>
    </row>
    <row r="80" spans="1:13" ht="23.25" x14ac:dyDescent="0.35">
      <c r="A80" s="202"/>
    </row>
    <row r="81" spans="1:12" ht="23.25" x14ac:dyDescent="0.35">
      <c r="A81" s="202"/>
    </row>
    <row r="82" spans="1:12" ht="23.25" x14ac:dyDescent="0.35">
      <c r="A82" s="203" t="s">
        <v>336</v>
      </c>
      <c r="B82" s="137">
        <f t="shared" ref="B82:G82" si="13">B78/B79</f>
        <v>3.8496976165065813</v>
      </c>
      <c r="C82" s="137">
        <f t="shared" si="13"/>
        <v>2.8725397040857881</v>
      </c>
      <c r="D82" s="137">
        <f t="shared" si="13"/>
        <v>3.5856434199007881</v>
      </c>
      <c r="E82" s="137">
        <f t="shared" si="13"/>
        <v>2.9965558194774347</v>
      </c>
      <c r="F82" s="137">
        <f t="shared" si="13"/>
        <v>3.4214572983203215</v>
      </c>
      <c r="G82" s="137">
        <f t="shared" si="13"/>
        <v>3.7870727490357758</v>
      </c>
    </row>
    <row r="83" spans="1:12" ht="23.25" x14ac:dyDescent="0.35">
      <c r="A83" s="203" t="s">
        <v>335</v>
      </c>
      <c r="B83" s="137">
        <f t="shared" ref="B83:G83" si="14">365/B82</f>
        <v>94.812641500716168</v>
      </c>
      <c r="C83" s="137">
        <f t="shared" si="14"/>
        <v>127.06525848218504</v>
      </c>
      <c r="D83" s="137">
        <f t="shared" si="14"/>
        <v>101.79484049479166</v>
      </c>
      <c r="E83" s="137">
        <f t="shared" si="14"/>
        <v>121.8065078673061</v>
      </c>
      <c r="F83" s="137">
        <f t="shared" si="14"/>
        <v>106.67968885047537</v>
      </c>
      <c r="G83" s="206">
        <f t="shared" si="14"/>
        <v>96.380509218612829</v>
      </c>
      <c r="H83" s="443">
        <f>AVERAGE(B83:G83)</f>
        <v>108.08990773568119</v>
      </c>
      <c r="I83" s="4" t="s">
        <v>342</v>
      </c>
    </row>
    <row r="85" spans="1:12" ht="23.25" x14ac:dyDescent="0.35">
      <c r="A85" s="202" t="s">
        <v>348</v>
      </c>
    </row>
    <row r="86" spans="1:12" ht="23.25" x14ac:dyDescent="0.35">
      <c r="A86" s="202"/>
    </row>
    <row r="87" spans="1:12" ht="23.25" x14ac:dyDescent="0.35">
      <c r="A87" s="203" t="s">
        <v>154</v>
      </c>
      <c r="B87" s="204">
        <f>B13/'NIKE-IS'!B9</f>
        <v>5.0310606641613624E-2</v>
      </c>
      <c r="C87" s="204">
        <f>C13/'NIKE-IS'!C9</f>
        <v>4.4194315963960111E-2</v>
      </c>
      <c r="D87" s="204">
        <f>D13/'NIKE-IS'!D9</f>
        <v>3.3634200008981097E-2</v>
      </c>
      <c r="E87" s="204">
        <f>E13/'NIKE-IS'!E9</f>
        <v>4.5579105116677371E-2</v>
      </c>
      <c r="F87" s="204">
        <f>F13/'NIKE-IS'!F9</f>
        <v>3.7917097838608277E-2</v>
      </c>
      <c r="G87" s="204">
        <f>G13/'NIKE-IS'!G9</f>
        <v>3.6096725205404773E-2</v>
      </c>
      <c r="H87" s="351">
        <f>AVERAGE(B87:G87)</f>
        <v>4.1288675129207544E-2</v>
      </c>
      <c r="I87" s="4" t="s">
        <v>341</v>
      </c>
    </row>
    <row r="88" spans="1:12" ht="23.25" x14ac:dyDescent="0.35">
      <c r="A88" s="203" t="s">
        <v>156</v>
      </c>
      <c r="B88" s="183">
        <f t="shared" ref="B88:L88" si="15">B78</f>
        <v>21643</v>
      </c>
      <c r="C88" s="183">
        <f t="shared" si="15"/>
        <v>21162</v>
      </c>
      <c r="D88" s="183">
        <f t="shared" si="15"/>
        <v>24576</v>
      </c>
      <c r="E88" s="183">
        <f t="shared" si="15"/>
        <v>25231</v>
      </c>
      <c r="F88" s="183">
        <f t="shared" si="15"/>
        <v>28925</v>
      </c>
      <c r="G88" s="183">
        <f t="shared" si="15"/>
        <v>28475</v>
      </c>
      <c r="H88" s="183">
        <f t="shared" si="15"/>
        <v>27782.639379761655</v>
      </c>
      <c r="I88" s="183">
        <f t="shared" si="15"/>
        <v>27094.485087800404</v>
      </c>
      <c r="J88" s="183">
        <f t="shared" si="15"/>
        <v>26598.294899476925</v>
      </c>
      <c r="K88" s="183">
        <f t="shared" si="15"/>
        <v>26144.953452706333</v>
      </c>
      <c r="L88" s="183">
        <f t="shared" si="15"/>
        <v>25860.930378229925</v>
      </c>
    </row>
    <row r="89" spans="1:12" ht="23.25" x14ac:dyDescent="0.35">
      <c r="A89" s="203" t="s">
        <v>157</v>
      </c>
      <c r="B89" s="135">
        <f t="shared" ref="B89:G89" si="16">B30</f>
        <v>2612</v>
      </c>
      <c r="C89" s="135">
        <f t="shared" si="16"/>
        <v>2248</v>
      </c>
      <c r="D89" s="135">
        <f t="shared" si="16"/>
        <v>2836</v>
      </c>
      <c r="E89" s="135">
        <f t="shared" si="16"/>
        <v>3358</v>
      </c>
      <c r="F89" s="135">
        <f t="shared" si="16"/>
        <v>2862</v>
      </c>
      <c r="G89" s="135">
        <f t="shared" si="16"/>
        <v>2851</v>
      </c>
      <c r="H89" s="183">
        <f>$B$94/365*H88</f>
        <v>3123.091232187594</v>
      </c>
      <c r="I89" s="183">
        <f>$B$94/365*I88</f>
        <v>3045.7347000655227</v>
      </c>
      <c r="J89" s="183">
        <f>$B$94/365*J88</f>
        <v>2989.9571619609392</v>
      </c>
      <c r="K89" s="183">
        <f>$B$94/365*K88</f>
        <v>2938.9963198953778</v>
      </c>
      <c r="L89" s="183">
        <f>$B$94/365*L88</f>
        <v>2907.0688287196331</v>
      </c>
    </row>
    <row r="90" spans="1:12" ht="23.25" x14ac:dyDescent="0.35">
      <c r="A90" s="203" t="s">
        <v>155</v>
      </c>
      <c r="B90" s="137">
        <f t="shared" ref="B90:G90" si="17">B88/B89</f>
        <v>8.2859877488514542</v>
      </c>
      <c r="C90" s="137">
        <f t="shared" si="17"/>
        <v>9.4137010676156585</v>
      </c>
      <c r="D90" s="137">
        <f t="shared" si="17"/>
        <v>8.6657263751763054</v>
      </c>
      <c r="E90" s="137">
        <f t="shared" si="17"/>
        <v>7.5136986301369859</v>
      </c>
      <c r="F90" s="137">
        <f t="shared" si="17"/>
        <v>10.106568832983926</v>
      </c>
      <c r="G90" s="137">
        <f t="shared" si="17"/>
        <v>9.9877236057523682</v>
      </c>
    </row>
    <row r="91" spans="1:12" ht="23.25" x14ac:dyDescent="0.35">
      <c r="A91" s="203" t="s">
        <v>158</v>
      </c>
      <c r="B91" s="137">
        <f>365/B90</f>
        <v>44.050270295245582</v>
      </c>
      <c r="C91" s="137">
        <f t="shared" ref="C91:F91" si="18">365/C90</f>
        <v>38.773272847556939</v>
      </c>
      <c r="D91" s="137">
        <f t="shared" si="18"/>
        <v>42.119954427083329</v>
      </c>
      <c r="E91" s="137">
        <f t="shared" si="18"/>
        <v>48.577939835916141</v>
      </c>
      <c r="F91" s="137">
        <f t="shared" si="18"/>
        <v>36.115125324114089</v>
      </c>
      <c r="G91" s="137">
        <f>365/G90</f>
        <v>36.544863915715538</v>
      </c>
    </row>
    <row r="92" spans="1:12" ht="23.25" x14ac:dyDescent="0.35">
      <c r="A92" s="202"/>
    </row>
    <row r="93" spans="1:12" ht="23.25" x14ac:dyDescent="0.35">
      <c r="A93" s="202"/>
    </row>
    <row r="94" spans="1:12" ht="23.25" x14ac:dyDescent="0.35">
      <c r="A94" s="202" t="s">
        <v>159</v>
      </c>
      <c r="B94" s="443">
        <f>AVERAGE(B91:G91)</f>
        <v>41.030237774271939</v>
      </c>
    </row>
    <row r="96" spans="1:12" ht="28.5" x14ac:dyDescent="0.45">
      <c r="A96" s="440" t="s">
        <v>343</v>
      </c>
      <c r="B96" s="441">
        <f>AVERAGE(B75:G75)</f>
        <v>33.438713210903217</v>
      </c>
      <c r="F96" s="205" t="s">
        <v>151</v>
      </c>
    </row>
    <row r="97" spans="1:11" ht="26.25" x14ac:dyDescent="0.4">
      <c r="A97" s="442" t="s">
        <v>344</v>
      </c>
      <c r="B97" s="440">
        <v>33.4</v>
      </c>
      <c r="F97" s="202" t="s">
        <v>147</v>
      </c>
    </row>
    <row r="98" spans="1:11" ht="28.5" x14ac:dyDescent="0.45">
      <c r="A98" s="440" t="s">
        <v>345</v>
      </c>
      <c r="B98" s="440" t="s">
        <v>148</v>
      </c>
      <c r="F98" s="205" t="s">
        <v>152</v>
      </c>
    </row>
    <row r="99" spans="1:11" ht="26.25" x14ac:dyDescent="0.4">
      <c r="A99" s="440" t="s">
        <v>346</v>
      </c>
      <c r="B99" s="440" t="s">
        <v>148</v>
      </c>
      <c r="F99" s="202" t="s">
        <v>350</v>
      </c>
    </row>
    <row r="100" spans="1:11" ht="26.25" x14ac:dyDescent="0.4">
      <c r="A100" s="440" t="s">
        <v>347</v>
      </c>
      <c r="B100" s="440" t="s">
        <v>149</v>
      </c>
      <c r="F100" s="203" t="s">
        <v>338</v>
      </c>
    </row>
    <row r="103" spans="1:11" ht="28.5" x14ac:dyDescent="0.45">
      <c r="A103" s="201" t="s">
        <v>349</v>
      </c>
      <c r="B103" s="205" t="s">
        <v>153</v>
      </c>
    </row>
    <row r="104" spans="1:11" ht="28.5" x14ac:dyDescent="0.45">
      <c r="K104" s="205"/>
    </row>
    <row r="105" spans="1:11" ht="28.5" x14ac:dyDescent="0.45">
      <c r="J105" s="205"/>
    </row>
    <row r="106" spans="1:11" ht="28.5" x14ac:dyDescent="0.45">
      <c r="K106" s="205"/>
    </row>
    <row r="121" spans="18:18" ht="23.25" x14ac:dyDescent="0.35">
      <c r="R121" s="202"/>
    </row>
  </sheetData>
  <mergeCells count="1">
    <mergeCell ref="A1:N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8"/>
  <sheetViews>
    <sheetView showGridLines="0" workbookViewId="0">
      <pane xSplit="1" ySplit="4" topLeftCell="B15" activePane="bottomRight" state="frozen"/>
      <selection pane="topRight" activeCell="B1" sqref="B1"/>
      <selection pane="bottomLeft" activeCell="A5" sqref="A5"/>
      <selection pane="bottomRight" activeCell="I25" sqref="I25"/>
    </sheetView>
  </sheetViews>
  <sheetFormatPr defaultRowHeight="15" x14ac:dyDescent="0.25"/>
  <cols>
    <col min="1" max="1" width="44" customWidth="1"/>
    <col min="2" max="5" width="12.140625" customWidth="1"/>
    <col min="6" max="6" width="10" customWidth="1"/>
  </cols>
  <sheetData>
    <row r="1" spans="1:11" ht="14.45" customHeight="1" x14ac:dyDescent="1.05">
      <c r="A1" s="487" t="s">
        <v>162</v>
      </c>
      <c r="B1" s="487"/>
      <c r="C1" s="487"/>
      <c r="D1" s="487"/>
      <c r="E1" s="487"/>
      <c r="F1" s="487"/>
      <c r="G1" s="185"/>
      <c r="H1" s="185"/>
      <c r="I1" s="185"/>
      <c r="J1" s="185"/>
      <c r="K1" s="185"/>
    </row>
    <row r="2" spans="1:11" ht="14.45" customHeight="1" x14ac:dyDescent="1.05">
      <c r="A2" s="487"/>
      <c r="B2" s="487"/>
      <c r="C2" s="487"/>
      <c r="D2" s="487"/>
      <c r="E2" s="487"/>
      <c r="F2" s="487"/>
      <c r="G2" s="185"/>
      <c r="H2" s="185"/>
      <c r="I2" s="185"/>
      <c r="J2" s="185"/>
      <c r="K2" s="185"/>
    </row>
    <row r="3" spans="1:11" ht="14.45" customHeight="1" x14ac:dyDescent="1.05">
      <c r="A3" s="487"/>
      <c r="B3" s="487"/>
      <c r="C3" s="487"/>
      <c r="D3" s="487"/>
      <c r="E3" s="487"/>
      <c r="F3" s="487"/>
      <c r="G3" s="185"/>
      <c r="H3" s="185"/>
      <c r="I3" s="185"/>
      <c r="J3" s="185"/>
      <c r="K3" s="185"/>
    </row>
    <row r="4" spans="1:11" x14ac:dyDescent="0.25">
      <c r="A4" s="487"/>
      <c r="B4" s="487"/>
      <c r="C4" s="487"/>
      <c r="D4" s="487"/>
      <c r="E4" s="487"/>
      <c r="F4" s="487"/>
    </row>
    <row r="5" spans="1:11" x14ac:dyDescent="0.25">
      <c r="A5" s="31" t="s">
        <v>6</v>
      </c>
      <c r="G5" s="8"/>
      <c r="H5" s="8"/>
    </row>
    <row r="6" spans="1:11" x14ac:dyDescent="0.25">
      <c r="A6" s="29" t="s">
        <v>22</v>
      </c>
      <c r="B6" s="178">
        <v>12</v>
      </c>
      <c r="C6" s="178">
        <v>12</v>
      </c>
      <c r="D6" s="178">
        <v>12</v>
      </c>
      <c r="E6" s="178">
        <v>12</v>
      </c>
      <c r="F6" s="178">
        <v>12</v>
      </c>
      <c r="G6" s="8"/>
      <c r="H6" s="8"/>
    </row>
    <row r="7" spans="1:11" x14ac:dyDescent="0.25">
      <c r="A7" s="34"/>
      <c r="B7" s="117">
        <v>45808</v>
      </c>
      <c r="C7" s="117">
        <v>46173</v>
      </c>
      <c r="D7" s="117">
        <v>46538</v>
      </c>
      <c r="E7" s="117">
        <v>46904</v>
      </c>
      <c r="F7" s="117">
        <v>47269</v>
      </c>
      <c r="G7" s="8"/>
      <c r="H7" s="8"/>
    </row>
    <row r="8" spans="1:11" x14ac:dyDescent="0.25">
      <c r="A8" s="30"/>
      <c r="B8" s="95"/>
      <c r="C8" s="95"/>
      <c r="D8" s="95"/>
      <c r="E8" s="95"/>
      <c r="F8" s="95"/>
      <c r="G8" s="8"/>
      <c r="H8" s="8"/>
    </row>
    <row r="9" spans="1:11" x14ac:dyDescent="0.25">
      <c r="A9" s="53" t="s">
        <v>31</v>
      </c>
      <c r="B9" s="95"/>
      <c r="C9" s="95"/>
      <c r="D9" s="95"/>
      <c r="E9" s="95"/>
      <c r="F9" s="95"/>
      <c r="G9" s="8"/>
      <c r="H9" s="8"/>
    </row>
    <row r="10" spans="1:11" x14ac:dyDescent="0.25">
      <c r="A10" s="54" t="s">
        <v>32</v>
      </c>
      <c r="B10" s="95">
        <f>'NIKE-IS'!H23</f>
        <v>4205.3366761689313</v>
      </c>
      <c r="C10" s="95">
        <f>'NIKE-IS'!I23</f>
        <v>4132.8276008021785</v>
      </c>
      <c r="D10" s="95">
        <f>'NIKE-IS'!J23</f>
        <v>4065.3049353070214</v>
      </c>
      <c r="E10" s="95">
        <f>'NIKE-IS'!K23</f>
        <v>4047.4784088103179</v>
      </c>
      <c r="F10" s="95">
        <f>'NIKE-IS'!L23</f>
        <v>4009.0987957307375</v>
      </c>
      <c r="G10" s="8"/>
      <c r="H10" s="8"/>
    </row>
    <row r="11" spans="1:11" x14ac:dyDescent="0.25">
      <c r="A11" s="54" t="s">
        <v>2</v>
      </c>
      <c r="B11" s="95">
        <f>'Fixed Assets Schedule'!H12+'Fixed Assets Schedule'!H32</f>
        <v>883.56927075078988</v>
      </c>
      <c r="C11" s="95">
        <f>'Fixed Assets Schedule'!I12+'Fixed Assets Schedule'!I32</f>
        <v>844.87318621628242</v>
      </c>
      <c r="D11" s="95">
        <f>'Fixed Assets Schedule'!J12+'Fixed Assets Schedule'!J32</f>
        <v>817.35645098983753</v>
      </c>
      <c r="E11" s="95">
        <f>'Fixed Assets Schedule'!K12+'Fixed Assets Schedule'!K32</f>
        <v>792.34495882842737</v>
      </c>
      <c r="F11" s="95">
        <f>'Fixed Assets Schedule'!L12+'Fixed Assets Schedule'!L32</f>
        <v>776.32328904397548</v>
      </c>
      <c r="G11" s="8"/>
      <c r="H11" s="8"/>
    </row>
    <row r="12" spans="1:11" x14ac:dyDescent="0.25">
      <c r="A12" s="54" t="s">
        <v>33</v>
      </c>
      <c r="B12" s="95"/>
      <c r="C12" s="95"/>
      <c r="D12" s="95"/>
      <c r="E12" s="95"/>
      <c r="F12" s="95"/>
      <c r="G12" s="8"/>
      <c r="H12" s="8"/>
    </row>
    <row r="13" spans="1:11" x14ac:dyDescent="0.25">
      <c r="A13" s="55" t="s">
        <v>34</v>
      </c>
      <c r="B13" s="95"/>
      <c r="C13" s="95"/>
      <c r="D13" s="95"/>
      <c r="E13" s="95"/>
      <c r="F13" s="95"/>
      <c r="G13" s="8"/>
      <c r="H13" s="8"/>
    </row>
    <row r="14" spans="1:11" x14ac:dyDescent="0.25">
      <c r="A14" s="1" t="s">
        <v>47</v>
      </c>
      <c r="B14" s="176">
        <f>'NIKE - BS'!G11-'NIKE - BS'!H11</f>
        <v>-153.46866174458228</v>
      </c>
      <c r="C14" s="176">
        <f>'NIKE - BS'!H11-'NIKE - BS'!I11</f>
        <v>113.45463351007857</v>
      </c>
      <c r="D14" s="176">
        <f>'NIKE - BS'!I11-'NIKE - BS'!J11</f>
        <v>81.80589240691279</v>
      </c>
      <c r="E14" s="176">
        <f>'NIKE - BS'!J11-'NIKE - BS'!K11</f>
        <v>74.741505355868867</v>
      </c>
      <c r="F14" s="176">
        <f>'NIKE - BS'!K11-'NIKE - BS'!L11</f>
        <v>46.826321072979226</v>
      </c>
      <c r="G14" s="8"/>
      <c r="H14" s="8"/>
    </row>
    <row r="15" spans="1:11" x14ac:dyDescent="0.25">
      <c r="A15" s="54" t="s">
        <v>0</v>
      </c>
      <c r="B15" s="176">
        <f>'NIKE - BS'!G12-'NIKE - BS'!H12</f>
        <v>-708.46007455380823</v>
      </c>
      <c r="C15" s="176">
        <f>'NIKE - BS'!H12-'NIKE - BS'!I12</f>
        <v>203.78776418083453</v>
      </c>
      <c r="D15" s="176">
        <f>'NIKE - BS'!I12-'NIKE - BS'!J12</f>
        <v>146.94014157598576</v>
      </c>
      <c r="E15" s="176">
        <f>'NIKE - BS'!J12-'NIKE - BS'!K12</f>
        <v>134.25105521696787</v>
      </c>
      <c r="F15" s="176">
        <f>'NIKE - BS'!K12-'NIKE - BS'!L12</f>
        <v>84.109665520437375</v>
      </c>
      <c r="G15" s="8"/>
      <c r="H15" s="8"/>
    </row>
    <row r="16" spans="1:11" x14ac:dyDescent="0.25">
      <c r="A16" s="54" t="s">
        <v>35</v>
      </c>
      <c r="B16" s="176">
        <f>'NIKE - BS'!G13-'NIKE - BS'!H13</f>
        <v>-212.74674005135194</v>
      </c>
      <c r="C16" s="176">
        <f>'NIKE - BS'!H13-'NIKE - BS'!I13</f>
        <v>51.191703571522112</v>
      </c>
      <c r="D16" s="176">
        <f>'NIKE - BS'!I13-'NIKE - BS'!J13</f>
        <v>36.911520181557762</v>
      </c>
      <c r="E16" s="176">
        <f>'NIKE - BS'!J13-'NIKE - BS'!K13</f>
        <v>33.724008163378585</v>
      </c>
      <c r="F16" s="176">
        <f>'NIKE - BS'!K13-'NIKE - BS'!L13</f>
        <v>21.128437627890662</v>
      </c>
      <c r="G16" s="8"/>
      <c r="H16" s="8"/>
    </row>
    <row r="17" spans="1:8" x14ac:dyDescent="0.25">
      <c r="A17" s="54" t="s">
        <v>1</v>
      </c>
      <c r="B17" s="176">
        <f>'NIKE - BS'!H30-'NIKE - BS'!G30</f>
        <v>272.09123218759396</v>
      </c>
      <c r="C17" s="176">
        <f>'NIKE - BS'!I30-'NIKE - BS'!H30</f>
        <v>-77.356532122071258</v>
      </c>
      <c r="D17" s="176">
        <f>'NIKE - BS'!J30-'NIKE - BS'!I30</f>
        <v>-55.777538104583527</v>
      </c>
      <c r="E17" s="176">
        <f>'NIKE - BS'!K30-'NIKE - BS'!J30</f>
        <v>-50.960842065561337</v>
      </c>
      <c r="F17" s="176">
        <f>'NIKE - BS'!L30-'NIKE - BS'!K30</f>
        <v>-31.927491175744763</v>
      </c>
      <c r="G17" s="8" t="s">
        <v>161</v>
      </c>
      <c r="H17" s="8"/>
    </row>
    <row r="18" spans="1:8" x14ac:dyDescent="0.25">
      <c r="A18" s="30"/>
      <c r="B18" s="95"/>
      <c r="C18" s="95"/>
      <c r="D18" s="95"/>
      <c r="E18" s="95"/>
      <c r="F18" s="95"/>
      <c r="G18" s="8"/>
      <c r="H18" s="8"/>
    </row>
    <row r="19" spans="1:8" x14ac:dyDescent="0.25">
      <c r="A19" s="53" t="s">
        <v>3</v>
      </c>
      <c r="B19" s="174">
        <f t="shared" ref="B19:F19" si="0">SUM(B10:B18)</f>
        <v>4286.321702757572</v>
      </c>
      <c r="C19" s="174">
        <f t="shared" si="0"/>
        <v>5268.7783561588249</v>
      </c>
      <c r="D19" s="174">
        <f t="shared" si="0"/>
        <v>5092.5414023567319</v>
      </c>
      <c r="E19" s="174">
        <f t="shared" si="0"/>
        <v>5031.5790943093989</v>
      </c>
      <c r="F19" s="174">
        <f t="shared" si="0"/>
        <v>4905.5590178202756</v>
      </c>
      <c r="G19" s="8"/>
      <c r="H19" s="8"/>
    </row>
    <row r="20" spans="1:8" x14ac:dyDescent="0.25">
      <c r="A20" s="30"/>
      <c r="B20" s="95"/>
      <c r="C20" s="95"/>
      <c r="D20" s="95"/>
      <c r="E20" s="95"/>
      <c r="F20" s="95"/>
      <c r="G20" s="8"/>
      <c r="H20" s="8"/>
    </row>
    <row r="21" spans="1:8" x14ac:dyDescent="0.25">
      <c r="A21" s="53" t="s">
        <v>36</v>
      </c>
      <c r="B21" s="95"/>
      <c r="C21" s="95"/>
      <c r="D21" s="95"/>
      <c r="E21" s="95"/>
      <c r="F21" s="95"/>
      <c r="G21" s="8"/>
      <c r="H21" s="8"/>
    </row>
    <row r="22" spans="1:8" x14ac:dyDescent="0.25">
      <c r="A22" s="54" t="s">
        <v>37</v>
      </c>
      <c r="B22" s="176">
        <f>-'Fixed Assets Schedule'!H10</f>
        <v>-1262.7452232606111</v>
      </c>
      <c r="C22" s="176">
        <f>-'Fixed Assets Schedule'!I10</f>
        <v>-658.21078304330604</v>
      </c>
      <c r="D22" s="176">
        <f>-'Fixed Assets Schedule'!J10</f>
        <v>-681.83338198806996</v>
      </c>
      <c r="E22" s="176">
        <f>-'Fixed Assets Schedule'!K10</f>
        <v>-677.85690755125233</v>
      </c>
      <c r="F22" s="176">
        <f>-'Fixed Assets Schedule'!L10</f>
        <v>-701.13006763012345</v>
      </c>
      <c r="G22" s="8"/>
      <c r="H22" s="8"/>
    </row>
    <row r="23" spans="1:8" x14ac:dyDescent="0.25">
      <c r="A23" s="30"/>
      <c r="B23" s="95"/>
      <c r="C23" s="95"/>
      <c r="D23" s="95"/>
      <c r="E23" s="95"/>
      <c r="F23" s="95"/>
      <c r="G23" s="8"/>
      <c r="H23" s="8"/>
    </row>
    <row r="24" spans="1:8" x14ac:dyDescent="0.25">
      <c r="A24" s="53" t="s">
        <v>38</v>
      </c>
      <c r="B24" s="172">
        <f t="shared" ref="B24:F24" si="1">B22</f>
        <v>-1262.7452232606111</v>
      </c>
      <c r="C24" s="172">
        <f t="shared" si="1"/>
        <v>-658.21078304330604</v>
      </c>
      <c r="D24" s="172">
        <f t="shared" si="1"/>
        <v>-681.83338198806996</v>
      </c>
      <c r="E24" s="172">
        <f t="shared" si="1"/>
        <v>-677.85690755125233</v>
      </c>
      <c r="F24" s="172">
        <f t="shared" si="1"/>
        <v>-701.13006763012345</v>
      </c>
      <c r="G24" s="8"/>
      <c r="H24" s="8"/>
    </row>
    <row r="25" spans="1:8" x14ac:dyDescent="0.25">
      <c r="A25" s="30"/>
      <c r="B25" s="95"/>
      <c r="C25" s="95"/>
      <c r="D25" s="95"/>
      <c r="E25" s="95"/>
      <c r="F25" s="95"/>
      <c r="G25" s="8"/>
      <c r="H25" s="8"/>
    </row>
    <row r="26" spans="1:8" x14ac:dyDescent="0.25">
      <c r="A26" s="53" t="s">
        <v>39</v>
      </c>
      <c r="B26" s="95"/>
      <c r="C26" s="95"/>
      <c r="D26" s="95"/>
      <c r="E26" s="95"/>
      <c r="F26" s="95"/>
      <c r="G26" s="8"/>
      <c r="H26" s="8"/>
    </row>
    <row r="27" spans="1:8" x14ac:dyDescent="0.25">
      <c r="A27" s="54" t="s">
        <v>40</v>
      </c>
      <c r="B27" s="176">
        <f>-'NIKE-IS'!$H$33*'NIKE-IS'!H23</f>
        <v>-1693.9096131608453</v>
      </c>
      <c r="C27" s="176">
        <f>-'NIKE-IS'!$H$33*'NIKE-IS'!I23</f>
        <v>-1664.7029576031173</v>
      </c>
      <c r="D27" s="176">
        <f>-'NIKE-IS'!$H$33*'NIKE-IS'!J23</f>
        <v>-1637.5048279416681</v>
      </c>
      <c r="E27" s="176">
        <f>-'NIKE-IS'!$H$33*'NIKE-IS'!K23</f>
        <v>-1630.3243030687959</v>
      </c>
      <c r="F27" s="176">
        <f>-'NIKE-IS'!$H$33*'NIKE-IS'!L23</f>
        <v>-1614.8649949203409</v>
      </c>
      <c r="G27" s="8"/>
      <c r="H27" s="8"/>
    </row>
    <row r="28" spans="1:8" x14ac:dyDescent="0.25">
      <c r="A28" s="53"/>
      <c r="B28" s="95"/>
      <c r="C28" s="95"/>
      <c r="D28" s="95"/>
      <c r="E28" s="95"/>
      <c r="F28" s="95"/>
      <c r="G28" s="8"/>
      <c r="H28" s="8"/>
    </row>
    <row r="29" spans="1:8" x14ac:dyDescent="0.25">
      <c r="A29" s="54" t="s">
        <v>41</v>
      </c>
      <c r="B29" s="95"/>
      <c r="C29" s="177"/>
      <c r="D29" s="177"/>
      <c r="E29" s="177"/>
      <c r="F29" s="177"/>
      <c r="G29" s="8"/>
      <c r="H29" s="8"/>
    </row>
    <row r="30" spans="1:8" x14ac:dyDescent="0.25">
      <c r="A30" s="54" t="s">
        <v>42</v>
      </c>
      <c r="B30" s="176">
        <f>-'Debt Schedule'!C8</f>
        <v>-1000</v>
      </c>
      <c r="C30" s="176">
        <f>'Debt Schedule'!D8</f>
        <v>0</v>
      </c>
      <c r="D30" s="176">
        <f>-'Debt Schedule'!E8</f>
        <v>-2000</v>
      </c>
      <c r="E30" s="176">
        <f>'Debt Schedule'!F8</f>
        <v>0</v>
      </c>
      <c r="F30" s="176">
        <f>'Debt Schedule'!G8</f>
        <v>0</v>
      </c>
      <c r="G30" s="8"/>
      <c r="H30" s="8"/>
    </row>
    <row r="31" spans="1:8" x14ac:dyDescent="0.25">
      <c r="A31" s="30"/>
      <c r="B31" s="95" t="s">
        <v>48</v>
      </c>
      <c r="C31" s="95"/>
      <c r="D31" s="95"/>
      <c r="E31" s="95"/>
      <c r="F31" s="95"/>
      <c r="G31" s="8"/>
      <c r="H31" s="8"/>
    </row>
    <row r="32" spans="1:8" s="4" customFormat="1" x14ac:dyDescent="0.25">
      <c r="A32" s="54"/>
      <c r="B32" s="95"/>
      <c r="C32" s="95"/>
      <c r="D32" s="95"/>
      <c r="E32" s="95"/>
      <c r="F32" s="95"/>
      <c r="G32" s="22"/>
      <c r="H32" s="22"/>
    </row>
    <row r="33" spans="1:8" x14ac:dyDescent="0.25">
      <c r="A33" s="53" t="s">
        <v>43</v>
      </c>
      <c r="B33" s="173">
        <f t="shared" ref="B33:F33" si="2">SUM(B27:B30)</f>
        <v>-2693.9096131608453</v>
      </c>
      <c r="C33" s="173">
        <f t="shared" si="2"/>
        <v>-1664.7029576031173</v>
      </c>
      <c r="D33" s="173">
        <f t="shared" si="2"/>
        <v>-3637.5048279416678</v>
      </c>
      <c r="E33" s="173">
        <f t="shared" si="2"/>
        <v>-1630.3243030687959</v>
      </c>
      <c r="F33" s="173">
        <f t="shared" si="2"/>
        <v>-1614.8649949203409</v>
      </c>
      <c r="G33" s="8"/>
      <c r="H33" s="8"/>
    </row>
    <row r="34" spans="1:8" s="4" customFormat="1" x14ac:dyDescent="0.25">
      <c r="A34" s="30"/>
      <c r="B34" s="95"/>
      <c r="C34" s="95"/>
      <c r="D34" s="95"/>
      <c r="E34" s="95"/>
      <c r="F34" s="95"/>
      <c r="G34" s="22"/>
      <c r="H34" s="22"/>
    </row>
    <row r="35" spans="1:8" x14ac:dyDescent="0.25">
      <c r="A35" s="53" t="s">
        <v>44</v>
      </c>
      <c r="B35" s="174">
        <f t="shared" ref="B35:F35" si="3">B33+B24+B19</f>
        <v>329.66686633611562</v>
      </c>
      <c r="C35" s="174">
        <f t="shared" si="3"/>
        <v>2945.8646155124015</v>
      </c>
      <c r="D35" s="174">
        <f t="shared" si="3"/>
        <v>773.20319242699406</v>
      </c>
      <c r="E35" s="174">
        <f t="shared" si="3"/>
        <v>2723.3978836893507</v>
      </c>
      <c r="F35" s="174">
        <f t="shared" si="3"/>
        <v>2589.5639552698112</v>
      </c>
      <c r="G35" s="8"/>
      <c r="H35" s="8"/>
    </row>
    <row r="36" spans="1:8" x14ac:dyDescent="0.25">
      <c r="A36" s="53" t="s">
        <v>45</v>
      </c>
      <c r="B36" s="95">
        <f>'NIKE - BS'!G9</f>
        <v>9860</v>
      </c>
      <c r="C36" s="95">
        <f>B37</f>
        <v>10189.666866336116</v>
      </c>
      <c r="D36" s="95">
        <f t="shared" ref="D36:F36" si="4">C37</f>
        <v>13135.531481848517</v>
      </c>
      <c r="E36" s="95">
        <f t="shared" si="4"/>
        <v>13908.734674275511</v>
      </c>
      <c r="F36" s="95">
        <f t="shared" si="4"/>
        <v>16632.132557964862</v>
      </c>
      <c r="G36" s="8"/>
      <c r="H36" s="8"/>
    </row>
    <row r="37" spans="1:8" ht="15.75" thickBot="1" x14ac:dyDescent="0.3">
      <c r="A37" s="53" t="s">
        <v>46</v>
      </c>
      <c r="B37" s="175">
        <f>SUM(B35:B36)</f>
        <v>10189.666866336116</v>
      </c>
      <c r="C37" s="175">
        <f t="shared" ref="C37:F37" si="5">SUM(C35:C36)</f>
        <v>13135.531481848517</v>
      </c>
      <c r="D37" s="175">
        <f t="shared" si="5"/>
        <v>13908.734674275511</v>
      </c>
      <c r="E37" s="175">
        <f t="shared" si="5"/>
        <v>16632.132557964862</v>
      </c>
      <c r="F37" s="175">
        <f t="shared" si="5"/>
        <v>19221.696513234674</v>
      </c>
      <c r="G37" s="8"/>
      <c r="H37" s="8"/>
    </row>
    <row r="38" spans="1:8" ht="15.75" thickTop="1" x14ac:dyDescent="0.25">
      <c r="B38" s="8"/>
      <c r="C38" s="8"/>
      <c r="D38" s="8"/>
      <c r="E38" s="8"/>
      <c r="F38" s="8"/>
      <c r="G38" s="8"/>
      <c r="H38" s="8"/>
    </row>
    <row r="39" spans="1:8" x14ac:dyDescent="0.25">
      <c r="A39" s="52" t="s">
        <v>24</v>
      </c>
      <c r="B39" s="485"/>
      <c r="C39" s="485"/>
      <c r="D39" s="485"/>
      <c r="E39" s="486"/>
      <c r="F39" s="8"/>
    </row>
    <row r="40" spans="1:8" x14ac:dyDescent="0.25">
      <c r="B40" s="8"/>
      <c r="C40" s="8"/>
      <c r="D40" s="8"/>
      <c r="E40" s="8"/>
      <c r="F40" s="8"/>
    </row>
    <row r="41" spans="1:8" x14ac:dyDescent="0.25">
      <c r="B41" s="8"/>
      <c r="C41" s="8"/>
      <c r="D41" s="8"/>
      <c r="E41" s="8"/>
      <c r="F41" s="8"/>
    </row>
    <row r="46" spans="1:8" x14ac:dyDescent="0.25">
      <c r="B46" s="58"/>
      <c r="C46" s="58"/>
      <c r="D46" s="58"/>
      <c r="E46" s="58"/>
      <c r="F46" s="58"/>
    </row>
    <row r="48" spans="1:8" x14ac:dyDescent="0.25">
      <c r="B48" s="58"/>
    </row>
  </sheetData>
  <mergeCells count="2">
    <mergeCell ref="B39:E39"/>
    <mergeCell ref="A1:F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3"/>
  <sheetViews>
    <sheetView zoomScale="64" workbookViewId="0">
      <selection activeCell="E9" sqref="E9"/>
    </sheetView>
  </sheetViews>
  <sheetFormatPr defaultRowHeight="15" x14ac:dyDescent="0.25"/>
  <cols>
    <col min="1" max="1" width="33.28515625" bestFit="1" customWidth="1"/>
    <col min="2" max="2" width="21.7109375" bestFit="1" customWidth="1"/>
    <col min="3" max="3" width="16.28515625" bestFit="1" customWidth="1"/>
    <col min="5" max="5" width="22.140625" customWidth="1"/>
    <col min="6" max="6" width="10.85546875" bestFit="1" customWidth="1"/>
    <col min="9" max="9" width="13.5703125" bestFit="1" customWidth="1"/>
    <col min="14" max="14" width="13.5703125" bestFit="1" customWidth="1"/>
    <col min="18" max="18" width="33.28515625" bestFit="1" customWidth="1"/>
    <col min="22" max="22" width="19" bestFit="1" customWidth="1"/>
    <col min="23" max="23" width="19.140625" customWidth="1"/>
    <col min="24" max="24" width="14.5703125" customWidth="1"/>
  </cols>
  <sheetData>
    <row r="1" spans="1:27" ht="45" x14ac:dyDescent="0.6">
      <c r="A1" s="488" t="s">
        <v>162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9"/>
    </row>
    <row r="3" spans="1:27" x14ac:dyDescent="0.25">
      <c r="A3" s="186" t="s">
        <v>172</v>
      </c>
      <c r="B3" s="191" t="s">
        <v>171</v>
      </c>
      <c r="E3" t="s">
        <v>549</v>
      </c>
      <c r="F3" s="468">
        <v>45683</v>
      </c>
    </row>
    <row r="4" spans="1:27" x14ac:dyDescent="0.25">
      <c r="A4" s="190" t="s">
        <v>300</v>
      </c>
      <c r="B4" s="189">
        <f>B273</f>
        <v>1.0813493987999467</v>
      </c>
      <c r="E4" t="s">
        <v>550</v>
      </c>
      <c r="F4" s="468">
        <v>45647</v>
      </c>
    </row>
    <row r="5" spans="1:27" x14ac:dyDescent="0.25">
      <c r="A5" s="190" t="s">
        <v>303</v>
      </c>
      <c r="B5" s="189">
        <f>F273</f>
        <v>1.1249930180369794</v>
      </c>
    </row>
    <row r="6" spans="1:27" x14ac:dyDescent="0.25">
      <c r="A6" s="190" t="s">
        <v>551</v>
      </c>
      <c r="B6" s="189">
        <f>J273</f>
        <v>1.228818610710273</v>
      </c>
    </row>
    <row r="7" spans="1:27" x14ac:dyDescent="0.25">
      <c r="A7" s="190" t="s">
        <v>552</v>
      </c>
      <c r="B7" s="189">
        <f>R273</f>
        <v>2.1004793262607548</v>
      </c>
    </row>
    <row r="8" spans="1:27" x14ac:dyDescent="0.25">
      <c r="A8" s="190" t="s">
        <v>305</v>
      </c>
      <c r="B8" s="189">
        <f>V273</f>
        <v>0.78779981440444746</v>
      </c>
    </row>
    <row r="9" spans="1:27" ht="15.75" x14ac:dyDescent="0.25">
      <c r="A9" s="469" t="s">
        <v>553</v>
      </c>
      <c r="B9" s="470">
        <f>N273</f>
        <v>1.2795355687316441</v>
      </c>
    </row>
    <row r="12" spans="1:27" x14ac:dyDescent="0.25">
      <c r="A12" s="188" t="s">
        <v>300</v>
      </c>
      <c r="E12" s="187" t="s">
        <v>299</v>
      </c>
      <c r="I12" s="187" t="s">
        <v>551</v>
      </c>
      <c r="M12" s="187" t="s">
        <v>552</v>
      </c>
      <c r="Q12" s="188" t="s">
        <v>553</v>
      </c>
      <c r="U12" s="187" t="s">
        <v>305</v>
      </c>
      <c r="Y12" s="187" t="s">
        <v>170</v>
      </c>
    </row>
    <row r="13" spans="1:27" x14ac:dyDescent="0.25">
      <c r="A13" s="186" t="s">
        <v>169</v>
      </c>
      <c r="B13" s="186" t="s">
        <v>168</v>
      </c>
      <c r="C13" s="186" t="s">
        <v>167</v>
      </c>
      <c r="E13" s="186" t="s">
        <v>169</v>
      </c>
      <c r="F13" s="186" t="s">
        <v>168</v>
      </c>
      <c r="G13" s="186" t="s">
        <v>167</v>
      </c>
      <c r="I13" s="186" t="s">
        <v>169</v>
      </c>
      <c r="J13" s="186" t="s">
        <v>168</v>
      </c>
      <c r="K13" s="186" t="s">
        <v>167</v>
      </c>
      <c r="M13" s="186" t="s">
        <v>169</v>
      </c>
      <c r="N13" s="186" t="s">
        <v>168</v>
      </c>
      <c r="O13" s="186" t="s">
        <v>167</v>
      </c>
      <c r="P13" s="4"/>
      <c r="Q13" s="186" t="s">
        <v>169</v>
      </c>
      <c r="R13" s="186" t="s">
        <v>168</v>
      </c>
      <c r="S13" s="186" t="s">
        <v>167</v>
      </c>
      <c r="U13" s="186" t="s">
        <v>169</v>
      </c>
      <c r="V13" s="186" t="s">
        <v>168</v>
      </c>
      <c r="W13" s="186" t="s">
        <v>167</v>
      </c>
      <c r="Y13" s="186" t="s">
        <v>169</v>
      </c>
      <c r="Z13" s="186" t="s">
        <v>168</v>
      </c>
      <c r="AA13" s="186" t="s">
        <v>167</v>
      </c>
    </row>
    <row r="14" spans="1:27" x14ac:dyDescent="0.25">
      <c r="A14" s="196" t="s">
        <v>304</v>
      </c>
      <c r="B14" s="194">
        <v>74.39</v>
      </c>
      <c r="C14" s="195">
        <f>B14/B15-1</f>
        <v>1.1145847492184391E-2</v>
      </c>
      <c r="E14" s="196" t="s">
        <v>304</v>
      </c>
      <c r="F14" s="194">
        <v>265.52</v>
      </c>
      <c r="G14" s="195">
        <f>F14/F15-1</f>
        <v>-9.031872807344965E-3</v>
      </c>
      <c r="I14" s="196" t="s">
        <v>304</v>
      </c>
      <c r="J14">
        <v>75.34</v>
      </c>
      <c r="K14" s="195">
        <f>J14/J15-1</f>
        <v>-7.9009744535158966E-3</v>
      </c>
      <c r="M14" s="196" t="s">
        <v>304</v>
      </c>
      <c r="N14">
        <v>177.36</v>
      </c>
      <c r="O14" s="195">
        <f>N14/N15-1</f>
        <v>-0.18327500460489954</v>
      </c>
      <c r="Q14" s="197" t="s">
        <v>304</v>
      </c>
      <c r="R14">
        <v>102.07</v>
      </c>
      <c r="S14" s="195">
        <f>R14/R15-1</f>
        <v>-1.4673231006854026E-2</v>
      </c>
      <c r="U14" s="196" t="s">
        <v>304</v>
      </c>
      <c r="V14" s="194">
        <v>23.05</v>
      </c>
      <c r="W14" s="195">
        <f>V14/V15-1</f>
        <v>8.3114610673666878E-3</v>
      </c>
      <c r="Y14" s="196" t="s">
        <v>304</v>
      </c>
      <c r="Z14" s="200">
        <v>6103.25</v>
      </c>
      <c r="AA14" s="195">
        <f>Z14/Z15-1</f>
        <v>-4.8913708066685713E-3</v>
      </c>
    </row>
    <row r="15" spans="1:27" x14ac:dyDescent="0.25">
      <c r="A15" s="196" t="s">
        <v>173</v>
      </c>
      <c r="B15" s="194">
        <v>73.569999999999993</v>
      </c>
      <c r="C15" s="195">
        <f t="shared" ref="C15:C78" si="0">B15/B16-1</f>
        <v>3.8537549407114513E-2</v>
      </c>
      <c r="E15" s="196" t="s">
        <v>173</v>
      </c>
      <c r="F15" s="194">
        <v>267.94</v>
      </c>
      <c r="G15" s="195">
        <f t="shared" ref="G15:G78" si="1">F15/F16-1</f>
        <v>8.3680485338726074E-2</v>
      </c>
      <c r="I15" s="196" t="s">
        <v>173</v>
      </c>
      <c r="J15">
        <v>75.94</v>
      </c>
      <c r="K15" s="195">
        <f t="shared" ref="K15:K78" si="2">J15/J16-1</f>
        <v>8.5477415666094902E-2</v>
      </c>
      <c r="M15" s="196" t="s">
        <v>173</v>
      </c>
      <c r="N15">
        <v>217.16</v>
      </c>
      <c r="O15" s="195">
        <f t="shared" ref="O15:O78" si="3">N15/N16-1</f>
        <v>3.4538611786003592E-2</v>
      </c>
      <c r="Q15" s="197" t="s">
        <v>173</v>
      </c>
      <c r="R15">
        <v>103.59</v>
      </c>
      <c r="S15" s="195">
        <f t="shared" ref="S15:S78" si="4">R15/R16-1</f>
        <v>3.621086325897771E-2</v>
      </c>
      <c r="U15" s="196" t="s">
        <v>173</v>
      </c>
      <c r="V15" s="194">
        <v>22.86</v>
      </c>
      <c r="W15" s="195">
        <f t="shared" ref="W15:W78" si="5">V15/V16-1</f>
        <v>6.9223573433115027E-2</v>
      </c>
      <c r="Y15" s="196" t="s">
        <v>173</v>
      </c>
      <c r="Z15" s="200">
        <v>6133.25</v>
      </c>
      <c r="AA15" s="195">
        <f t="shared" ref="AA15:AA78" si="6">Z15/Z16-1</f>
        <v>1.6532692467059018E-2</v>
      </c>
    </row>
    <row r="16" spans="1:27" x14ac:dyDescent="0.25">
      <c r="A16" s="196">
        <v>45992</v>
      </c>
      <c r="B16" s="194">
        <v>70.84</v>
      </c>
      <c r="C16" s="195">
        <f t="shared" si="0"/>
        <v>-5.0561797752809445E-3</v>
      </c>
      <c r="E16" s="196">
        <v>45992</v>
      </c>
      <c r="F16" s="194">
        <v>247.25</v>
      </c>
      <c r="G16" s="195">
        <f t="shared" si="1"/>
        <v>1.6862019329631828E-2</v>
      </c>
      <c r="I16" s="196">
        <v>45992</v>
      </c>
      <c r="J16">
        <v>69.959999999999994</v>
      </c>
      <c r="K16" s="195">
        <f t="shared" si="2"/>
        <v>-1.8547581680697922E-3</v>
      </c>
      <c r="M16" s="196">
        <v>45992</v>
      </c>
      <c r="N16">
        <v>209.91</v>
      </c>
      <c r="O16" s="195">
        <f t="shared" si="3"/>
        <v>1.1614457831325309E-2</v>
      </c>
      <c r="Q16" s="198">
        <v>45992</v>
      </c>
      <c r="R16">
        <v>99.97</v>
      </c>
      <c r="S16" s="195">
        <f t="shared" si="4"/>
        <v>-9.1512177390040028E-2</v>
      </c>
      <c r="U16" s="196">
        <v>45992</v>
      </c>
      <c r="V16" s="194">
        <v>21.38</v>
      </c>
      <c r="W16" s="195">
        <f t="shared" si="5"/>
        <v>4.7012732615083097E-2</v>
      </c>
      <c r="Y16" s="196">
        <v>45992</v>
      </c>
      <c r="Z16" s="200">
        <v>6033.5</v>
      </c>
      <c r="AA16" s="195">
        <f t="shared" si="6"/>
        <v>2.8510547624120974E-2</v>
      </c>
    </row>
    <row r="17" spans="1:27" x14ac:dyDescent="0.25">
      <c r="A17" s="196">
        <v>45778</v>
      </c>
      <c r="B17" s="194">
        <v>71.2</v>
      </c>
      <c r="C17" s="195">
        <f t="shared" si="0"/>
        <v>-2.8781885145273467E-2</v>
      </c>
      <c r="E17" s="196">
        <v>45778</v>
      </c>
      <c r="F17" s="194">
        <v>243.15</v>
      </c>
      <c r="G17" s="195">
        <f t="shared" si="1"/>
        <v>1.7364016736401755E-2</v>
      </c>
      <c r="I17" s="196">
        <v>45778</v>
      </c>
      <c r="J17">
        <v>70.09</v>
      </c>
      <c r="K17" s="195">
        <f t="shared" si="2"/>
        <v>1.4473874656245389E-2</v>
      </c>
      <c r="M17" s="196">
        <v>45778</v>
      </c>
      <c r="N17">
        <v>207.5</v>
      </c>
      <c r="O17" s="195">
        <f t="shared" si="3"/>
        <v>1.2062726176116367E-3</v>
      </c>
      <c r="Q17" s="198">
        <v>45778</v>
      </c>
      <c r="R17">
        <v>110.04</v>
      </c>
      <c r="S17" s="195">
        <f t="shared" si="4"/>
        <v>-6.8592057761731606E-3</v>
      </c>
      <c r="U17" s="196">
        <v>45778</v>
      </c>
      <c r="V17" s="194">
        <v>20.420000000000002</v>
      </c>
      <c r="W17" s="195">
        <f t="shared" si="5"/>
        <v>4.4501278772378638E-2</v>
      </c>
      <c r="Y17" s="196">
        <v>45778</v>
      </c>
      <c r="Z17" s="200">
        <v>5866.25</v>
      </c>
      <c r="AA17" s="195">
        <f t="shared" si="6"/>
        <v>-2.0577677602470978E-2</v>
      </c>
    </row>
    <row r="18" spans="1:27" x14ac:dyDescent="0.25">
      <c r="A18" s="196" t="s">
        <v>174</v>
      </c>
      <c r="B18" s="194">
        <v>73.31</v>
      </c>
      <c r="C18" s="195">
        <f t="shared" si="0"/>
        <v>-4.0696152839570732E-2</v>
      </c>
      <c r="E18" s="196" t="s">
        <v>174</v>
      </c>
      <c r="F18" s="194">
        <v>239</v>
      </c>
      <c r="G18" s="195">
        <f t="shared" si="1"/>
        <v>-3.4850381617736126E-2</v>
      </c>
      <c r="I18" s="196" t="s">
        <v>174</v>
      </c>
      <c r="J18">
        <v>69.09</v>
      </c>
      <c r="K18" s="195">
        <f t="shared" si="2"/>
        <v>2.1890252921165532E-2</v>
      </c>
      <c r="M18" s="196" t="s">
        <v>174</v>
      </c>
      <c r="N18">
        <v>207.25</v>
      </c>
      <c r="O18" s="195">
        <f t="shared" si="3"/>
        <v>6.759692916806781E-4</v>
      </c>
      <c r="Q18" s="197" t="s">
        <v>174</v>
      </c>
      <c r="R18">
        <v>110.8</v>
      </c>
      <c r="S18" s="195">
        <f t="shared" si="4"/>
        <v>7.2254335260124591E-4</v>
      </c>
      <c r="U18" s="196" t="s">
        <v>174</v>
      </c>
      <c r="V18" s="194">
        <v>19.55</v>
      </c>
      <c r="W18" s="195">
        <f t="shared" si="5"/>
        <v>-2.1031547320981336E-2</v>
      </c>
      <c r="Y18" s="196" t="s">
        <v>174</v>
      </c>
      <c r="Z18" s="200">
        <v>5989.5</v>
      </c>
      <c r="AA18" s="195">
        <f t="shared" si="6"/>
        <v>-6.2220009955201716E-3</v>
      </c>
    </row>
    <row r="19" spans="1:27" x14ac:dyDescent="0.25">
      <c r="A19" s="196" t="s">
        <v>175</v>
      </c>
      <c r="B19" s="194">
        <v>76.42</v>
      </c>
      <c r="C19" s="195">
        <f t="shared" si="0"/>
        <v>-6.7585131271119536E-3</v>
      </c>
      <c r="E19" s="196" t="s">
        <v>175</v>
      </c>
      <c r="F19" s="194">
        <v>247.63</v>
      </c>
      <c r="G19" s="195">
        <f t="shared" si="1"/>
        <v>5.2366647722659199E-3</v>
      </c>
      <c r="I19" s="196" t="s">
        <v>175</v>
      </c>
      <c r="J19">
        <v>67.61</v>
      </c>
      <c r="K19" s="195">
        <f t="shared" si="2"/>
        <v>-5.9127864005925623E-4</v>
      </c>
      <c r="M19" s="196" t="s">
        <v>175</v>
      </c>
      <c r="N19">
        <v>207.11</v>
      </c>
      <c r="O19" s="195">
        <f t="shared" si="3"/>
        <v>-1.8296440252168478E-2</v>
      </c>
      <c r="Q19" s="197" t="s">
        <v>175</v>
      </c>
      <c r="R19">
        <v>110.72</v>
      </c>
      <c r="S19" s="195">
        <f t="shared" si="4"/>
        <v>-1.019131056677991E-2</v>
      </c>
      <c r="U19" s="196" t="s">
        <v>175</v>
      </c>
      <c r="V19" s="194">
        <v>19.97</v>
      </c>
      <c r="W19" s="195">
        <f t="shared" si="5"/>
        <v>9.0955027791814747E-3</v>
      </c>
      <c r="Y19" s="196" t="s">
        <v>175</v>
      </c>
      <c r="Z19" s="200">
        <v>6027</v>
      </c>
      <c r="AA19" s="195">
        <f t="shared" si="6"/>
        <v>4.2071062606738874E-3</v>
      </c>
    </row>
    <row r="20" spans="1:27" x14ac:dyDescent="0.25">
      <c r="A20" s="196" t="s">
        <v>176</v>
      </c>
      <c r="B20" s="194">
        <v>76.94</v>
      </c>
      <c r="C20" s="195">
        <f t="shared" si="0"/>
        <v>-4.012944983818767E-3</v>
      </c>
      <c r="E20" s="196" t="s">
        <v>176</v>
      </c>
      <c r="F20" s="194">
        <v>246.34</v>
      </c>
      <c r="G20" s="195">
        <f t="shared" si="1"/>
        <v>-2.3429137760158536E-2</v>
      </c>
      <c r="I20" s="196" t="s">
        <v>176</v>
      </c>
      <c r="J20">
        <v>67.650000000000006</v>
      </c>
      <c r="K20" s="195">
        <f t="shared" si="2"/>
        <v>-3.8379530916844207E-2</v>
      </c>
      <c r="M20" s="196" t="s">
        <v>176</v>
      </c>
      <c r="N20">
        <v>210.97</v>
      </c>
      <c r="O20" s="195">
        <f t="shared" si="3"/>
        <v>2.1003726467599071E-2</v>
      </c>
      <c r="Q20" s="197" t="s">
        <v>176</v>
      </c>
      <c r="R20">
        <v>111.86</v>
      </c>
      <c r="S20" s="195">
        <f t="shared" si="4"/>
        <v>1.2531328320801727E-3</v>
      </c>
      <c r="U20" s="196" t="s">
        <v>176</v>
      </c>
      <c r="V20" s="194">
        <v>19.79</v>
      </c>
      <c r="W20" s="195">
        <f t="shared" si="5"/>
        <v>-6.0271220492215116E-3</v>
      </c>
      <c r="Y20" s="196" t="s">
        <v>176</v>
      </c>
      <c r="Z20" s="200">
        <v>6001.75</v>
      </c>
      <c r="AA20" s="195">
        <f t="shared" si="6"/>
        <v>-2.0242419295596448E-2</v>
      </c>
    </row>
    <row r="21" spans="1:27" x14ac:dyDescent="0.25">
      <c r="A21" s="196">
        <v>45516</v>
      </c>
      <c r="B21" s="194">
        <v>77.25</v>
      </c>
      <c r="C21" s="195">
        <f t="shared" si="0"/>
        <v>-2.0788439599442321E-2</v>
      </c>
      <c r="E21" s="196">
        <v>45516</v>
      </c>
      <c r="F21" s="194">
        <v>252.25</v>
      </c>
      <c r="G21" s="195">
        <f t="shared" si="1"/>
        <v>1.9191919191919204E-2</v>
      </c>
      <c r="I21" s="196">
        <v>45516</v>
      </c>
      <c r="J21">
        <v>70.349999999999994</v>
      </c>
      <c r="K21" s="195">
        <f t="shared" si="2"/>
        <v>-9.8522167487684609E-3</v>
      </c>
      <c r="M21" s="196">
        <v>45516</v>
      </c>
      <c r="N21">
        <v>206.63</v>
      </c>
      <c r="O21" s="195">
        <f t="shared" si="3"/>
        <v>3.5479829616637426E-2</v>
      </c>
      <c r="Q21" s="198">
        <v>45516</v>
      </c>
      <c r="R21">
        <v>111.72</v>
      </c>
      <c r="S21" s="195">
        <f t="shared" si="4"/>
        <v>1.7949886104783541E-2</v>
      </c>
      <c r="U21" s="196">
        <v>45516</v>
      </c>
      <c r="V21" s="194">
        <v>19.91</v>
      </c>
      <c r="W21" s="195">
        <f t="shared" si="5"/>
        <v>-3.8164251207729483E-2</v>
      </c>
      <c r="Y21" s="196">
        <v>45516</v>
      </c>
      <c r="Z21" s="200">
        <v>6125.75</v>
      </c>
      <c r="AA21" s="195">
        <f t="shared" si="6"/>
        <v>-6.6888276309389205E-3</v>
      </c>
    </row>
    <row r="22" spans="1:27" x14ac:dyDescent="0.25">
      <c r="A22" s="196">
        <v>45303</v>
      </c>
      <c r="B22" s="194">
        <v>78.89</v>
      </c>
      <c r="C22" s="195">
        <f t="shared" si="0"/>
        <v>1.5234226228260095E-3</v>
      </c>
      <c r="E22" s="196">
        <v>45303</v>
      </c>
      <c r="F22" s="194">
        <v>247.5</v>
      </c>
      <c r="G22" s="195">
        <f t="shared" si="1"/>
        <v>5.2967453733248293E-2</v>
      </c>
      <c r="I22" s="196">
        <v>45303</v>
      </c>
      <c r="J22">
        <v>71.05</v>
      </c>
      <c r="K22" s="195">
        <f t="shared" si="2"/>
        <v>0.11328737073017847</v>
      </c>
      <c r="M22" s="196">
        <v>45303</v>
      </c>
      <c r="N22">
        <v>199.55</v>
      </c>
      <c r="O22" s="195">
        <f t="shared" si="3"/>
        <v>1.8320065319453072E-2</v>
      </c>
      <c r="Q22" s="198">
        <v>45303</v>
      </c>
      <c r="R22">
        <v>109.75</v>
      </c>
      <c r="S22" s="195">
        <f t="shared" si="4"/>
        <v>3.9299242424242431E-2</v>
      </c>
      <c r="U22" s="196">
        <v>45303</v>
      </c>
      <c r="V22" s="194">
        <v>20.7</v>
      </c>
      <c r="W22" s="195">
        <f t="shared" si="5"/>
        <v>1.6699410609037235E-2</v>
      </c>
      <c r="Y22" s="196">
        <v>45303</v>
      </c>
      <c r="Z22" s="200">
        <v>6167</v>
      </c>
      <c r="AA22" s="195">
        <f t="shared" si="6"/>
        <v>7.8444190227160426E-3</v>
      </c>
    </row>
    <row r="23" spans="1:27" x14ac:dyDescent="0.25">
      <c r="A23" s="196" t="s">
        <v>177</v>
      </c>
      <c r="B23" s="194">
        <v>78.77</v>
      </c>
      <c r="C23" s="195">
        <f t="shared" si="0"/>
        <v>1.7700258397932656E-2</v>
      </c>
      <c r="E23" s="196" t="s">
        <v>177</v>
      </c>
      <c r="F23" s="194">
        <v>235.05</v>
      </c>
      <c r="G23" s="195">
        <f t="shared" si="1"/>
        <v>5.0784567928830127E-2</v>
      </c>
      <c r="I23" s="196" t="s">
        <v>177</v>
      </c>
      <c r="J23">
        <v>63.82</v>
      </c>
      <c r="K23" s="195">
        <f t="shared" si="2"/>
        <v>3.4527476090128184E-2</v>
      </c>
      <c r="M23" s="196" t="s">
        <v>177</v>
      </c>
      <c r="N23">
        <v>195.96</v>
      </c>
      <c r="O23" s="195">
        <f t="shared" si="3"/>
        <v>1.9828259172521401E-2</v>
      </c>
      <c r="Q23" s="197" t="s">
        <v>177</v>
      </c>
      <c r="R23">
        <v>105.6</v>
      </c>
      <c r="S23" s="195">
        <f t="shared" si="4"/>
        <v>-4.5248868778280382E-3</v>
      </c>
      <c r="U23" s="196" t="s">
        <v>177</v>
      </c>
      <c r="V23" s="194">
        <v>20.36</v>
      </c>
      <c r="W23" s="195">
        <f t="shared" si="5"/>
        <v>9.639203015616582E-2</v>
      </c>
      <c r="Y23" s="196" t="s">
        <v>177</v>
      </c>
      <c r="Z23" s="200">
        <v>6119</v>
      </c>
      <c r="AA23" s="195">
        <f t="shared" si="6"/>
        <v>1.0778443113772518E-2</v>
      </c>
    </row>
    <row r="24" spans="1:27" x14ac:dyDescent="0.25">
      <c r="A24" s="196" t="s">
        <v>178</v>
      </c>
      <c r="B24" s="194">
        <v>77.400000000000006</v>
      </c>
      <c r="C24" s="195">
        <f t="shared" si="0"/>
        <v>9.6530133055050538E-3</v>
      </c>
      <c r="E24" s="196" t="s">
        <v>178</v>
      </c>
      <c r="F24" s="194">
        <v>223.69</v>
      </c>
      <c r="G24" s="195">
        <f t="shared" si="1"/>
        <v>-3.2984610063980568E-2</v>
      </c>
      <c r="I24" s="196" t="s">
        <v>178</v>
      </c>
      <c r="J24">
        <v>61.69</v>
      </c>
      <c r="K24" s="195">
        <f t="shared" si="2"/>
        <v>1.6309719934102018E-2</v>
      </c>
      <c r="M24" s="196" t="s">
        <v>178</v>
      </c>
      <c r="N24">
        <v>192.15</v>
      </c>
      <c r="O24" s="195">
        <f t="shared" si="3"/>
        <v>9.3874530342707541E-2</v>
      </c>
      <c r="Q24" s="197" t="s">
        <v>178</v>
      </c>
      <c r="R24">
        <v>106.08</v>
      </c>
      <c r="S24" s="195">
        <f t="shared" si="4"/>
        <v>8.4884434444671752E-2</v>
      </c>
      <c r="U24" s="196" t="s">
        <v>178</v>
      </c>
      <c r="V24" s="194">
        <v>18.57</v>
      </c>
      <c r="W24" s="195">
        <f t="shared" si="5"/>
        <v>7.0934256055363409E-2</v>
      </c>
      <c r="Y24" s="196" t="s">
        <v>178</v>
      </c>
      <c r="Z24" s="200">
        <v>6053.75</v>
      </c>
      <c r="AA24" s="195">
        <f t="shared" si="6"/>
        <v>1.5218849572362858E-2</v>
      </c>
    </row>
    <row r="25" spans="1:27" x14ac:dyDescent="0.25">
      <c r="A25" s="196">
        <v>45576</v>
      </c>
      <c r="B25" s="194">
        <v>76.66</v>
      </c>
      <c r="C25" s="195">
        <f t="shared" si="0"/>
        <v>1.0279388508170895E-2</v>
      </c>
      <c r="E25" s="196">
        <v>45576</v>
      </c>
      <c r="F25" s="194">
        <v>231.32</v>
      </c>
      <c r="G25" s="195">
        <f t="shared" si="1"/>
        <v>-1.7832880434782705E-2</v>
      </c>
      <c r="I25" s="196">
        <v>45576</v>
      </c>
      <c r="J25">
        <v>60.7</v>
      </c>
      <c r="K25" s="195">
        <f t="shared" si="2"/>
        <v>-2.5525766575694275E-2</v>
      </c>
      <c r="M25" s="196">
        <v>45576</v>
      </c>
      <c r="N25">
        <v>175.66</v>
      </c>
      <c r="O25" s="195">
        <f t="shared" si="3"/>
        <v>2.8472182677519164E-4</v>
      </c>
      <c r="Q25" s="198">
        <v>45576</v>
      </c>
      <c r="R25">
        <v>97.78</v>
      </c>
      <c r="S25" s="195">
        <f t="shared" si="4"/>
        <v>-3.4748272458045348E-2</v>
      </c>
      <c r="U25" s="196">
        <v>45576</v>
      </c>
      <c r="V25" s="194">
        <v>17.34</v>
      </c>
      <c r="W25" s="195">
        <f t="shared" si="5"/>
        <v>2.421736562315413E-2</v>
      </c>
      <c r="Y25" s="196">
        <v>45576</v>
      </c>
      <c r="Z25" s="200">
        <v>5963</v>
      </c>
      <c r="AA25" s="195">
        <f t="shared" si="6"/>
        <v>-2.085385878489332E-2</v>
      </c>
    </row>
    <row r="26" spans="1:27" x14ac:dyDescent="0.25">
      <c r="A26" s="196">
        <v>45362</v>
      </c>
      <c r="B26" s="194">
        <v>75.88</v>
      </c>
      <c r="C26" s="195">
        <f t="shared" si="0"/>
        <v>-2.7927235459902722E-2</v>
      </c>
      <c r="E26" s="196">
        <v>45362</v>
      </c>
      <c r="F26" s="194">
        <v>235.52</v>
      </c>
      <c r="G26" s="195">
        <f t="shared" si="1"/>
        <v>-2.1439255442911698E-2</v>
      </c>
      <c r="I26" s="196">
        <v>45362</v>
      </c>
      <c r="J26">
        <v>62.29</v>
      </c>
      <c r="K26" s="195">
        <f t="shared" si="2"/>
        <v>-4.9520766773163416E-3</v>
      </c>
      <c r="M26" s="196">
        <v>45362</v>
      </c>
      <c r="N26">
        <v>175.61</v>
      </c>
      <c r="O26" s="195">
        <f t="shared" si="3"/>
        <v>0.11061219327093341</v>
      </c>
      <c r="Q26" s="198">
        <v>45362</v>
      </c>
      <c r="R26">
        <v>101.3</v>
      </c>
      <c r="S26" s="195">
        <f t="shared" si="4"/>
        <v>-4.6229168628189377E-2</v>
      </c>
      <c r="U26" s="196">
        <v>45362</v>
      </c>
      <c r="V26" s="194">
        <v>16.93</v>
      </c>
      <c r="W26" s="195">
        <f t="shared" si="5"/>
        <v>-2.3081361800346145E-2</v>
      </c>
      <c r="Y26" s="196">
        <v>45362</v>
      </c>
      <c r="Z26" s="200">
        <v>6090</v>
      </c>
      <c r="AA26" s="195">
        <f t="shared" si="6"/>
        <v>4.6841426729694824E-2</v>
      </c>
    </row>
    <row r="27" spans="1:27" x14ac:dyDescent="0.25">
      <c r="A27" s="196" t="s">
        <v>179</v>
      </c>
      <c r="B27" s="194">
        <v>78.06</v>
      </c>
      <c r="C27" s="195">
        <f t="shared" si="0"/>
        <v>-1.0019023462270016E-2</v>
      </c>
      <c r="E27" s="196" t="s">
        <v>179</v>
      </c>
      <c r="F27" s="194">
        <v>240.68</v>
      </c>
      <c r="G27" s="195">
        <f t="shared" si="1"/>
        <v>2.1085231852700392E-2</v>
      </c>
      <c r="I27" s="196" t="s">
        <v>179</v>
      </c>
      <c r="J27">
        <v>62.6</v>
      </c>
      <c r="K27" s="195">
        <f t="shared" si="2"/>
        <v>5.7253842256375531E-2</v>
      </c>
      <c r="M27" s="196" t="s">
        <v>179</v>
      </c>
      <c r="N27">
        <v>158.12</v>
      </c>
      <c r="O27" s="195">
        <f t="shared" si="3"/>
        <v>-5.9425376241746486E-2</v>
      </c>
      <c r="Q27" s="197" t="s">
        <v>179</v>
      </c>
      <c r="R27">
        <v>106.21</v>
      </c>
      <c r="S27" s="195">
        <f t="shared" si="4"/>
        <v>-0.20590654205607484</v>
      </c>
      <c r="U27" s="196" t="s">
        <v>179</v>
      </c>
      <c r="V27" s="194">
        <v>17.329999999999998</v>
      </c>
      <c r="W27" s="195">
        <f t="shared" si="5"/>
        <v>-1.7281105990784029E-3</v>
      </c>
      <c r="Y27" s="196" t="s">
        <v>179</v>
      </c>
      <c r="Z27" s="200">
        <v>5817.5</v>
      </c>
      <c r="AA27" s="195">
        <f t="shared" si="6"/>
        <v>-1.5026455026455054E-2</v>
      </c>
    </row>
    <row r="28" spans="1:27" x14ac:dyDescent="0.25">
      <c r="A28" s="196" t="s">
        <v>180</v>
      </c>
      <c r="B28" s="194">
        <v>78.849999999999994</v>
      </c>
      <c r="C28" s="195">
        <f t="shared" si="0"/>
        <v>-4.9083453931500376E-2</v>
      </c>
      <c r="E28" s="196" t="s">
        <v>180</v>
      </c>
      <c r="F28" s="194">
        <v>235.71</v>
      </c>
      <c r="G28" s="195">
        <f t="shared" si="1"/>
        <v>-4.5012559760149062E-2</v>
      </c>
      <c r="I28" s="196" t="s">
        <v>180</v>
      </c>
      <c r="J28">
        <v>59.21</v>
      </c>
      <c r="K28" s="195">
        <f t="shared" si="2"/>
        <v>-6.1796862620820736E-2</v>
      </c>
      <c r="M28" s="196" t="s">
        <v>180</v>
      </c>
      <c r="N28">
        <v>168.11</v>
      </c>
      <c r="O28" s="195">
        <f t="shared" si="3"/>
        <v>3.8677788075378583E-2</v>
      </c>
      <c r="Q28" s="197" t="s">
        <v>180</v>
      </c>
      <c r="R28">
        <v>133.75</v>
      </c>
      <c r="S28" s="195">
        <f t="shared" si="4"/>
        <v>-4.0530846484935434E-2</v>
      </c>
      <c r="U28" s="196" t="s">
        <v>180</v>
      </c>
      <c r="V28" s="194">
        <v>17.36</v>
      </c>
      <c r="W28" s="195">
        <f t="shared" si="5"/>
        <v>-6.7669172932330879E-2</v>
      </c>
      <c r="Y28" s="196" t="s">
        <v>180</v>
      </c>
      <c r="Z28" s="200">
        <v>5906.25</v>
      </c>
      <c r="AA28" s="195">
        <f t="shared" si="6"/>
        <v>-1.0015085484411657E-2</v>
      </c>
    </row>
    <row r="29" spans="1:27" x14ac:dyDescent="0.25">
      <c r="A29" s="196" t="s">
        <v>181</v>
      </c>
      <c r="B29" s="194">
        <v>82.92</v>
      </c>
      <c r="C29" s="195">
        <f t="shared" si="0"/>
        <v>9.3730979914790069E-3</v>
      </c>
      <c r="E29" s="196" t="s">
        <v>181</v>
      </c>
      <c r="F29" s="194">
        <v>246.82</v>
      </c>
      <c r="G29" s="195">
        <f t="shared" si="1"/>
        <v>-3.0938358853553227E-2</v>
      </c>
      <c r="I29" s="196" t="s">
        <v>181</v>
      </c>
      <c r="J29">
        <v>63.11</v>
      </c>
      <c r="K29" s="195">
        <f t="shared" si="2"/>
        <v>-6.5867377146240469E-2</v>
      </c>
      <c r="M29" s="196" t="s">
        <v>181</v>
      </c>
      <c r="N29">
        <v>161.85</v>
      </c>
      <c r="O29" s="195">
        <f t="shared" si="3"/>
        <v>3.7209302325580396E-3</v>
      </c>
      <c r="Q29" s="197" t="s">
        <v>181</v>
      </c>
      <c r="R29">
        <v>139.4</v>
      </c>
      <c r="S29" s="195">
        <f t="shared" si="4"/>
        <v>-1.0748835542816471E-3</v>
      </c>
      <c r="U29" s="196" t="s">
        <v>181</v>
      </c>
      <c r="V29" s="194">
        <v>18.62</v>
      </c>
      <c r="W29" s="195">
        <f t="shared" si="5"/>
        <v>-1.7414248021108136E-2</v>
      </c>
      <c r="Y29" s="196" t="s">
        <v>181</v>
      </c>
      <c r="Z29" s="200">
        <v>5966</v>
      </c>
      <c r="AA29" s="195">
        <f t="shared" si="6"/>
        <v>8.1534366946895975E-3</v>
      </c>
    </row>
    <row r="30" spans="1:27" x14ac:dyDescent="0.25">
      <c r="A30" s="196">
        <v>45453</v>
      </c>
      <c r="B30" s="194">
        <v>82.15</v>
      </c>
      <c r="C30" s="195">
        <f t="shared" si="0"/>
        <v>-1.2158054711245425E-3</v>
      </c>
      <c r="E30" s="196">
        <v>45453</v>
      </c>
      <c r="F30" s="194">
        <v>254.7</v>
      </c>
      <c r="G30" s="195">
        <f t="shared" si="1"/>
        <v>3.9416633819471247E-3</v>
      </c>
      <c r="I30" s="196">
        <v>45453</v>
      </c>
      <c r="J30">
        <v>67.56</v>
      </c>
      <c r="K30" s="195">
        <f t="shared" si="2"/>
        <v>-1.4298220017508134E-2</v>
      </c>
      <c r="M30" s="196">
        <v>45453</v>
      </c>
      <c r="N30">
        <v>161.25</v>
      </c>
      <c r="O30" s="195">
        <f t="shared" si="3"/>
        <v>-3.3331335051855371E-2</v>
      </c>
      <c r="Q30" s="198">
        <v>45453</v>
      </c>
      <c r="R30">
        <v>139.55000000000001</v>
      </c>
      <c r="S30" s="195">
        <f t="shared" si="4"/>
        <v>-1.6768829704783994E-2</v>
      </c>
      <c r="U30" s="196">
        <v>45453</v>
      </c>
      <c r="V30" s="194">
        <v>18.95</v>
      </c>
      <c r="W30" s="195">
        <f t="shared" si="5"/>
        <v>-4.1961577350859591E-2</v>
      </c>
      <c r="Y30" s="196">
        <v>45453</v>
      </c>
      <c r="Z30" s="200">
        <v>5917.75</v>
      </c>
      <c r="AA30" s="195">
        <f t="shared" si="6"/>
        <v>1.0674181290295071E-2</v>
      </c>
    </row>
    <row r="31" spans="1:27" x14ac:dyDescent="0.25">
      <c r="A31" s="196" t="s">
        <v>182</v>
      </c>
      <c r="B31" s="194">
        <v>82.25</v>
      </c>
      <c r="C31" s="195">
        <f t="shared" si="0"/>
        <v>-8.0389087656529523E-2</v>
      </c>
      <c r="E31" s="196" t="s">
        <v>182</v>
      </c>
      <c r="F31" s="194">
        <v>253.7</v>
      </c>
      <c r="G31" s="195">
        <f t="shared" si="1"/>
        <v>-3.7264723740133565E-2</v>
      </c>
      <c r="I31" s="196" t="s">
        <v>182</v>
      </c>
      <c r="J31">
        <v>68.540000000000006</v>
      </c>
      <c r="K31" s="195">
        <f t="shared" si="2"/>
        <v>8.7616822429903429E-4</v>
      </c>
      <c r="M31" s="196" t="s">
        <v>182</v>
      </c>
      <c r="N31">
        <v>166.81</v>
      </c>
      <c r="O31" s="195">
        <f t="shared" si="3"/>
        <v>4.6355538828252607E-2</v>
      </c>
      <c r="Q31" s="197" t="s">
        <v>182</v>
      </c>
      <c r="R31">
        <v>141.93</v>
      </c>
      <c r="S31" s="195">
        <f t="shared" si="4"/>
        <v>-1.6492273577714656E-2</v>
      </c>
      <c r="U31" s="196" t="s">
        <v>182</v>
      </c>
      <c r="V31" s="194">
        <v>19.78</v>
      </c>
      <c r="W31" s="195">
        <f t="shared" si="5"/>
        <v>-3.7469586374695885E-2</v>
      </c>
      <c r="Y31" s="196" t="s">
        <v>182</v>
      </c>
      <c r="Z31" s="200">
        <v>5855.25</v>
      </c>
      <c r="AA31" s="195">
        <f t="shared" si="6"/>
        <v>2.1822849807444644E-3</v>
      </c>
    </row>
    <row r="32" spans="1:27" x14ac:dyDescent="0.25">
      <c r="A32" s="196" t="s">
        <v>183</v>
      </c>
      <c r="B32" s="194">
        <v>89.44</v>
      </c>
      <c r="C32" s="195">
        <f t="shared" si="0"/>
        <v>3.3749422098936721E-2</v>
      </c>
      <c r="E32" s="196" t="s">
        <v>183</v>
      </c>
      <c r="F32" s="194">
        <v>263.52</v>
      </c>
      <c r="G32" s="195">
        <f t="shared" si="1"/>
        <v>9.6583579543090048E-2</v>
      </c>
      <c r="I32" s="196" t="s">
        <v>183</v>
      </c>
      <c r="J32">
        <v>68.48</v>
      </c>
      <c r="K32" s="195">
        <f t="shared" si="2"/>
        <v>8.681161720361863E-2</v>
      </c>
      <c r="M32" s="196" t="s">
        <v>183</v>
      </c>
      <c r="N32">
        <v>159.41999999999999</v>
      </c>
      <c r="O32" s="195">
        <f t="shared" si="3"/>
        <v>5.7652756584621434E-2</v>
      </c>
      <c r="Q32" s="197" t="s">
        <v>183</v>
      </c>
      <c r="R32">
        <v>144.31</v>
      </c>
      <c r="S32" s="195">
        <f t="shared" si="4"/>
        <v>3.7828119381517311E-2</v>
      </c>
      <c r="U32" s="196" t="s">
        <v>183</v>
      </c>
      <c r="V32" s="194">
        <v>20.55</v>
      </c>
      <c r="W32" s="195">
        <f t="shared" si="5"/>
        <v>-1.9426906265176402E-3</v>
      </c>
      <c r="Y32" s="196" t="s">
        <v>183</v>
      </c>
      <c r="Z32" s="200">
        <v>5842.5</v>
      </c>
      <c r="AA32" s="195">
        <f t="shared" si="6"/>
        <v>5.2045249258032555E-3</v>
      </c>
    </row>
    <row r="33" spans="1:27" x14ac:dyDescent="0.25">
      <c r="A33" s="196" t="s">
        <v>184</v>
      </c>
      <c r="B33" s="194">
        <v>86.52</v>
      </c>
      <c r="C33" s="195">
        <f t="shared" si="0"/>
        <v>9.5051259334261395E-2</v>
      </c>
      <c r="E33" s="196" t="s">
        <v>184</v>
      </c>
      <c r="F33" s="194">
        <v>240.31</v>
      </c>
      <c r="G33" s="195">
        <f t="shared" si="1"/>
        <v>-8.6630089517758524E-3</v>
      </c>
      <c r="I33" s="196" t="s">
        <v>184</v>
      </c>
      <c r="J33">
        <v>63.01</v>
      </c>
      <c r="K33" s="195">
        <f t="shared" si="2"/>
        <v>-6.3744427934621095E-2</v>
      </c>
      <c r="M33" s="196" t="s">
        <v>184</v>
      </c>
      <c r="N33">
        <v>150.72999999999999</v>
      </c>
      <c r="O33" s="195">
        <f t="shared" si="3"/>
        <v>-3.2852101379531651E-2</v>
      </c>
      <c r="Q33" s="197" t="s">
        <v>184</v>
      </c>
      <c r="R33">
        <v>139.05000000000001</v>
      </c>
      <c r="S33" s="195">
        <f t="shared" si="4"/>
        <v>7.983225906655278E-2</v>
      </c>
      <c r="U33" s="196" t="s">
        <v>184</v>
      </c>
      <c r="V33" s="194">
        <v>20.59</v>
      </c>
      <c r="W33" s="195">
        <f t="shared" si="5"/>
        <v>6.518365235385426E-2</v>
      </c>
      <c r="Y33" s="196" t="s">
        <v>184</v>
      </c>
      <c r="Z33" s="200">
        <v>5812.25</v>
      </c>
      <c r="AA33" s="195">
        <f t="shared" si="6"/>
        <v>1.2366644894404422E-2</v>
      </c>
    </row>
    <row r="34" spans="1:27" x14ac:dyDescent="0.25">
      <c r="A34" s="196">
        <v>45513</v>
      </c>
      <c r="B34" s="194">
        <v>79.010000000000005</v>
      </c>
      <c r="C34" s="195">
        <f t="shared" si="0"/>
        <v>-2.0091777254123699E-2</v>
      </c>
      <c r="E34" s="196">
        <v>45513</v>
      </c>
      <c r="F34" s="194">
        <v>242.41</v>
      </c>
      <c r="G34" s="195">
        <f t="shared" si="1"/>
        <v>-2.3869295032717952E-3</v>
      </c>
      <c r="I34" s="196">
        <v>45513</v>
      </c>
      <c r="J34">
        <v>67.3</v>
      </c>
      <c r="K34" s="195">
        <f t="shared" si="2"/>
        <v>1.8462469733656173E-2</v>
      </c>
      <c r="M34" s="196">
        <v>45513</v>
      </c>
      <c r="N34">
        <v>155.85</v>
      </c>
      <c r="O34" s="195">
        <f t="shared" si="3"/>
        <v>8.7350868624851641E-2</v>
      </c>
      <c r="Q34" s="198">
        <v>45513</v>
      </c>
      <c r="R34">
        <v>128.77000000000001</v>
      </c>
      <c r="S34" s="195">
        <f t="shared" si="4"/>
        <v>-8.0881220150976763E-3</v>
      </c>
      <c r="U34" s="196">
        <v>45513</v>
      </c>
      <c r="V34" s="194">
        <v>19.329999999999998</v>
      </c>
      <c r="W34" s="195">
        <f t="shared" si="5"/>
        <v>6.3256325632563115E-2</v>
      </c>
      <c r="Y34" s="196">
        <v>45513</v>
      </c>
      <c r="Z34" s="200">
        <v>5741.25</v>
      </c>
      <c r="AA34" s="195">
        <f t="shared" si="6"/>
        <v>3.9046240159261503E-2</v>
      </c>
    </row>
    <row r="35" spans="1:27" x14ac:dyDescent="0.25">
      <c r="A35" s="196">
        <v>45300</v>
      </c>
      <c r="B35" s="194">
        <v>80.63</v>
      </c>
      <c r="C35" s="195">
        <f t="shared" si="0"/>
        <v>-3.228516562650019E-2</v>
      </c>
      <c r="E35" s="196">
        <v>45300</v>
      </c>
      <c r="F35" s="194">
        <v>242.99</v>
      </c>
      <c r="G35" s="195">
        <f t="shared" si="1"/>
        <v>-6.0436161163096469E-2</v>
      </c>
      <c r="I35" s="196">
        <v>45300</v>
      </c>
      <c r="J35">
        <v>66.08</v>
      </c>
      <c r="K35" s="195">
        <f t="shared" si="2"/>
        <v>-3.5046728971962704E-2</v>
      </c>
      <c r="M35" s="196">
        <v>45300</v>
      </c>
      <c r="N35">
        <v>143.33000000000001</v>
      </c>
      <c r="O35" s="195">
        <f t="shared" si="3"/>
        <v>-0.10351513635226406</v>
      </c>
      <c r="Q35" s="198">
        <v>45300</v>
      </c>
      <c r="R35">
        <v>129.82</v>
      </c>
      <c r="S35" s="195">
        <f t="shared" si="4"/>
        <v>-0.11185605801464049</v>
      </c>
      <c r="U35" s="196">
        <v>45300</v>
      </c>
      <c r="V35" s="194">
        <v>18.18</v>
      </c>
      <c r="W35" s="195">
        <f t="shared" si="5"/>
        <v>-8.4130982367758289E-2</v>
      </c>
      <c r="Y35" s="196">
        <v>45300</v>
      </c>
      <c r="Z35" s="200">
        <v>5525.5</v>
      </c>
      <c r="AA35" s="195">
        <f t="shared" si="6"/>
        <v>-4.345191725093045E-2</v>
      </c>
    </row>
    <row r="36" spans="1:27" x14ac:dyDescent="0.25">
      <c r="A36" s="196" t="s">
        <v>185</v>
      </c>
      <c r="B36" s="194">
        <v>83.32</v>
      </c>
      <c r="C36" s="195">
        <f t="shared" si="0"/>
        <v>-8.6853063652587714E-3</v>
      </c>
      <c r="E36" s="196" t="s">
        <v>185</v>
      </c>
      <c r="F36" s="194">
        <v>258.62</v>
      </c>
      <c r="G36" s="195">
        <f t="shared" si="1"/>
        <v>5.7663994765254412E-2</v>
      </c>
      <c r="I36" s="196" t="s">
        <v>185</v>
      </c>
      <c r="J36">
        <v>68.48</v>
      </c>
      <c r="K36" s="195">
        <f t="shared" si="2"/>
        <v>-1.8911174785100182E-2</v>
      </c>
      <c r="M36" s="196" t="s">
        <v>185</v>
      </c>
      <c r="N36">
        <v>159.88</v>
      </c>
      <c r="O36" s="195">
        <f t="shared" si="3"/>
        <v>-1.5699070368774271E-2</v>
      </c>
      <c r="Q36" s="197" t="s">
        <v>185</v>
      </c>
      <c r="R36">
        <v>146.16999999999999</v>
      </c>
      <c r="S36" s="195">
        <f t="shared" si="4"/>
        <v>1.0228764945745983E-2</v>
      </c>
      <c r="U36" s="196" t="s">
        <v>185</v>
      </c>
      <c r="V36" s="194">
        <v>19.850000000000001</v>
      </c>
      <c r="W36" s="195">
        <f t="shared" si="5"/>
        <v>8.1743869209809361E-2</v>
      </c>
      <c r="Y36" s="196" t="s">
        <v>185</v>
      </c>
      <c r="Z36" s="200">
        <v>5776.5</v>
      </c>
      <c r="AA36" s="195">
        <f t="shared" si="6"/>
        <v>1.8210197710717413E-3</v>
      </c>
    </row>
    <row r="37" spans="1:27" x14ac:dyDescent="0.25">
      <c r="A37" s="196" t="s">
        <v>186</v>
      </c>
      <c r="B37" s="194">
        <v>84.05</v>
      </c>
      <c r="C37" s="195">
        <f t="shared" si="0"/>
        <v>9.8522167487684609E-3</v>
      </c>
      <c r="E37" s="196" t="s">
        <v>186</v>
      </c>
      <c r="F37" s="194">
        <v>244.52</v>
      </c>
      <c r="G37" s="195">
        <f t="shared" si="1"/>
        <v>1.5575030111724786E-2</v>
      </c>
      <c r="I37" s="196" t="s">
        <v>186</v>
      </c>
      <c r="J37">
        <v>69.8</v>
      </c>
      <c r="K37" s="195">
        <f t="shared" si="2"/>
        <v>7.6495990129549662E-2</v>
      </c>
      <c r="M37" s="196" t="s">
        <v>186</v>
      </c>
      <c r="N37">
        <v>162.43</v>
      </c>
      <c r="O37" s="195">
        <f t="shared" si="3"/>
        <v>2.5312460547910698E-2</v>
      </c>
      <c r="Q37" s="197" t="s">
        <v>186</v>
      </c>
      <c r="R37">
        <v>144.69</v>
      </c>
      <c r="S37" s="195">
        <f t="shared" si="4"/>
        <v>6.350606394707814E-2</v>
      </c>
      <c r="U37" s="196" t="s">
        <v>186</v>
      </c>
      <c r="V37" s="194">
        <v>18.350000000000001</v>
      </c>
      <c r="W37" s="195">
        <f t="shared" si="5"/>
        <v>6.2536189924724983E-2</v>
      </c>
      <c r="Y37" s="196" t="s">
        <v>186</v>
      </c>
      <c r="Z37" s="200">
        <v>5766</v>
      </c>
      <c r="AA37" s="195">
        <f t="shared" si="6"/>
        <v>1.2956212394044542E-2</v>
      </c>
    </row>
    <row r="38" spans="1:27" x14ac:dyDescent="0.25">
      <c r="A38" s="196">
        <v>45604</v>
      </c>
      <c r="B38" s="194">
        <v>83.23</v>
      </c>
      <c r="C38" s="195">
        <f t="shared" si="0"/>
        <v>0.11958568738229758</v>
      </c>
      <c r="E38" s="196">
        <v>45604</v>
      </c>
      <c r="F38" s="194">
        <v>240.77</v>
      </c>
      <c r="G38" s="195">
        <f t="shared" si="1"/>
        <v>2.146705697679363E-2</v>
      </c>
      <c r="I38" s="196">
        <v>45604</v>
      </c>
      <c r="J38">
        <v>64.84</v>
      </c>
      <c r="K38" s="195">
        <f t="shared" si="2"/>
        <v>3.827061649319452E-2</v>
      </c>
      <c r="M38" s="196">
        <v>45604</v>
      </c>
      <c r="N38">
        <v>158.41999999999999</v>
      </c>
      <c r="O38" s="195">
        <f t="shared" si="3"/>
        <v>6.7664105674619224E-2</v>
      </c>
      <c r="Q38" s="198">
        <v>45604</v>
      </c>
      <c r="R38">
        <v>136.05000000000001</v>
      </c>
      <c r="S38" s="195">
        <f t="shared" si="4"/>
        <v>2.8577908822862375E-2</v>
      </c>
      <c r="U38" s="196">
        <v>45604</v>
      </c>
      <c r="V38" s="194">
        <v>17.27</v>
      </c>
      <c r="W38" s="195">
        <f t="shared" si="5"/>
        <v>0.14370860927152318</v>
      </c>
      <c r="Y38" s="196">
        <v>45604</v>
      </c>
      <c r="Z38" s="200">
        <v>5692.25</v>
      </c>
      <c r="AA38" s="195">
        <f t="shared" si="6"/>
        <v>3.9585425988494238E-2</v>
      </c>
    </row>
    <row r="39" spans="1:27" x14ac:dyDescent="0.25">
      <c r="A39" s="196">
        <v>45390</v>
      </c>
      <c r="B39" s="194">
        <v>74.34</v>
      </c>
      <c r="C39" s="195">
        <f t="shared" si="0"/>
        <v>4.4588569112282705E-3</v>
      </c>
      <c r="E39" s="196">
        <v>45390</v>
      </c>
      <c r="F39" s="194">
        <v>235.71</v>
      </c>
      <c r="G39" s="195">
        <f t="shared" si="1"/>
        <v>-2.5186104218362315E-2</v>
      </c>
      <c r="I39" s="196">
        <v>45390</v>
      </c>
      <c r="J39">
        <v>62.45</v>
      </c>
      <c r="K39" s="195">
        <f t="shared" si="2"/>
        <v>5.0462573591253168E-2</v>
      </c>
      <c r="M39" s="196">
        <v>45390</v>
      </c>
      <c r="N39">
        <v>148.38</v>
      </c>
      <c r="O39" s="195">
        <f t="shared" si="3"/>
        <v>2.8844820413257422E-2</v>
      </c>
      <c r="Q39" s="198">
        <v>45390</v>
      </c>
      <c r="R39">
        <v>132.27000000000001</v>
      </c>
      <c r="S39" s="195">
        <f t="shared" si="4"/>
        <v>7.2662395588354523E-2</v>
      </c>
      <c r="U39" s="196">
        <v>45390</v>
      </c>
      <c r="V39" s="194">
        <v>15.1</v>
      </c>
      <c r="W39" s="195">
        <f t="shared" si="5"/>
        <v>6.8648266100495237E-2</v>
      </c>
      <c r="Y39" s="196">
        <v>45390</v>
      </c>
      <c r="Z39" s="200">
        <v>5475.5</v>
      </c>
      <c r="AA39" s="195">
        <f t="shared" si="6"/>
        <v>-7.2999361255587925E-4</v>
      </c>
    </row>
    <row r="40" spans="1:27" x14ac:dyDescent="0.25">
      <c r="A40" s="196" t="s">
        <v>187</v>
      </c>
      <c r="B40" s="194">
        <v>74.010000000000005</v>
      </c>
      <c r="C40" s="195">
        <f t="shared" si="0"/>
        <v>1.9983461962513882E-2</v>
      </c>
      <c r="E40" s="196" t="s">
        <v>187</v>
      </c>
      <c r="F40" s="194">
        <v>241.8</v>
      </c>
      <c r="G40" s="195">
        <f t="shared" si="1"/>
        <v>-3.5846724351050629E-2</v>
      </c>
      <c r="I40" s="196" t="s">
        <v>187</v>
      </c>
      <c r="J40">
        <v>59.45</v>
      </c>
      <c r="K40" s="195">
        <f t="shared" si="2"/>
        <v>-8.1427688504326245E-2</v>
      </c>
      <c r="M40" s="196" t="s">
        <v>187</v>
      </c>
      <c r="N40">
        <v>144.22</v>
      </c>
      <c r="O40" s="195">
        <f t="shared" si="3"/>
        <v>-3.2859442060085842E-2</v>
      </c>
      <c r="Q40" s="197" t="s">
        <v>187</v>
      </c>
      <c r="R40">
        <v>123.31</v>
      </c>
      <c r="S40" s="195">
        <f t="shared" si="4"/>
        <v>-5.5095785440612999E-2</v>
      </c>
      <c r="U40" s="196" t="s">
        <v>187</v>
      </c>
      <c r="V40" s="194">
        <v>14.13</v>
      </c>
      <c r="W40" s="195">
        <f t="shared" si="5"/>
        <v>-6.175298804780871E-2</v>
      </c>
      <c r="Y40" s="196" t="s">
        <v>187</v>
      </c>
      <c r="Z40" s="200">
        <v>5479.5</v>
      </c>
      <c r="AA40" s="195">
        <f t="shared" si="6"/>
        <v>-2.4652901388394488E-2</v>
      </c>
    </row>
    <row r="41" spans="1:27" x14ac:dyDescent="0.25">
      <c r="A41" s="196" t="s">
        <v>188</v>
      </c>
      <c r="B41" s="194">
        <v>72.56</v>
      </c>
      <c r="C41" s="195">
        <f t="shared" si="0"/>
        <v>-1.9257221458046647E-3</v>
      </c>
      <c r="E41" s="196" t="s">
        <v>188</v>
      </c>
      <c r="F41" s="194">
        <v>250.79</v>
      </c>
      <c r="G41" s="195">
        <f t="shared" si="1"/>
        <v>8.5253548880042107E-3</v>
      </c>
      <c r="I41" s="196" t="s">
        <v>188</v>
      </c>
      <c r="J41">
        <v>64.72</v>
      </c>
      <c r="K41" s="195">
        <f t="shared" si="2"/>
        <v>2.0337379788743393E-2</v>
      </c>
      <c r="M41" s="196" t="s">
        <v>188</v>
      </c>
      <c r="N41">
        <v>149.12</v>
      </c>
      <c r="O41" s="195">
        <f t="shared" si="3"/>
        <v>2.6926520212106508E-2</v>
      </c>
      <c r="Q41" s="197" t="s">
        <v>188</v>
      </c>
      <c r="R41">
        <v>130.5</v>
      </c>
      <c r="S41" s="195">
        <f t="shared" si="4"/>
        <v>-2.2471910112359605E-2</v>
      </c>
      <c r="U41" s="196" t="s">
        <v>188</v>
      </c>
      <c r="V41" s="194">
        <v>15.06</v>
      </c>
      <c r="W41" s="195">
        <f t="shared" si="5"/>
        <v>-9.9282296650717639E-2</v>
      </c>
      <c r="Y41" s="196" t="s">
        <v>188</v>
      </c>
      <c r="Z41" s="200">
        <v>5618</v>
      </c>
      <c r="AA41" s="195">
        <f t="shared" si="6"/>
        <v>-9.869580542826939E-3</v>
      </c>
    </row>
    <row r="42" spans="1:27" x14ac:dyDescent="0.25">
      <c r="A42" s="196" t="s">
        <v>189</v>
      </c>
      <c r="B42" s="194">
        <v>72.7</v>
      </c>
      <c r="C42" s="195">
        <f t="shared" si="0"/>
        <v>-9.806592209207321E-3</v>
      </c>
      <c r="E42" s="196" t="s">
        <v>189</v>
      </c>
      <c r="F42" s="194">
        <v>248.67</v>
      </c>
      <c r="G42" s="195">
        <f t="shared" si="1"/>
        <v>1.893634165995195E-3</v>
      </c>
      <c r="I42" s="196" t="s">
        <v>189</v>
      </c>
      <c r="J42">
        <v>63.43</v>
      </c>
      <c r="K42" s="195">
        <f t="shared" si="2"/>
        <v>-6.9395539906103254E-2</v>
      </c>
      <c r="M42" s="196" t="s">
        <v>189</v>
      </c>
      <c r="N42">
        <v>145.21</v>
      </c>
      <c r="O42" s="195">
        <f t="shared" si="3"/>
        <v>-2.9863709246392256E-2</v>
      </c>
      <c r="Q42" s="197" t="s">
        <v>189</v>
      </c>
      <c r="R42">
        <v>133.5</v>
      </c>
      <c r="S42" s="195">
        <f t="shared" si="4"/>
        <v>-4.12237862683138E-2</v>
      </c>
      <c r="U42" s="196" t="s">
        <v>189</v>
      </c>
      <c r="V42" s="194">
        <v>16.72</v>
      </c>
      <c r="W42" s="195">
        <f t="shared" si="5"/>
        <v>3.4013605442176686E-2</v>
      </c>
      <c r="Y42" s="196" t="s">
        <v>189</v>
      </c>
      <c r="Z42" s="200">
        <v>5674</v>
      </c>
      <c r="AA42" s="195">
        <f t="shared" si="6"/>
        <v>-1.9695922598479632E-2</v>
      </c>
    </row>
    <row r="43" spans="1:27" x14ac:dyDescent="0.25">
      <c r="A43" s="196">
        <v>45480</v>
      </c>
      <c r="B43" s="194">
        <v>73.42</v>
      </c>
      <c r="C43" s="195">
        <f t="shared" si="0"/>
        <v>-2.6647222590481356E-2</v>
      </c>
      <c r="E43" s="196">
        <v>45480</v>
      </c>
      <c r="F43" s="194">
        <v>248.2</v>
      </c>
      <c r="G43" s="195">
        <f t="shared" si="1"/>
        <v>3.7842358352498273E-2</v>
      </c>
      <c r="I43" s="196">
        <v>45480</v>
      </c>
      <c r="J43">
        <v>68.16</v>
      </c>
      <c r="K43" s="195">
        <f t="shared" si="2"/>
        <v>2.898550724637694E-2</v>
      </c>
      <c r="M43" s="196">
        <v>45480</v>
      </c>
      <c r="N43">
        <v>149.68</v>
      </c>
      <c r="O43" s="195">
        <f t="shared" si="3"/>
        <v>-4.3883743213031012E-2</v>
      </c>
      <c r="Q43" s="198">
        <v>45480</v>
      </c>
      <c r="R43">
        <v>139.24</v>
      </c>
      <c r="S43" s="195">
        <f t="shared" si="4"/>
        <v>-2.9956806465096686E-2</v>
      </c>
      <c r="U43" s="196">
        <v>45480</v>
      </c>
      <c r="V43" s="194">
        <v>16.170000000000002</v>
      </c>
      <c r="W43" s="195">
        <f t="shared" si="5"/>
        <v>3.7869062901155326E-2</v>
      </c>
      <c r="Y43" s="196">
        <v>45480</v>
      </c>
      <c r="Z43" s="200">
        <v>5788</v>
      </c>
      <c r="AA43" s="195">
        <f t="shared" si="6"/>
        <v>7.4409294634698586E-3</v>
      </c>
    </row>
    <row r="44" spans="1:27" x14ac:dyDescent="0.25">
      <c r="A44" s="196" t="s">
        <v>190</v>
      </c>
      <c r="B44" s="194">
        <v>75.430000000000007</v>
      </c>
      <c r="C44" s="195">
        <f t="shared" si="0"/>
        <v>7.9607270797410479E-4</v>
      </c>
      <c r="E44" s="196" t="s">
        <v>190</v>
      </c>
      <c r="F44" s="194">
        <v>239.15</v>
      </c>
      <c r="G44" s="195">
        <f t="shared" si="1"/>
        <v>3.6133616394437018E-2</v>
      </c>
      <c r="I44" s="196" t="s">
        <v>190</v>
      </c>
      <c r="J44">
        <v>66.239999999999995</v>
      </c>
      <c r="K44" s="195">
        <f t="shared" si="2"/>
        <v>-4.1666666666666852E-2</v>
      </c>
      <c r="M44" s="196" t="s">
        <v>190</v>
      </c>
      <c r="N44">
        <v>156.55000000000001</v>
      </c>
      <c r="O44" s="195">
        <f t="shared" si="3"/>
        <v>-2.962871133701106E-2</v>
      </c>
      <c r="Q44" s="197" t="s">
        <v>190</v>
      </c>
      <c r="R44">
        <v>143.54</v>
      </c>
      <c r="S44" s="195">
        <f t="shared" si="4"/>
        <v>-1.6445114430587937E-2</v>
      </c>
      <c r="U44" s="196" t="s">
        <v>190</v>
      </c>
      <c r="V44" s="194">
        <v>15.58</v>
      </c>
      <c r="W44" s="195">
        <f t="shared" si="5"/>
        <v>1.8300653594771177E-2</v>
      </c>
      <c r="Y44" s="196" t="s">
        <v>190</v>
      </c>
      <c r="Z44" s="200">
        <v>5745.25</v>
      </c>
      <c r="AA44" s="195">
        <f t="shared" si="6"/>
        <v>1.7714007351313121E-2</v>
      </c>
    </row>
    <row r="45" spans="1:27" x14ac:dyDescent="0.25">
      <c r="A45" s="196" t="s">
        <v>191</v>
      </c>
      <c r="B45" s="194">
        <v>75.37</v>
      </c>
      <c r="C45" s="195">
        <f t="shared" si="0"/>
        <v>-0.22442889483432804</v>
      </c>
      <c r="E45" s="196" t="s">
        <v>191</v>
      </c>
      <c r="F45" s="194">
        <v>230.81</v>
      </c>
      <c r="G45" s="195">
        <f t="shared" si="1"/>
        <v>-1.7118766767448834E-2</v>
      </c>
      <c r="I45" s="196" t="s">
        <v>192</v>
      </c>
      <c r="J45">
        <v>69.12</v>
      </c>
      <c r="K45" s="195">
        <f t="shared" si="2"/>
        <v>-4.8196089231616668E-2</v>
      </c>
      <c r="M45" s="196" t="s">
        <v>192</v>
      </c>
      <c r="N45">
        <v>161.33000000000001</v>
      </c>
      <c r="O45" s="195">
        <f t="shared" si="3"/>
        <v>-1.242654260528897E-2</v>
      </c>
      <c r="Q45" s="197" t="s">
        <v>191</v>
      </c>
      <c r="R45">
        <v>145.94</v>
      </c>
      <c r="S45" s="195">
        <f t="shared" si="4"/>
        <v>-5.6869587695489332E-2</v>
      </c>
      <c r="U45" s="196" t="s">
        <v>191</v>
      </c>
      <c r="V45" s="194">
        <v>15.3</v>
      </c>
      <c r="W45" s="195">
        <f t="shared" si="5"/>
        <v>-4.5543266102796576E-3</v>
      </c>
      <c r="Y45" s="196" t="s">
        <v>191</v>
      </c>
      <c r="Z45" s="200">
        <v>5645.25</v>
      </c>
      <c r="AA45" s="195">
        <f t="shared" si="6"/>
        <v>-2.2093588440634804E-3</v>
      </c>
    </row>
    <row r="46" spans="1:27" x14ac:dyDescent="0.25">
      <c r="A46" s="196" t="s">
        <v>192</v>
      </c>
      <c r="B46" s="194">
        <v>97.18</v>
      </c>
      <c r="C46" s="195">
        <f t="shared" si="0"/>
        <v>4.0582503480030008E-2</v>
      </c>
      <c r="E46" s="196" t="s">
        <v>192</v>
      </c>
      <c r="F46" s="194">
        <v>234.83</v>
      </c>
      <c r="G46" s="195">
        <f t="shared" si="1"/>
        <v>-1.2572533849129486E-2</v>
      </c>
      <c r="I46" s="196">
        <v>45541</v>
      </c>
      <c r="J46">
        <v>72.62</v>
      </c>
      <c r="K46" s="195">
        <f t="shared" si="2"/>
        <v>6.235277816267093E-3</v>
      </c>
      <c r="M46" s="196">
        <v>45541</v>
      </c>
      <c r="N46">
        <v>163.36000000000001</v>
      </c>
      <c r="O46" s="195">
        <f t="shared" si="3"/>
        <v>-4.2606810056848077E-2</v>
      </c>
      <c r="Q46" s="197" t="s">
        <v>192</v>
      </c>
      <c r="R46">
        <v>154.74</v>
      </c>
      <c r="S46" s="195">
        <f t="shared" si="4"/>
        <v>-1.4269333673079254E-2</v>
      </c>
      <c r="U46" s="196" t="s">
        <v>192</v>
      </c>
      <c r="V46" s="194">
        <v>15.37</v>
      </c>
      <c r="W46" s="195">
        <f t="shared" si="5"/>
        <v>5.3461274845784779E-2</v>
      </c>
      <c r="Y46" s="196" t="s">
        <v>192</v>
      </c>
      <c r="Z46" s="200">
        <v>5657.75</v>
      </c>
      <c r="AA46" s="195">
        <f t="shared" si="6"/>
        <v>6.269453090262278E-3</v>
      </c>
    </row>
    <row r="47" spans="1:27" x14ac:dyDescent="0.25">
      <c r="A47" s="196">
        <v>45541</v>
      </c>
      <c r="B47" s="194">
        <v>93.39</v>
      </c>
      <c r="C47" s="195">
        <f t="shared" si="0"/>
        <v>-3.2729155877783467E-2</v>
      </c>
      <c r="E47" s="196">
        <v>45541</v>
      </c>
      <c r="F47" s="194">
        <v>237.82</v>
      </c>
      <c r="G47" s="195">
        <f t="shared" si="1"/>
        <v>-4.5474613686534271E-2</v>
      </c>
      <c r="I47" s="196">
        <v>45328</v>
      </c>
      <c r="J47">
        <v>72.17</v>
      </c>
      <c r="K47" s="195">
        <f t="shared" si="2"/>
        <v>-9.6061479346781775E-3</v>
      </c>
      <c r="M47" s="196">
        <v>45328</v>
      </c>
      <c r="N47">
        <v>170.63</v>
      </c>
      <c r="O47" s="195">
        <f t="shared" si="3"/>
        <v>-1.9649525998276407E-2</v>
      </c>
      <c r="Q47" s="198">
        <v>45541</v>
      </c>
      <c r="R47">
        <v>156.97999999999999</v>
      </c>
      <c r="S47" s="195">
        <f t="shared" si="4"/>
        <v>6.7891156462585034E-2</v>
      </c>
      <c r="U47" s="196">
        <v>45541</v>
      </c>
      <c r="V47" s="194">
        <v>14.59</v>
      </c>
      <c r="W47" s="195">
        <f t="shared" si="5"/>
        <v>-2.7981345769486965E-2</v>
      </c>
      <c r="Y47" s="196">
        <v>45541</v>
      </c>
      <c r="Z47" s="200">
        <v>5622.5</v>
      </c>
      <c r="AA47" s="195">
        <f t="shared" si="6"/>
        <v>1.4662756598240456E-2</v>
      </c>
    </row>
    <row r="48" spans="1:27" x14ac:dyDescent="0.25">
      <c r="A48" s="196">
        <v>45328</v>
      </c>
      <c r="B48" s="194">
        <v>96.55</v>
      </c>
      <c r="C48" s="195">
        <f t="shared" si="0"/>
        <v>1.5781167806417695E-2</v>
      </c>
      <c r="E48" s="196">
        <v>45328</v>
      </c>
      <c r="F48" s="194">
        <v>249.15</v>
      </c>
      <c r="G48" s="195">
        <f t="shared" si="1"/>
        <v>-1.19760479041916E-2</v>
      </c>
      <c r="I48" s="196" t="s">
        <v>193</v>
      </c>
      <c r="J48">
        <v>72.87</v>
      </c>
      <c r="K48" s="195">
        <f t="shared" si="2"/>
        <v>2.0302436292355175E-2</v>
      </c>
      <c r="M48" s="196" t="s">
        <v>193</v>
      </c>
      <c r="N48">
        <v>174.05</v>
      </c>
      <c r="O48" s="195">
        <f t="shared" si="3"/>
        <v>-4.5359806932865232E-2</v>
      </c>
      <c r="Q48" s="198">
        <v>45328</v>
      </c>
      <c r="R48">
        <v>147</v>
      </c>
      <c r="S48" s="195">
        <f t="shared" si="4"/>
        <v>-5.551272166538157E-2</v>
      </c>
      <c r="U48" s="196">
        <v>45328</v>
      </c>
      <c r="V48" s="194">
        <v>15.01</v>
      </c>
      <c r="W48" s="195">
        <f t="shared" si="5"/>
        <v>8.6107091172214156E-2</v>
      </c>
      <c r="Y48" s="196">
        <v>45328</v>
      </c>
      <c r="Z48" s="200">
        <v>5541.25</v>
      </c>
      <c r="AA48" s="195">
        <f t="shared" si="6"/>
        <v>1.1823244773121466E-2</v>
      </c>
    </row>
    <row r="49" spans="1:27" x14ac:dyDescent="0.25">
      <c r="A49" s="196" t="s">
        <v>193</v>
      </c>
      <c r="B49" s="194">
        <v>95.05</v>
      </c>
      <c r="C49" s="195">
        <f t="shared" si="0"/>
        <v>3.5967302452315941E-2</v>
      </c>
      <c r="E49" s="196" t="s">
        <v>193</v>
      </c>
      <c r="F49" s="194">
        <v>252.17</v>
      </c>
      <c r="G49" s="195">
        <f t="shared" si="1"/>
        <v>3.6968500699070539E-2</v>
      </c>
      <c r="I49" s="196" t="s">
        <v>194</v>
      </c>
      <c r="J49">
        <v>71.42</v>
      </c>
      <c r="K49" s="195">
        <f t="shared" si="2"/>
        <v>4.5833943476350836E-2</v>
      </c>
      <c r="M49" s="196" t="s">
        <v>194</v>
      </c>
      <c r="N49">
        <v>182.32</v>
      </c>
      <c r="O49" s="195">
        <f t="shared" si="3"/>
        <v>5.9076386871913966E-2</v>
      </c>
      <c r="Q49" s="197" t="s">
        <v>193</v>
      </c>
      <c r="R49">
        <v>155.63999999999999</v>
      </c>
      <c r="S49" s="195">
        <f t="shared" si="4"/>
        <v>4.5124899274778363E-2</v>
      </c>
      <c r="U49" s="196" t="s">
        <v>193</v>
      </c>
      <c r="V49" s="194">
        <v>13.82</v>
      </c>
      <c r="W49" s="195">
        <f t="shared" si="5"/>
        <v>2.8273809523809534E-2</v>
      </c>
      <c r="Y49" s="196" t="s">
        <v>193</v>
      </c>
      <c r="Z49" s="200">
        <v>5476.5</v>
      </c>
      <c r="AA49" s="195">
        <f t="shared" si="6"/>
        <v>-4.9059689288634134E-3</v>
      </c>
    </row>
    <row r="50" spans="1:27" x14ac:dyDescent="0.25">
      <c r="A50" s="196" t="s">
        <v>194</v>
      </c>
      <c r="B50" s="194">
        <v>91.75</v>
      </c>
      <c r="C50" s="195">
        <f t="shared" si="0"/>
        <v>-4.6647862876980639E-3</v>
      </c>
      <c r="E50" s="196" t="s">
        <v>194</v>
      </c>
      <c r="F50" s="194">
        <v>243.18</v>
      </c>
      <c r="G50" s="195">
        <f t="shared" si="1"/>
        <v>-2.6812870177685189E-2</v>
      </c>
      <c r="I50" s="196">
        <v>45631</v>
      </c>
      <c r="J50">
        <v>68.290000000000006</v>
      </c>
      <c r="K50" s="195">
        <f t="shared" si="2"/>
        <v>-1.9000292312189027E-3</v>
      </c>
      <c r="M50" s="196">
        <v>45631</v>
      </c>
      <c r="N50">
        <v>172.15</v>
      </c>
      <c r="O50" s="195">
        <f t="shared" si="3"/>
        <v>0.16246876899182938</v>
      </c>
      <c r="Q50" s="197" t="s">
        <v>194</v>
      </c>
      <c r="R50">
        <v>148.91999999999999</v>
      </c>
      <c r="S50" s="195">
        <f t="shared" si="4"/>
        <v>5.6544874068818807E-2</v>
      </c>
      <c r="U50" s="196" t="s">
        <v>194</v>
      </c>
      <c r="V50" s="194">
        <v>13.44</v>
      </c>
      <c r="W50" s="195">
        <f t="shared" si="5"/>
        <v>2.9096477794793074E-2</v>
      </c>
      <c r="Y50" s="196" t="s">
        <v>194</v>
      </c>
      <c r="Z50" s="200">
        <v>5503.5</v>
      </c>
      <c r="AA50" s="195">
        <f t="shared" si="6"/>
        <v>-4.08663669799747E-4</v>
      </c>
    </row>
    <row r="51" spans="1:27" x14ac:dyDescent="0.25">
      <c r="A51" s="196">
        <v>45631</v>
      </c>
      <c r="B51" s="194">
        <v>92.18</v>
      </c>
      <c r="C51" s="195">
        <f t="shared" si="0"/>
        <v>1.3635363976248094E-2</v>
      </c>
      <c r="E51" s="196">
        <v>45631</v>
      </c>
      <c r="F51" s="194">
        <v>249.88</v>
      </c>
      <c r="G51" s="195">
        <f t="shared" si="1"/>
        <v>3.9953387714333211E-2</v>
      </c>
      <c r="I51" s="196">
        <v>45417</v>
      </c>
      <c r="J51">
        <v>68.42</v>
      </c>
      <c r="K51" s="195">
        <f t="shared" si="2"/>
        <v>9.4423133667749237E-3</v>
      </c>
      <c r="M51" s="196">
        <v>45417</v>
      </c>
      <c r="N51">
        <v>148.09</v>
      </c>
      <c r="O51" s="195">
        <f t="shared" si="3"/>
        <v>3.0764947449015256E-2</v>
      </c>
      <c r="Q51" s="198">
        <v>45631</v>
      </c>
      <c r="R51">
        <v>140.94999999999999</v>
      </c>
      <c r="S51" s="195">
        <f t="shared" si="4"/>
        <v>-1.6193201647239586E-2</v>
      </c>
      <c r="U51" s="196">
        <v>45631</v>
      </c>
      <c r="V51" s="194">
        <v>13.06</v>
      </c>
      <c r="W51" s="195">
        <f t="shared" si="5"/>
        <v>-4.5731707317072656E-3</v>
      </c>
      <c r="Y51" s="196">
        <v>45631</v>
      </c>
      <c r="Z51" s="200">
        <v>5505.75</v>
      </c>
      <c r="AA51" s="195">
        <f t="shared" si="6"/>
        <v>1.586789058535909E-2</v>
      </c>
    </row>
    <row r="52" spans="1:27" x14ac:dyDescent="0.25">
      <c r="A52" s="196">
        <v>45417</v>
      </c>
      <c r="B52" s="194">
        <v>90.94</v>
      </c>
      <c r="C52" s="195">
        <f t="shared" si="0"/>
        <v>-1.3130765056972415E-2</v>
      </c>
      <c r="E52" s="196">
        <v>45417</v>
      </c>
      <c r="F52" s="194">
        <v>240.28</v>
      </c>
      <c r="G52" s="195">
        <f t="shared" si="1"/>
        <v>-9.1546391752577172E-3</v>
      </c>
      <c r="I52" s="196" t="s">
        <v>195</v>
      </c>
      <c r="J52">
        <v>67.78</v>
      </c>
      <c r="K52" s="195">
        <f t="shared" si="2"/>
        <v>1.0134128166915168E-2</v>
      </c>
      <c r="M52" s="196" t="s">
        <v>195</v>
      </c>
      <c r="N52">
        <v>143.66999999999999</v>
      </c>
      <c r="O52" s="195">
        <f t="shared" si="3"/>
        <v>2.3363487427879415E-2</v>
      </c>
      <c r="Q52" s="198">
        <v>45417</v>
      </c>
      <c r="R52">
        <v>143.27000000000001</v>
      </c>
      <c r="S52" s="195">
        <f t="shared" si="4"/>
        <v>0.15280012874155147</v>
      </c>
      <c r="U52" s="196">
        <v>45417</v>
      </c>
      <c r="V52" s="194">
        <v>13.12</v>
      </c>
      <c r="W52" s="195">
        <f t="shared" si="5"/>
        <v>0.19272727272727264</v>
      </c>
      <c r="Y52" s="196">
        <v>45417</v>
      </c>
      <c r="Z52" s="200">
        <v>5419.75</v>
      </c>
      <c r="AA52" s="195">
        <f t="shared" si="6"/>
        <v>1.8510688278130072E-2</v>
      </c>
    </row>
    <row r="53" spans="1:27" x14ac:dyDescent="0.25">
      <c r="A53" s="196" t="s">
        <v>195</v>
      </c>
      <c r="B53" s="194">
        <v>92.15</v>
      </c>
      <c r="C53" s="195">
        <f t="shared" si="0"/>
        <v>-2.0930726731831717E-2</v>
      </c>
      <c r="E53" s="196" t="s">
        <v>195</v>
      </c>
      <c r="F53" s="194">
        <v>242.5</v>
      </c>
      <c r="G53" s="195">
        <f t="shared" si="1"/>
        <v>-1.0607915136678914E-2</v>
      </c>
      <c r="I53" s="196" t="s">
        <v>196</v>
      </c>
      <c r="J53">
        <v>67.099999999999994</v>
      </c>
      <c r="K53" s="195">
        <f t="shared" si="2"/>
        <v>2.5837027977373417E-2</v>
      </c>
      <c r="M53" s="196" t="s">
        <v>196</v>
      </c>
      <c r="N53">
        <v>140.38999999999999</v>
      </c>
      <c r="O53" s="195">
        <f t="shared" si="3"/>
        <v>1.0654380534158792E-2</v>
      </c>
      <c r="Q53" s="197" t="s">
        <v>195</v>
      </c>
      <c r="R53">
        <v>124.28</v>
      </c>
      <c r="S53" s="195">
        <f t="shared" si="4"/>
        <v>-8.9314194577352346E-3</v>
      </c>
      <c r="U53" s="196" t="s">
        <v>195</v>
      </c>
      <c r="V53" s="194">
        <v>11</v>
      </c>
      <c r="W53" s="195">
        <f t="shared" si="5"/>
        <v>1.9462465245597915E-2</v>
      </c>
      <c r="Y53" s="196" t="s">
        <v>195</v>
      </c>
      <c r="Z53" s="200">
        <v>5321.25</v>
      </c>
      <c r="AA53" s="195">
        <f t="shared" si="6"/>
        <v>3.8200339558573937E-3</v>
      </c>
    </row>
    <row r="54" spans="1:27" x14ac:dyDescent="0.25">
      <c r="A54" s="196" t="s">
        <v>196</v>
      </c>
      <c r="B54" s="194">
        <v>94.12</v>
      </c>
      <c r="C54" s="195">
        <f t="shared" si="0"/>
        <v>-4.3372474346767831E-3</v>
      </c>
      <c r="E54" s="196" t="s">
        <v>196</v>
      </c>
      <c r="F54" s="194">
        <v>245.1</v>
      </c>
      <c r="G54" s="195">
        <f t="shared" si="1"/>
        <v>2.3809523809523725E-2</v>
      </c>
      <c r="I54" s="196" t="s">
        <v>197</v>
      </c>
      <c r="J54">
        <v>65.41</v>
      </c>
      <c r="K54" s="195">
        <f t="shared" si="2"/>
        <v>0.15954617975536256</v>
      </c>
      <c r="M54" s="196" t="s">
        <v>197</v>
      </c>
      <c r="N54">
        <v>138.91</v>
      </c>
      <c r="O54" s="195">
        <f t="shared" si="3"/>
        <v>4.1304347826086829E-2</v>
      </c>
      <c r="Q54" s="197" t="s">
        <v>196</v>
      </c>
      <c r="R54">
        <v>125.4</v>
      </c>
      <c r="S54" s="195">
        <f t="shared" si="4"/>
        <v>4.031856645097065E-2</v>
      </c>
      <c r="U54" s="196" t="s">
        <v>196</v>
      </c>
      <c r="V54" s="194">
        <v>10.79</v>
      </c>
      <c r="W54" s="195">
        <f t="shared" si="5"/>
        <v>2.7881040892192566E-3</v>
      </c>
      <c r="Y54" s="196" t="s">
        <v>196</v>
      </c>
      <c r="Z54" s="200">
        <v>5301</v>
      </c>
      <c r="AA54" s="195">
        <f t="shared" si="6"/>
        <v>2.5586457073760505E-2</v>
      </c>
    </row>
    <row r="55" spans="1:27" x14ac:dyDescent="0.25">
      <c r="A55" s="196" t="s">
        <v>197</v>
      </c>
      <c r="B55" s="194">
        <v>94.53</v>
      </c>
      <c r="C55" s="195">
        <f t="shared" si="0"/>
        <v>2.750000000000008E-2</v>
      </c>
      <c r="E55" s="196" t="s">
        <v>197</v>
      </c>
      <c r="F55" s="194">
        <v>239.4</v>
      </c>
      <c r="G55" s="195">
        <f t="shared" si="1"/>
        <v>0.14403134856159805</v>
      </c>
      <c r="I55" s="196">
        <v>45477</v>
      </c>
      <c r="J55">
        <v>56.41</v>
      </c>
      <c r="K55" s="195">
        <f t="shared" si="2"/>
        <v>4.2727434573615053E-3</v>
      </c>
      <c r="M55" s="196">
        <v>45477</v>
      </c>
      <c r="N55">
        <v>133.4</v>
      </c>
      <c r="O55" s="195">
        <f t="shared" si="3"/>
        <v>-1.7166433360347622E-2</v>
      </c>
      <c r="Q55" s="197" t="s">
        <v>197</v>
      </c>
      <c r="R55">
        <v>120.54</v>
      </c>
      <c r="S55" s="195">
        <f t="shared" si="4"/>
        <v>-3.9827943285008716E-2</v>
      </c>
      <c r="U55" s="196" t="s">
        <v>197</v>
      </c>
      <c r="V55" s="194">
        <v>10.76</v>
      </c>
      <c r="W55" s="195">
        <f t="shared" si="5"/>
        <v>-6.1900610287707103E-2</v>
      </c>
      <c r="Y55" s="196" t="s">
        <v>197</v>
      </c>
      <c r="Z55" s="200">
        <v>5168.75</v>
      </c>
      <c r="AA55" s="195">
        <f t="shared" si="6"/>
        <v>-3.1298317949679078E-2</v>
      </c>
    </row>
    <row r="56" spans="1:27" x14ac:dyDescent="0.25">
      <c r="A56" s="196">
        <v>45477</v>
      </c>
      <c r="B56" s="194">
        <v>92</v>
      </c>
      <c r="C56" s="195">
        <f t="shared" si="0"/>
        <v>3.5569563259792769E-2</v>
      </c>
      <c r="E56" s="196">
        <v>45477</v>
      </c>
      <c r="F56" s="194">
        <v>209.26</v>
      </c>
      <c r="G56" s="195">
        <f t="shared" si="1"/>
        <v>-2.8910854331987701E-2</v>
      </c>
      <c r="I56" s="196" t="s">
        <v>198</v>
      </c>
      <c r="J56">
        <v>56.17</v>
      </c>
      <c r="K56" s="195">
        <f t="shared" si="2"/>
        <v>-3.1551724137931059E-2</v>
      </c>
      <c r="M56" s="196" t="s">
        <v>198</v>
      </c>
      <c r="N56">
        <v>135.72999999999999</v>
      </c>
      <c r="O56" s="195">
        <f t="shared" si="3"/>
        <v>-7.4463007159904615E-2</v>
      </c>
      <c r="Q56" s="198">
        <v>45477</v>
      </c>
      <c r="R56">
        <v>125.54</v>
      </c>
      <c r="S56" s="195">
        <f t="shared" si="4"/>
        <v>-6.3763144156909535E-2</v>
      </c>
      <c r="U56" s="196">
        <v>45477</v>
      </c>
      <c r="V56" s="194">
        <v>11.47</v>
      </c>
      <c r="W56" s="195">
        <f t="shared" si="5"/>
        <v>-1.2908777969018792E-2</v>
      </c>
      <c r="Y56" s="196">
        <v>45477</v>
      </c>
      <c r="Z56" s="200">
        <v>5335.75</v>
      </c>
      <c r="AA56" s="195">
        <f t="shared" si="6"/>
        <v>-1.5317185697808489E-2</v>
      </c>
    </row>
    <row r="57" spans="1:27" x14ac:dyDescent="0.25">
      <c r="A57" s="196" t="s">
        <v>198</v>
      </c>
      <c r="B57" s="194">
        <v>88.84</v>
      </c>
      <c r="C57" s="195">
        <f t="shared" si="0"/>
        <v>-5.4692487763353892E-2</v>
      </c>
      <c r="E57" s="196" t="s">
        <v>198</v>
      </c>
      <c r="F57" s="194">
        <v>215.49</v>
      </c>
      <c r="G57" s="195">
        <f t="shared" si="1"/>
        <v>-3.6916201117318415E-2</v>
      </c>
      <c r="I57" s="196" t="s">
        <v>199</v>
      </c>
      <c r="J57">
        <v>58</v>
      </c>
      <c r="K57" s="195">
        <f t="shared" si="2"/>
        <v>-5.3215801501795612E-2</v>
      </c>
      <c r="M57" s="196" t="s">
        <v>199</v>
      </c>
      <c r="N57">
        <v>146.65</v>
      </c>
      <c r="O57" s="195">
        <f t="shared" si="3"/>
        <v>-6.520907700152978E-2</v>
      </c>
      <c r="Q57" s="197" t="s">
        <v>198</v>
      </c>
      <c r="R57">
        <v>134.09</v>
      </c>
      <c r="S57" s="195">
        <f t="shared" si="4"/>
        <v>-6.7524339360222618E-2</v>
      </c>
      <c r="U57" s="196" t="s">
        <v>198</v>
      </c>
      <c r="V57" s="194">
        <v>11.62</v>
      </c>
      <c r="W57" s="195">
        <f t="shared" si="5"/>
        <v>-1.274426508071369E-2</v>
      </c>
      <c r="Y57" s="196" t="s">
        <v>198</v>
      </c>
      <c r="Z57" s="200">
        <v>5418.75</v>
      </c>
      <c r="AA57" s="195">
        <f t="shared" si="6"/>
        <v>-1.0273972602739767E-2</v>
      </c>
    </row>
    <row r="58" spans="1:27" x14ac:dyDescent="0.25">
      <c r="A58" s="196" t="s">
        <v>199</v>
      </c>
      <c r="B58" s="194">
        <v>93.98</v>
      </c>
      <c r="C58" s="195">
        <f t="shared" si="0"/>
        <v>1.2784998934582958E-3</v>
      </c>
      <c r="E58" s="196" t="s">
        <v>199</v>
      </c>
      <c r="F58" s="194">
        <v>223.75</v>
      </c>
      <c r="G58" s="195">
        <f t="shared" si="1"/>
        <v>3.3487297921477976E-2</v>
      </c>
      <c r="I58" s="196" t="s">
        <v>200</v>
      </c>
      <c r="J58">
        <v>61.26</v>
      </c>
      <c r="K58" s="195">
        <f t="shared" si="2"/>
        <v>7.068880486601925E-3</v>
      </c>
      <c r="M58" s="196" t="s">
        <v>200</v>
      </c>
      <c r="N58">
        <v>156.88</v>
      </c>
      <c r="O58" s="195">
        <f t="shared" si="3"/>
        <v>2.0424092623910317E-2</v>
      </c>
      <c r="Q58" s="197" t="s">
        <v>199</v>
      </c>
      <c r="R58">
        <v>143.80000000000001</v>
      </c>
      <c r="S58" s="195">
        <f t="shared" si="4"/>
        <v>1.5393306030221821E-2</v>
      </c>
      <c r="U58" s="196" t="s">
        <v>199</v>
      </c>
      <c r="V58" s="194">
        <v>11.77</v>
      </c>
      <c r="W58" s="195">
        <f t="shared" si="5"/>
        <v>2.5261324041811806E-2</v>
      </c>
      <c r="Y58" s="196" t="s">
        <v>199</v>
      </c>
      <c r="Z58" s="200">
        <v>5475</v>
      </c>
      <c r="AA58" s="195">
        <f t="shared" si="6"/>
        <v>3.4364261168384758E-3</v>
      </c>
    </row>
    <row r="59" spans="1:27" x14ac:dyDescent="0.25">
      <c r="A59" s="196" t="s">
        <v>200</v>
      </c>
      <c r="B59" s="194">
        <v>93.86</v>
      </c>
      <c r="C59" s="195">
        <f t="shared" si="0"/>
        <v>-5.8008831794460036E-2</v>
      </c>
      <c r="E59" s="196" t="s">
        <v>200</v>
      </c>
      <c r="F59" s="194">
        <v>216.5</v>
      </c>
      <c r="G59" s="195">
        <f t="shared" si="1"/>
        <v>-3.3438992812179102E-2</v>
      </c>
      <c r="I59" s="196">
        <v>45568</v>
      </c>
      <c r="J59">
        <v>60.83</v>
      </c>
      <c r="K59" s="195">
        <f t="shared" si="2"/>
        <v>-1.3134132326383385E-3</v>
      </c>
      <c r="M59" s="196">
        <v>45568</v>
      </c>
      <c r="N59">
        <v>153.74</v>
      </c>
      <c r="O59" s="195">
        <f t="shared" si="3"/>
        <v>1.3915452087317925E-2</v>
      </c>
      <c r="Q59" s="197" t="s">
        <v>200</v>
      </c>
      <c r="R59">
        <v>141.62</v>
      </c>
      <c r="S59" s="195">
        <f t="shared" si="4"/>
        <v>0.10493875321838209</v>
      </c>
      <c r="U59" s="196" t="s">
        <v>200</v>
      </c>
      <c r="V59" s="194">
        <v>11.48</v>
      </c>
      <c r="W59" s="195">
        <f t="shared" si="5"/>
        <v>5.9040590405904148E-2</v>
      </c>
      <c r="Y59" s="196" t="s">
        <v>200</v>
      </c>
      <c r="Z59" s="200">
        <v>5456.25</v>
      </c>
      <c r="AA59" s="195">
        <f t="shared" si="6"/>
        <v>2.1100402358005033E-2</v>
      </c>
    </row>
    <row r="60" spans="1:27" x14ac:dyDescent="0.25">
      <c r="A60" s="196">
        <v>45568</v>
      </c>
      <c r="B60" s="194">
        <v>99.64</v>
      </c>
      <c r="C60" s="195">
        <f t="shared" si="0"/>
        <v>4.8406615570795175E-3</v>
      </c>
      <c r="E60" s="196">
        <v>45568</v>
      </c>
      <c r="F60" s="194">
        <v>223.99</v>
      </c>
      <c r="G60" s="195">
        <f t="shared" si="1"/>
        <v>8.6012121212121206E-2</v>
      </c>
      <c r="I60" s="196">
        <v>45354</v>
      </c>
      <c r="J60">
        <v>60.91</v>
      </c>
      <c r="K60" s="195">
        <f t="shared" si="2"/>
        <v>1.4321398834304722E-2</v>
      </c>
      <c r="M60" s="196">
        <v>45354</v>
      </c>
      <c r="N60">
        <v>151.63</v>
      </c>
      <c r="O60" s="195">
        <f t="shared" si="3"/>
        <v>-2.6310596592777902E-3</v>
      </c>
      <c r="Q60" s="198">
        <v>45568</v>
      </c>
      <c r="R60">
        <v>128.16999999999999</v>
      </c>
      <c r="S60" s="195">
        <f t="shared" si="4"/>
        <v>2.5031989763275586E-2</v>
      </c>
      <c r="U60" s="196">
        <v>45568</v>
      </c>
      <c r="V60" s="194">
        <v>10.84</v>
      </c>
      <c r="W60" s="195">
        <f t="shared" si="5"/>
        <v>1.4981273408239737E-2</v>
      </c>
      <c r="Y60" s="196">
        <v>45568</v>
      </c>
      <c r="Z60" s="200">
        <v>5343.5</v>
      </c>
      <c r="AA60" s="195">
        <f t="shared" si="6"/>
        <v>-1.4033774617583372E-4</v>
      </c>
    </row>
    <row r="61" spans="1:27" x14ac:dyDescent="0.25">
      <c r="A61" s="196">
        <v>45354</v>
      </c>
      <c r="B61" s="194">
        <v>99.16</v>
      </c>
      <c r="C61" s="195">
        <f t="shared" si="0"/>
        <v>-2.6698076168040874E-2</v>
      </c>
      <c r="E61" s="196">
        <v>45354</v>
      </c>
      <c r="F61" s="194">
        <v>206.25</v>
      </c>
      <c r="G61" s="195">
        <f t="shared" si="1"/>
        <v>1.6009852216748666E-2</v>
      </c>
      <c r="I61" s="196" t="s">
        <v>201</v>
      </c>
      <c r="J61">
        <v>60.05</v>
      </c>
      <c r="K61" s="195">
        <f t="shared" si="2"/>
        <v>-3.6579496229744879E-2</v>
      </c>
      <c r="M61" s="196" t="s">
        <v>201</v>
      </c>
      <c r="N61">
        <v>152.03</v>
      </c>
      <c r="O61" s="195">
        <f t="shared" si="3"/>
        <v>9.8306210561274199E-3</v>
      </c>
      <c r="Q61" s="198">
        <v>45354</v>
      </c>
      <c r="R61">
        <v>125.04</v>
      </c>
      <c r="S61" s="195">
        <f t="shared" si="4"/>
        <v>1.8428010576077014E-3</v>
      </c>
      <c r="U61" s="196">
        <v>45354</v>
      </c>
      <c r="V61" s="194">
        <v>10.68</v>
      </c>
      <c r="W61" s="195">
        <f t="shared" si="5"/>
        <v>1.4245014245014342E-2</v>
      </c>
      <c r="Y61" s="196">
        <v>45354</v>
      </c>
      <c r="Z61" s="200">
        <v>5344.25</v>
      </c>
      <c r="AA61" s="195">
        <f t="shared" si="6"/>
        <v>-2.9384328358208478E-3</v>
      </c>
    </row>
    <row r="62" spans="1:27" x14ac:dyDescent="0.25">
      <c r="A62" s="196" t="s">
        <v>201</v>
      </c>
      <c r="B62" s="194">
        <v>101.88</v>
      </c>
      <c r="C62" s="195">
        <f t="shared" si="0"/>
        <v>-3.5501278046009666E-2</v>
      </c>
      <c r="E62" s="196" t="s">
        <v>201</v>
      </c>
      <c r="F62" s="194">
        <v>203</v>
      </c>
      <c r="G62" s="195">
        <f t="shared" si="1"/>
        <v>6.9444444444444198E-3</v>
      </c>
      <c r="I62" s="196" t="s">
        <v>202</v>
      </c>
      <c r="J62">
        <v>62.33</v>
      </c>
      <c r="K62" s="195">
        <f t="shared" si="2"/>
        <v>3.5382059800664445E-2</v>
      </c>
      <c r="M62" s="196" t="s">
        <v>202</v>
      </c>
      <c r="N62">
        <v>150.55000000000001</v>
      </c>
      <c r="O62" s="195">
        <f t="shared" si="3"/>
        <v>2.5894378194207812E-2</v>
      </c>
      <c r="Q62" s="197" t="s">
        <v>201</v>
      </c>
      <c r="R62">
        <v>124.81</v>
      </c>
      <c r="S62" s="195">
        <f t="shared" si="4"/>
        <v>5.4940410785225158E-2</v>
      </c>
      <c r="U62" s="196" t="s">
        <v>201</v>
      </c>
      <c r="V62" s="194">
        <v>10.53</v>
      </c>
      <c r="W62" s="195">
        <f t="shared" si="5"/>
        <v>5.7306590257879542E-3</v>
      </c>
      <c r="Y62" s="196" t="s">
        <v>201</v>
      </c>
      <c r="Z62" s="200">
        <v>5360</v>
      </c>
      <c r="AA62" s="195">
        <f t="shared" si="6"/>
        <v>8.3243192399944377E-3</v>
      </c>
    </row>
    <row r="63" spans="1:27" x14ac:dyDescent="0.25">
      <c r="A63" s="196" t="s">
        <v>202</v>
      </c>
      <c r="B63" s="194">
        <v>105.63</v>
      </c>
      <c r="C63" s="195">
        <f t="shared" si="0"/>
        <v>2.048111293594812E-2</v>
      </c>
      <c r="E63" s="196" t="s">
        <v>202</v>
      </c>
      <c r="F63" s="194">
        <v>201.6</v>
      </c>
      <c r="G63" s="195">
        <f t="shared" si="1"/>
        <v>5.9658344283836984E-2</v>
      </c>
      <c r="I63" s="196">
        <v>45598</v>
      </c>
      <c r="J63">
        <v>60.2</v>
      </c>
      <c r="K63" s="195">
        <f t="shared" si="2"/>
        <v>9.0512906469997212E-3</v>
      </c>
      <c r="M63" s="196">
        <v>45598</v>
      </c>
      <c r="N63">
        <v>146.75</v>
      </c>
      <c r="O63" s="195">
        <f t="shared" si="3"/>
        <v>2.030174511576166E-2</v>
      </c>
      <c r="Q63" s="197" t="s">
        <v>202</v>
      </c>
      <c r="R63">
        <v>118.31</v>
      </c>
      <c r="S63" s="195">
        <f t="shared" si="4"/>
        <v>-5.6311985207597726E-3</v>
      </c>
      <c r="U63" s="196" t="s">
        <v>202</v>
      </c>
      <c r="V63" s="194">
        <v>10.47</v>
      </c>
      <c r="W63" s="195">
        <f t="shared" si="5"/>
        <v>7.055214723926384E-2</v>
      </c>
      <c r="Y63" s="196" t="s">
        <v>202</v>
      </c>
      <c r="Z63" s="200">
        <v>5315.75</v>
      </c>
      <c r="AA63" s="195">
        <f t="shared" si="6"/>
        <v>1.7173746651358623E-2</v>
      </c>
    </row>
    <row r="64" spans="1:27" x14ac:dyDescent="0.25">
      <c r="A64" s="196">
        <v>45598</v>
      </c>
      <c r="B64" s="194">
        <v>103.51</v>
      </c>
      <c r="C64" s="195">
        <f t="shared" si="0"/>
        <v>-9.4736842105263008E-3</v>
      </c>
      <c r="E64" s="196">
        <v>45598</v>
      </c>
      <c r="F64" s="194">
        <v>190.25</v>
      </c>
      <c r="G64" s="195">
        <f t="shared" si="1"/>
        <v>2.6270363577516553E-2</v>
      </c>
      <c r="I64" s="196">
        <v>45384</v>
      </c>
      <c r="J64">
        <v>59.66</v>
      </c>
      <c r="K64" s="195">
        <f t="shared" si="2"/>
        <v>1.2731285011033711E-2</v>
      </c>
      <c r="M64" s="196">
        <v>45384</v>
      </c>
      <c r="N64">
        <v>143.83000000000001</v>
      </c>
      <c r="O64" s="195">
        <f t="shared" si="3"/>
        <v>2.1012280826293805E-2</v>
      </c>
      <c r="Q64" s="198">
        <v>45598</v>
      </c>
      <c r="R64">
        <v>118.98</v>
      </c>
      <c r="S64" s="195">
        <f t="shared" si="4"/>
        <v>0.10637902175934544</v>
      </c>
      <c r="U64" s="196">
        <v>45598</v>
      </c>
      <c r="V64" s="194">
        <v>9.7799999999999994</v>
      </c>
      <c r="W64" s="195">
        <f t="shared" si="5"/>
        <v>0.22710163111668757</v>
      </c>
      <c r="Y64" s="196">
        <v>45598</v>
      </c>
      <c r="Z64" s="200">
        <v>5226</v>
      </c>
      <c r="AA64" s="195">
        <f t="shared" si="6"/>
        <v>-3.0047217055372277E-3</v>
      </c>
    </row>
    <row r="65" spans="1:27" x14ac:dyDescent="0.25">
      <c r="A65" s="196">
        <v>45384</v>
      </c>
      <c r="B65" s="194">
        <v>104.5</v>
      </c>
      <c r="C65" s="195">
        <f t="shared" si="0"/>
        <v>3.763280706980443E-2</v>
      </c>
      <c r="E65" s="196">
        <v>45384</v>
      </c>
      <c r="F65" s="194">
        <v>185.38</v>
      </c>
      <c r="G65" s="195">
        <f t="shared" si="1"/>
        <v>-2.6876640419947528E-2</v>
      </c>
      <c r="I65" s="196" t="s">
        <v>203</v>
      </c>
      <c r="J65">
        <v>58.91</v>
      </c>
      <c r="K65" s="195">
        <f t="shared" si="2"/>
        <v>3.2784011220196252E-2</v>
      </c>
      <c r="M65" s="196" t="s">
        <v>203</v>
      </c>
      <c r="N65">
        <v>140.87</v>
      </c>
      <c r="O65" s="195">
        <f t="shared" si="3"/>
        <v>-4.1765866267600704E-2</v>
      </c>
      <c r="Q65" s="198">
        <v>45384</v>
      </c>
      <c r="R65">
        <v>107.54</v>
      </c>
      <c r="S65" s="195">
        <f t="shared" si="4"/>
        <v>9.533509879812585E-2</v>
      </c>
      <c r="U65" s="196">
        <v>45384</v>
      </c>
      <c r="V65" s="194">
        <v>7.97</v>
      </c>
      <c r="W65" s="195">
        <f t="shared" si="5"/>
        <v>2.4421593830334043E-2</v>
      </c>
      <c r="Y65" s="196">
        <v>45384</v>
      </c>
      <c r="Z65" s="200">
        <v>5241.75</v>
      </c>
      <c r="AA65" s="195">
        <f t="shared" si="6"/>
        <v>1.3780098636495541E-2</v>
      </c>
    </row>
    <row r="66" spans="1:27" x14ac:dyDescent="0.25">
      <c r="A66" s="196" t="s">
        <v>203</v>
      </c>
      <c r="B66" s="194">
        <v>100.71</v>
      </c>
      <c r="C66" s="195">
        <f t="shared" si="0"/>
        <v>-1.9854014598540193E-2</v>
      </c>
      <c r="E66" s="196" t="s">
        <v>203</v>
      </c>
      <c r="F66" s="194">
        <v>190.5</v>
      </c>
      <c r="G66" s="195">
        <f t="shared" si="1"/>
        <v>-9.7723256055722851E-3</v>
      </c>
      <c r="I66" s="196" t="s">
        <v>204</v>
      </c>
      <c r="J66">
        <v>57.04</v>
      </c>
      <c r="K66" s="195">
        <f t="shared" si="2"/>
        <v>-9.2875318066157786E-2</v>
      </c>
      <c r="M66" s="196" t="s">
        <v>204</v>
      </c>
      <c r="N66">
        <v>147.01</v>
      </c>
      <c r="O66" s="195">
        <f t="shared" si="3"/>
        <v>0.14878487145424701</v>
      </c>
      <c r="Q66" s="197" t="s">
        <v>203</v>
      </c>
      <c r="R66">
        <v>98.18</v>
      </c>
      <c r="S66" s="195">
        <f t="shared" si="4"/>
        <v>-4.6425796425796251E-2</v>
      </c>
      <c r="U66" s="196" t="s">
        <v>203</v>
      </c>
      <c r="V66" s="194">
        <v>7.78</v>
      </c>
      <c r="W66" s="195">
        <f t="shared" si="5"/>
        <v>1.0389610389610393E-2</v>
      </c>
      <c r="Y66" s="196" t="s">
        <v>203</v>
      </c>
      <c r="Z66" s="200">
        <v>5170.5</v>
      </c>
      <c r="AA66" s="195">
        <f t="shared" si="6"/>
        <v>1.3575104141141825E-2</v>
      </c>
    </row>
    <row r="67" spans="1:27" x14ac:dyDescent="0.25">
      <c r="A67" s="196" t="s">
        <v>204</v>
      </c>
      <c r="B67" s="194">
        <v>102.75</v>
      </c>
      <c r="C67" s="195">
        <f t="shared" si="0"/>
        <v>9.5303595991353962E-3</v>
      </c>
      <c r="E67" s="196" t="s">
        <v>204</v>
      </c>
      <c r="F67" s="194">
        <v>192.38</v>
      </c>
      <c r="G67" s="195">
        <f t="shared" si="1"/>
        <v>7.4688564884643371E-2</v>
      </c>
      <c r="I67" s="196" t="s">
        <v>205</v>
      </c>
      <c r="J67">
        <v>62.88</v>
      </c>
      <c r="K67" s="195">
        <f t="shared" si="2"/>
        <v>-2.9929034248688535E-2</v>
      </c>
      <c r="M67" s="196" t="s">
        <v>205</v>
      </c>
      <c r="N67">
        <v>127.97</v>
      </c>
      <c r="O67" s="195">
        <f t="shared" si="3"/>
        <v>2.4743754003843765E-2</v>
      </c>
      <c r="Q67" s="197" t="s">
        <v>204</v>
      </c>
      <c r="R67">
        <v>102.96</v>
      </c>
      <c r="S67" s="195">
        <f t="shared" si="4"/>
        <v>1.588554514060192E-2</v>
      </c>
      <c r="U67" s="196" t="s">
        <v>204</v>
      </c>
      <c r="V67" s="194">
        <v>7.7</v>
      </c>
      <c r="W67" s="195">
        <f t="shared" si="5"/>
        <v>-2.2842639593908642E-2</v>
      </c>
      <c r="Y67" s="196" t="s">
        <v>204</v>
      </c>
      <c r="Z67" s="200">
        <v>5101.25</v>
      </c>
      <c r="AA67" s="195">
        <f t="shared" si="6"/>
        <v>1.044864811330104E-2</v>
      </c>
    </row>
    <row r="68" spans="1:27" x14ac:dyDescent="0.25">
      <c r="A68" s="196" t="s">
        <v>205</v>
      </c>
      <c r="B68" s="194">
        <v>101.78</v>
      </c>
      <c r="C68" s="195">
        <f t="shared" si="0"/>
        <v>-3.1220255092328175E-2</v>
      </c>
      <c r="E68" s="196" t="s">
        <v>205</v>
      </c>
      <c r="F68" s="194">
        <v>179.01</v>
      </c>
      <c r="G68" s="195">
        <f t="shared" si="1"/>
        <v>-7.612510322047894E-2</v>
      </c>
      <c r="I68" s="196">
        <v>45474</v>
      </c>
      <c r="J68">
        <v>64.819999999999993</v>
      </c>
      <c r="K68" s="195">
        <f t="shared" si="2"/>
        <v>2.5632911392404978E-2</v>
      </c>
      <c r="M68" s="196">
        <v>45474</v>
      </c>
      <c r="N68">
        <v>124.88</v>
      </c>
      <c r="O68" s="195">
        <f t="shared" si="3"/>
        <v>6.0281881473934318E-2</v>
      </c>
      <c r="Q68" s="197" t="s">
        <v>205</v>
      </c>
      <c r="R68">
        <v>101.35</v>
      </c>
      <c r="S68" s="195">
        <f t="shared" si="4"/>
        <v>-1.9731115194893234E-2</v>
      </c>
      <c r="U68" s="196" t="s">
        <v>205</v>
      </c>
      <c r="V68" s="194">
        <v>7.88</v>
      </c>
      <c r="W68" s="195">
        <f t="shared" si="5"/>
        <v>2.3376623376623273E-2</v>
      </c>
      <c r="Y68" s="196" t="s">
        <v>205</v>
      </c>
      <c r="Z68" s="200">
        <v>5048.5</v>
      </c>
      <c r="AA68" s="195">
        <f t="shared" si="6"/>
        <v>1.3755020080321367E-2</v>
      </c>
    </row>
    <row r="69" spans="1:27" x14ac:dyDescent="0.25">
      <c r="A69" s="196">
        <v>45474</v>
      </c>
      <c r="B69" s="194">
        <v>105.06</v>
      </c>
      <c r="C69" s="195">
        <f t="shared" si="0"/>
        <v>2.9192789968652155E-2</v>
      </c>
      <c r="E69" s="196">
        <v>45474</v>
      </c>
      <c r="F69" s="194">
        <v>193.76</v>
      </c>
      <c r="G69" s="195">
        <f t="shared" si="1"/>
        <v>7.8543563068920186E-3</v>
      </c>
      <c r="I69" s="196" t="s">
        <v>206</v>
      </c>
      <c r="J69">
        <v>63.2</v>
      </c>
      <c r="K69" s="195">
        <f t="shared" si="2"/>
        <v>4.635761589403975E-2</v>
      </c>
      <c r="M69" s="196" t="s">
        <v>206</v>
      </c>
      <c r="N69">
        <v>117.78</v>
      </c>
      <c r="O69" s="195">
        <f t="shared" si="3"/>
        <v>8.3333333333333259E-2</v>
      </c>
      <c r="Q69" s="198">
        <v>45474</v>
      </c>
      <c r="R69">
        <v>103.39</v>
      </c>
      <c r="S69" s="195">
        <f t="shared" si="4"/>
        <v>0.19581309275965775</v>
      </c>
      <c r="U69" s="196">
        <v>45474</v>
      </c>
      <c r="V69" s="194">
        <v>7.7</v>
      </c>
      <c r="W69" s="195">
        <f t="shared" si="5"/>
        <v>5.1912568306010876E-2</v>
      </c>
      <c r="Y69" s="196">
        <v>45474</v>
      </c>
      <c r="Z69" s="200">
        <v>4980</v>
      </c>
      <c r="AA69" s="195">
        <f t="shared" si="6"/>
        <v>1.5135300412780994E-2</v>
      </c>
    </row>
    <row r="70" spans="1:27" x14ac:dyDescent="0.25">
      <c r="A70" s="196" t="s">
        <v>206</v>
      </c>
      <c r="B70" s="194">
        <v>102.08</v>
      </c>
      <c r="C70" s="195">
        <f t="shared" si="0"/>
        <v>-5.9777102330293763E-2</v>
      </c>
      <c r="E70" s="196" t="s">
        <v>206</v>
      </c>
      <c r="F70" s="194">
        <v>192.25</v>
      </c>
      <c r="G70" s="195">
        <f t="shared" si="1"/>
        <v>-5.3095601635226308E-2</v>
      </c>
      <c r="I70" s="196" t="s">
        <v>207</v>
      </c>
      <c r="J70">
        <v>60.4</v>
      </c>
      <c r="K70" s="195">
        <f t="shared" si="2"/>
        <v>-3.1119666345845398E-2</v>
      </c>
      <c r="M70" s="196" t="s">
        <v>207</v>
      </c>
      <c r="N70">
        <v>108.72</v>
      </c>
      <c r="O70" s="195">
        <f t="shared" si="3"/>
        <v>-2.4145049815994968E-2</v>
      </c>
      <c r="Q70" s="197" t="s">
        <v>206</v>
      </c>
      <c r="R70">
        <v>86.46</v>
      </c>
      <c r="S70" s="195">
        <f t="shared" si="4"/>
        <v>-7.4403168825607602E-2</v>
      </c>
      <c r="U70" s="196" t="s">
        <v>206</v>
      </c>
      <c r="V70" s="194">
        <v>7.32</v>
      </c>
      <c r="W70" s="195">
        <f t="shared" si="5"/>
        <v>-6.7515923566878855E-2</v>
      </c>
      <c r="Y70" s="196" t="s">
        <v>206</v>
      </c>
      <c r="Z70" s="200">
        <v>4905.75</v>
      </c>
      <c r="AA70" s="195">
        <f t="shared" si="6"/>
        <v>-1.6193723052241094E-2</v>
      </c>
    </row>
    <row r="71" spans="1:27" x14ac:dyDescent="0.25">
      <c r="A71" s="196" t="s">
        <v>207</v>
      </c>
      <c r="B71" s="194">
        <v>108.57</v>
      </c>
      <c r="C71" s="195">
        <f t="shared" si="0"/>
        <v>4.9055905220287688E-3</v>
      </c>
      <c r="E71" s="196" t="s">
        <v>207</v>
      </c>
      <c r="F71" s="194">
        <v>203.03</v>
      </c>
      <c r="G71" s="195">
        <f t="shared" si="1"/>
        <v>1.3882646691635525E-2</v>
      </c>
      <c r="I71" s="196" t="s">
        <v>208</v>
      </c>
      <c r="J71">
        <v>62.34</v>
      </c>
      <c r="K71" s="195">
        <f t="shared" si="2"/>
        <v>2.734437831751757E-3</v>
      </c>
      <c r="M71" s="196" t="s">
        <v>208</v>
      </c>
      <c r="N71">
        <v>111.41</v>
      </c>
      <c r="O71" s="195">
        <f t="shared" si="3"/>
        <v>-3.6412385400449776E-2</v>
      </c>
      <c r="Q71" s="197" t="s">
        <v>207</v>
      </c>
      <c r="R71">
        <v>93.41</v>
      </c>
      <c r="S71" s="195">
        <f t="shared" si="4"/>
        <v>-4.8584233041352731E-2</v>
      </c>
      <c r="U71" s="196" t="s">
        <v>207</v>
      </c>
      <c r="V71" s="194">
        <v>7.85</v>
      </c>
      <c r="W71" s="195">
        <f t="shared" si="5"/>
        <v>-1.2578616352201366E-2</v>
      </c>
      <c r="Y71" s="196" t="s">
        <v>207</v>
      </c>
      <c r="Z71" s="200">
        <v>4986.5</v>
      </c>
      <c r="AA71" s="195">
        <f t="shared" si="6"/>
        <v>3.1685359352211506E-3</v>
      </c>
    </row>
    <row r="72" spans="1:27" x14ac:dyDescent="0.25">
      <c r="A72" s="196" t="s">
        <v>208</v>
      </c>
      <c r="B72" s="194">
        <v>108.04</v>
      </c>
      <c r="C72" s="195">
        <f t="shared" si="0"/>
        <v>-0.11114767585355811</v>
      </c>
      <c r="E72" s="196" t="s">
        <v>208</v>
      </c>
      <c r="F72" s="194">
        <v>200.25</v>
      </c>
      <c r="G72" s="195">
        <f t="shared" si="1"/>
        <v>-2.7912621359223344E-2</v>
      </c>
      <c r="I72" s="196">
        <v>45211</v>
      </c>
      <c r="J72">
        <v>62.17</v>
      </c>
      <c r="K72" s="195">
        <f t="shared" si="2"/>
        <v>7.4542213579646965E-3</v>
      </c>
      <c r="M72" s="196">
        <v>45211</v>
      </c>
      <c r="N72">
        <v>115.62</v>
      </c>
      <c r="O72" s="195">
        <f t="shared" si="3"/>
        <v>-1.2975926242103419E-2</v>
      </c>
      <c r="Q72" s="197" t="s">
        <v>208</v>
      </c>
      <c r="R72">
        <v>98.18</v>
      </c>
      <c r="S72" s="195">
        <f t="shared" si="4"/>
        <v>-8.3372234151806501E-2</v>
      </c>
      <c r="U72" s="196" t="s">
        <v>208</v>
      </c>
      <c r="V72" s="194">
        <v>7.95</v>
      </c>
      <c r="W72" s="195">
        <f t="shared" si="5"/>
        <v>1.40306122448981E-2</v>
      </c>
      <c r="Y72" s="196" t="s">
        <v>208</v>
      </c>
      <c r="Z72" s="200">
        <v>4970.75</v>
      </c>
      <c r="AA72" s="195">
        <f t="shared" si="6"/>
        <v>6.2756212358925367E-3</v>
      </c>
    </row>
    <row r="73" spans="1:27" x14ac:dyDescent="0.25">
      <c r="A73" s="196">
        <v>45211</v>
      </c>
      <c r="B73" s="194">
        <v>121.55</v>
      </c>
      <c r="C73" s="195">
        <f t="shared" si="0"/>
        <v>4.8658441894573468E-2</v>
      </c>
      <c r="E73" s="196">
        <v>45211</v>
      </c>
      <c r="F73" s="194">
        <v>206</v>
      </c>
      <c r="G73" s="195">
        <f t="shared" si="1"/>
        <v>-7.2289156626506035E-3</v>
      </c>
      <c r="I73" s="196">
        <v>44997</v>
      </c>
      <c r="J73">
        <v>61.71</v>
      </c>
      <c r="K73" s="195">
        <f t="shared" si="2"/>
        <v>2.1181532351481014E-2</v>
      </c>
      <c r="M73" s="196">
        <v>44997</v>
      </c>
      <c r="N73">
        <v>117.14</v>
      </c>
      <c r="O73" s="195">
        <f t="shared" si="3"/>
        <v>1.0698878343399443E-2</v>
      </c>
      <c r="Q73" s="198">
        <v>45211</v>
      </c>
      <c r="R73">
        <v>107.11</v>
      </c>
      <c r="S73" s="195">
        <f t="shared" si="4"/>
        <v>3.2485058800848288E-2</v>
      </c>
      <c r="U73" s="196">
        <v>45211</v>
      </c>
      <c r="V73" s="194">
        <v>7.84</v>
      </c>
      <c r="W73" s="195">
        <f t="shared" si="5"/>
        <v>-5.7692307692307709E-2</v>
      </c>
      <c r="Y73" s="196">
        <v>45211</v>
      </c>
      <c r="Z73" s="200">
        <v>4939.75</v>
      </c>
      <c r="AA73" s="195">
        <f t="shared" si="6"/>
        <v>2.0978659639332431E-2</v>
      </c>
    </row>
    <row r="74" spans="1:27" x14ac:dyDescent="0.25">
      <c r="A74" s="196">
        <v>44997</v>
      </c>
      <c r="B74" s="194">
        <v>115.91</v>
      </c>
      <c r="C74" s="195">
        <f t="shared" si="0"/>
        <v>2.1413464927740433E-2</v>
      </c>
      <c r="E74" s="196">
        <v>44997</v>
      </c>
      <c r="F74" s="194">
        <v>207.5</v>
      </c>
      <c r="G74" s="195">
        <f t="shared" si="1"/>
        <v>-8.9315565744854108E-3</v>
      </c>
      <c r="I74" s="196" t="s">
        <v>209</v>
      </c>
      <c r="J74">
        <v>60.43</v>
      </c>
      <c r="K74" s="195">
        <f t="shared" si="2"/>
        <v>2.1639898562975546E-2</v>
      </c>
      <c r="M74" s="196" t="s">
        <v>209</v>
      </c>
      <c r="N74">
        <v>115.9</v>
      </c>
      <c r="O74" s="195">
        <f t="shared" si="3"/>
        <v>1.5063934139078583E-2</v>
      </c>
      <c r="Q74" s="198">
        <v>44997</v>
      </c>
      <c r="R74">
        <v>103.74</v>
      </c>
      <c r="S74" s="195">
        <f t="shared" si="4"/>
        <v>-2.6463963963963999E-2</v>
      </c>
      <c r="U74" s="196">
        <v>44997</v>
      </c>
      <c r="V74" s="194">
        <v>8.32</v>
      </c>
      <c r="W74" s="195">
        <f t="shared" si="5"/>
        <v>-6.9351230425055865E-2</v>
      </c>
      <c r="Y74" s="196">
        <v>44997</v>
      </c>
      <c r="Z74" s="200">
        <v>4838.25</v>
      </c>
      <c r="AA74" s="195">
        <f t="shared" si="6"/>
        <v>3.3699709664039013E-3</v>
      </c>
    </row>
    <row r="75" spans="1:27" x14ac:dyDescent="0.25">
      <c r="A75" s="196" t="s">
        <v>209</v>
      </c>
      <c r="B75" s="194">
        <v>113.48</v>
      </c>
      <c r="C75" s="195">
        <f t="shared" si="0"/>
        <v>5.4254923820141299E-2</v>
      </c>
      <c r="E75" s="196" t="s">
        <v>209</v>
      </c>
      <c r="F75" s="194">
        <v>209.37</v>
      </c>
      <c r="G75" s="195">
        <f t="shared" si="1"/>
        <v>3.5664819944598358E-2</v>
      </c>
      <c r="I75" s="196" t="s">
        <v>210</v>
      </c>
      <c r="J75">
        <v>59.15</v>
      </c>
      <c r="K75" s="195">
        <f t="shared" si="2"/>
        <v>5.6061417603999297E-2</v>
      </c>
      <c r="M75" s="196" t="s">
        <v>210</v>
      </c>
      <c r="N75">
        <v>114.18</v>
      </c>
      <c r="O75" s="195">
        <f t="shared" si="3"/>
        <v>7.5343755886230879E-2</v>
      </c>
      <c r="Q75" s="197" t="s">
        <v>209</v>
      </c>
      <c r="R75">
        <v>106.56</v>
      </c>
      <c r="S75" s="195">
        <f t="shared" si="4"/>
        <v>0.12654614652711693</v>
      </c>
      <c r="U75" s="196" t="s">
        <v>209</v>
      </c>
      <c r="V75" s="194">
        <v>8.94</v>
      </c>
      <c r="W75" s="195">
        <f t="shared" si="5"/>
        <v>-2.0810514786418488E-2</v>
      </c>
      <c r="Y75" s="196" t="s">
        <v>209</v>
      </c>
      <c r="Z75" s="200">
        <v>4822</v>
      </c>
      <c r="AA75" s="195">
        <f t="shared" si="6"/>
        <v>4.0081203477173588E-3</v>
      </c>
    </row>
    <row r="76" spans="1:27" x14ac:dyDescent="0.25">
      <c r="A76" s="196" t="s">
        <v>210</v>
      </c>
      <c r="B76" s="194">
        <v>107.64</v>
      </c>
      <c r="C76" s="195">
        <f t="shared" si="0"/>
        <v>1.5855039637599155E-2</v>
      </c>
      <c r="E76" s="196" t="s">
        <v>210</v>
      </c>
      <c r="F76" s="194">
        <v>202.16</v>
      </c>
      <c r="G76" s="195">
        <f t="shared" si="1"/>
        <v>4.5402833798738218E-2</v>
      </c>
      <c r="I76" s="196">
        <v>45271</v>
      </c>
      <c r="J76">
        <v>56.01</v>
      </c>
      <c r="K76" s="195">
        <f t="shared" si="2"/>
        <v>6.6044918157594168E-2</v>
      </c>
      <c r="M76" s="196">
        <v>45271</v>
      </c>
      <c r="N76">
        <v>106.18</v>
      </c>
      <c r="O76" s="195">
        <f t="shared" si="3"/>
        <v>2.668729452717078E-2</v>
      </c>
      <c r="Q76" s="197" t="s">
        <v>210</v>
      </c>
      <c r="R76">
        <v>94.59</v>
      </c>
      <c r="S76" s="195">
        <f t="shared" si="4"/>
        <v>3.7398552314103828E-2</v>
      </c>
      <c r="U76" s="196" t="s">
        <v>210</v>
      </c>
      <c r="V76" s="194">
        <v>9.1300000000000008</v>
      </c>
      <c r="W76" s="195">
        <f t="shared" si="5"/>
        <v>2.5842696629213568E-2</v>
      </c>
      <c r="Y76" s="196" t="s">
        <v>210</v>
      </c>
      <c r="Z76" s="200">
        <v>4802.75</v>
      </c>
      <c r="AA76" s="195">
        <f t="shared" si="6"/>
        <v>9.3521777964586938E-3</v>
      </c>
    </row>
    <row r="77" spans="1:27" x14ac:dyDescent="0.25">
      <c r="A77" s="196">
        <v>45271</v>
      </c>
      <c r="B77" s="194">
        <v>105.96</v>
      </c>
      <c r="C77" s="195">
        <f t="shared" si="0"/>
        <v>-1.4136273678259093E-3</v>
      </c>
      <c r="E77" s="196">
        <v>45271</v>
      </c>
      <c r="F77" s="194">
        <v>193.38</v>
      </c>
      <c r="G77" s="195">
        <f t="shared" si="1"/>
        <v>4.8584752196074277E-2</v>
      </c>
      <c r="I77" s="196">
        <v>45057</v>
      </c>
      <c r="J77">
        <v>52.54</v>
      </c>
      <c r="K77" s="195">
        <f t="shared" si="2"/>
        <v>5.0169898061163343E-2</v>
      </c>
      <c r="M77" s="196">
        <v>45057</v>
      </c>
      <c r="N77">
        <v>103.42</v>
      </c>
      <c r="O77" s="195">
        <f t="shared" si="3"/>
        <v>-1.9343827043428741E-2</v>
      </c>
      <c r="Q77" s="198">
        <v>45271</v>
      </c>
      <c r="R77">
        <v>91.18</v>
      </c>
      <c r="S77" s="195">
        <f t="shared" si="4"/>
        <v>0.14418371188354895</v>
      </c>
      <c r="U77" s="196">
        <v>45271</v>
      </c>
      <c r="V77" s="194">
        <v>8.9</v>
      </c>
      <c r="W77" s="195">
        <f t="shared" si="5"/>
        <v>5.4502369668246509E-2</v>
      </c>
      <c r="Y77" s="196">
        <v>45271</v>
      </c>
      <c r="Z77" s="200">
        <v>4758.25</v>
      </c>
      <c r="AA77" s="195">
        <f t="shared" si="6"/>
        <v>2.0809868597479131E-2</v>
      </c>
    </row>
    <row r="78" spans="1:27" x14ac:dyDescent="0.25">
      <c r="A78" s="196">
        <v>45057</v>
      </c>
      <c r="B78" s="194">
        <v>106.11</v>
      </c>
      <c r="C78" s="195">
        <f t="shared" si="0"/>
        <v>-8.8735288623201791E-3</v>
      </c>
      <c r="E78" s="196">
        <v>45057</v>
      </c>
      <c r="F78" s="194">
        <v>184.42</v>
      </c>
      <c r="G78" s="195">
        <f t="shared" si="1"/>
        <v>6.5495033293307969E-3</v>
      </c>
      <c r="I78" s="196" t="s">
        <v>211</v>
      </c>
      <c r="J78">
        <v>50.03</v>
      </c>
      <c r="K78" s="195">
        <f t="shared" si="2"/>
        <v>4.8846960167714837E-2</v>
      </c>
      <c r="M78" s="196" t="s">
        <v>211</v>
      </c>
      <c r="N78">
        <v>105.46</v>
      </c>
      <c r="O78" s="195">
        <f t="shared" si="3"/>
        <v>5.9686495176848764E-2</v>
      </c>
      <c r="Q78" s="198">
        <v>45057</v>
      </c>
      <c r="R78">
        <v>79.69</v>
      </c>
      <c r="S78" s="195">
        <f t="shared" si="4"/>
        <v>-5.0518289050399234E-2</v>
      </c>
      <c r="U78" s="196">
        <v>45057</v>
      </c>
      <c r="V78" s="194">
        <v>8.44</v>
      </c>
      <c r="W78" s="195">
        <f t="shared" si="5"/>
        <v>2.3752969121140222E-3</v>
      </c>
      <c r="Y78" s="196">
        <v>45057</v>
      </c>
      <c r="Z78" s="200">
        <v>4661.25</v>
      </c>
      <c r="AA78" s="195">
        <f t="shared" si="6"/>
        <v>1.3976506417228585E-2</v>
      </c>
    </row>
    <row r="79" spans="1:27" x14ac:dyDescent="0.25">
      <c r="A79" s="196" t="s">
        <v>211</v>
      </c>
      <c r="B79" s="194">
        <v>107.06</v>
      </c>
      <c r="C79" s="195">
        <f t="shared" ref="C79:C142" si="7">B79/B80-1</f>
        <v>9.2671973872218816E-2</v>
      </c>
      <c r="E79" s="196" t="s">
        <v>211</v>
      </c>
      <c r="F79" s="194">
        <v>183.22</v>
      </c>
      <c r="G79" s="195">
        <f t="shared" ref="G79:G142" si="8">F79/F80-1</f>
        <v>3.6605374823196701E-2</v>
      </c>
      <c r="I79" s="196" t="s">
        <v>212</v>
      </c>
      <c r="J79">
        <v>47.7</v>
      </c>
      <c r="K79" s="195">
        <f t="shared" ref="K79:K142" si="9">J79/J80-1</f>
        <v>3.4707158351410028E-2</v>
      </c>
      <c r="M79" s="196" t="s">
        <v>212</v>
      </c>
      <c r="N79">
        <v>99.52</v>
      </c>
      <c r="O79" s="195">
        <f t="shared" ref="O79:O142" si="10">N79/N80-1</f>
        <v>3.6019154694982181E-2</v>
      </c>
      <c r="Q79" s="197" t="s">
        <v>211</v>
      </c>
      <c r="R79">
        <v>83.93</v>
      </c>
      <c r="S79" s="195">
        <f t="shared" ref="S79:S142" si="11">R79/R80-1</f>
        <v>-2.3842754128867161E-2</v>
      </c>
      <c r="U79" s="196" t="s">
        <v>211</v>
      </c>
      <c r="V79" s="194">
        <v>8.42</v>
      </c>
      <c r="W79" s="195">
        <f t="shared" ref="W79:W142" si="12">V79/V80-1</f>
        <v>7.5351213282247809E-2</v>
      </c>
      <c r="Y79" s="196" t="s">
        <v>211</v>
      </c>
      <c r="Z79" s="200">
        <v>4597</v>
      </c>
      <c r="AA79" s="195">
        <f t="shared" ref="AA79:AA142" si="13">Z79/Z80-1</f>
        <v>5.5568312284730137E-2</v>
      </c>
    </row>
    <row r="80" spans="1:27" x14ac:dyDescent="0.25">
      <c r="A80" s="196" t="s">
        <v>212</v>
      </c>
      <c r="B80" s="194">
        <v>97.98</v>
      </c>
      <c r="C80" s="195">
        <f t="shared" si="7"/>
        <v>-4.5680335054056664E-2</v>
      </c>
      <c r="E80" s="196" t="s">
        <v>212</v>
      </c>
      <c r="F80" s="194">
        <v>176.75</v>
      </c>
      <c r="G80" s="195">
        <f t="shared" si="8"/>
        <v>-2.4127650176678506E-2</v>
      </c>
      <c r="I80" s="196" t="s">
        <v>213</v>
      </c>
      <c r="J80">
        <v>46.1</v>
      </c>
      <c r="K80" s="195">
        <f t="shared" si="9"/>
        <v>-4.8110675201321507E-2</v>
      </c>
      <c r="M80" s="196" t="s">
        <v>213</v>
      </c>
      <c r="N80">
        <v>96.06</v>
      </c>
      <c r="O80" s="195">
        <f t="shared" si="10"/>
        <v>0.15832629928855657</v>
      </c>
      <c r="Q80" s="197" t="s">
        <v>212</v>
      </c>
      <c r="R80">
        <v>85.98</v>
      </c>
      <c r="S80" s="195">
        <f t="shared" si="11"/>
        <v>4.908835904628317E-3</v>
      </c>
      <c r="U80" s="196" t="s">
        <v>212</v>
      </c>
      <c r="V80" s="194">
        <v>7.83</v>
      </c>
      <c r="W80" s="195">
        <f t="shared" si="12"/>
        <v>1.6883116883116944E-2</v>
      </c>
      <c r="Y80" s="196" t="s">
        <v>212</v>
      </c>
      <c r="Z80" s="200">
        <v>4355</v>
      </c>
      <c r="AA80" s="195">
        <f t="shared" si="13"/>
        <v>-2.5890510540736988E-2</v>
      </c>
    </row>
    <row r="81" spans="1:27" x14ac:dyDescent="0.25">
      <c r="A81" s="196" t="s">
        <v>213</v>
      </c>
      <c r="B81" s="194">
        <v>102.67</v>
      </c>
      <c r="C81" s="195">
        <f t="shared" si="7"/>
        <v>2.7624862376138593E-2</v>
      </c>
      <c r="E81" s="196" t="s">
        <v>213</v>
      </c>
      <c r="F81" s="194">
        <v>181.12</v>
      </c>
      <c r="G81" s="195">
        <f t="shared" si="8"/>
        <v>3.1317617583418667E-2</v>
      </c>
      <c r="I81" s="196">
        <v>45148</v>
      </c>
      <c r="J81">
        <v>48.43</v>
      </c>
      <c r="K81" s="195">
        <f t="shared" si="9"/>
        <v>7.0700769390725782E-3</v>
      </c>
      <c r="M81" s="196">
        <v>45148</v>
      </c>
      <c r="N81">
        <v>82.93</v>
      </c>
      <c r="O81" s="195">
        <f t="shared" si="10"/>
        <v>1.0478859510174354E-2</v>
      </c>
      <c r="Q81" s="197" t="s">
        <v>213</v>
      </c>
      <c r="R81">
        <v>85.56</v>
      </c>
      <c r="S81" s="195">
        <f t="shared" si="11"/>
        <v>3.4207663483621475E-2</v>
      </c>
      <c r="U81" s="196" t="s">
        <v>213</v>
      </c>
      <c r="V81" s="194">
        <v>7.7</v>
      </c>
      <c r="W81" s="195">
        <f t="shared" si="12"/>
        <v>-5.5214723926380382E-2</v>
      </c>
      <c r="Y81" s="196" t="s">
        <v>213</v>
      </c>
      <c r="Z81" s="200">
        <v>4470.75</v>
      </c>
      <c r="AA81" s="195">
        <f t="shared" si="13"/>
        <v>-2.4865041714379199E-2</v>
      </c>
    </row>
    <row r="82" spans="1:27" x14ac:dyDescent="0.25">
      <c r="A82" s="196">
        <v>45148</v>
      </c>
      <c r="B82" s="194">
        <v>99.91</v>
      </c>
      <c r="C82" s="195">
        <f t="shared" si="7"/>
        <v>2.8833281845330072E-2</v>
      </c>
      <c r="E82" s="196">
        <v>45148</v>
      </c>
      <c r="F82" s="194">
        <v>175.62</v>
      </c>
      <c r="G82" s="195">
        <f t="shared" si="8"/>
        <v>2.6597299351142967E-2</v>
      </c>
      <c r="I82" s="196">
        <v>44936</v>
      </c>
      <c r="J82">
        <v>48.09</v>
      </c>
      <c r="K82" s="195">
        <f t="shared" si="9"/>
        <v>-9.6787479406919008E-3</v>
      </c>
      <c r="M82" s="196">
        <v>44936</v>
      </c>
      <c r="N82">
        <v>82.07</v>
      </c>
      <c r="O82" s="195">
        <f t="shared" si="10"/>
        <v>-5.3326869470368132E-3</v>
      </c>
      <c r="Q82" s="198">
        <v>45148</v>
      </c>
      <c r="R82">
        <v>82.73</v>
      </c>
      <c r="S82" s="195">
        <f t="shared" si="11"/>
        <v>-2.4640414996462967E-2</v>
      </c>
      <c r="U82" s="196">
        <v>45148</v>
      </c>
      <c r="V82" s="194">
        <v>8.15</v>
      </c>
      <c r="W82" s="195">
        <f t="shared" si="12"/>
        <v>5.1612903225806583E-2</v>
      </c>
      <c r="Y82" s="196">
        <v>45148</v>
      </c>
      <c r="Z82" s="200">
        <v>4584.75</v>
      </c>
      <c r="AA82" s="195">
        <f t="shared" si="13"/>
        <v>2.3502404897244311E-3</v>
      </c>
    </row>
    <row r="83" spans="1:27" x14ac:dyDescent="0.25">
      <c r="A83" s="196">
        <v>44936</v>
      </c>
      <c r="B83" s="194">
        <v>97.11</v>
      </c>
      <c r="C83" s="195">
        <f t="shared" si="7"/>
        <v>1.5582514118385182E-2</v>
      </c>
      <c r="E83" s="196">
        <v>44936</v>
      </c>
      <c r="F83" s="194">
        <v>171.07</v>
      </c>
      <c r="G83" s="195">
        <f t="shared" si="8"/>
        <v>-2.3517324048176302E-2</v>
      </c>
      <c r="I83" s="196" t="s">
        <v>214</v>
      </c>
      <c r="J83">
        <v>48.56</v>
      </c>
      <c r="K83" s="195">
        <f t="shared" si="9"/>
        <v>-7.9673135852911248E-3</v>
      </c>
      <c r="M83" s="196" t="s">
        <v>214</v>
      </c>
      <c r="N83">
        <v>82.51</v>
      </c>
      <c r="O83" s="195">
        <f t="shared" si="10"/>
        <v>-3.699813258636786E-2</v>
      </c>
      <c r="Q83" s="198">
        <v>44936</v>
      </c>
      <c r="R83">
        <v>84.82</v>
      </c>
      <c r="S83" s="195">
        <f t="shared" si="11"/>
        <v>-3.8648985605803099E-2</v>
      </c>
      <c r="U83" s="196">
        <v>44936</v>
      </c>
      <c r="V83" s="194">
        <v>7.75</v>
      </c>
      <c r="W83" s="195">
        <f t="shared" si="12"/>
        <v>-0.12131519274376423</v>
      </c>
      <c r="Y83" s="196">
        <v>44936</v>
      </c>
      <c r="Z83" s="200">
        <v>4574</v>
      </c>
      <c r="AA83" s="195">
        <f t="shared" si="13"/>
        <v>2.8502521376891909E-3</v>
      </c>
    </row>
    <row r="84" spans="1:27" x14ac:dyDescent="0.25">
      <c r="A84" s="196" t="s">
        <v>214</v>
      </c>
      <c r="B84" s="194">
        <v>95.62</v>
      </c>
      <c r="C84" s="195">
        <f t="shared" si="7"/>
        <v>5.2504127682994062E-2</v>
      </c>
      <c r="E84" s="196" t="s">
        <v>214</v>
      </c>
      <c r="F84" s="194">
        <v>175.19</v>
      </c>
      <c r="G84" s="195">
        <f t="shared" si="8"/>
        <v>5.3945480631276688E-3</v>
      </c>
      <c r="I84" s="196" t="s">
        <v>215</v>
      </c>
      <c r="J84">
        <v>48.95</v>
      </c>
      <c r="K84" s="195">
        <f t="shared" si="9"/>
        <v>2.7282266526757804E-2</v>
      </c>
      <c r="M84" s="196" t="s">
        <v>215</v>
      </c>
      <c r="N84">
        <v>85.68</v>
      </c>
      <c r="O84" s="195">
        <f t="shared" si="10"/>
        <v>6.815511163337451E-3</v>
      </c>
      <c r="Q84" s="197" t="s">
        <v>214</v>
      </c>
      <c r="R84">
        <v>88.23</v>
      </c>
      <c r="S84" s="195">
        <f t="shared" si="11"/>
        <v>2.0589936379409979E-2</v>
      </c>
      <c r="U84" s="196" t="s">
        <v>214</v>
      </c>
      <c r="V84" s="194">
        <v>8.82</v>
      </c>
      <c r="W84" s="195">
        <f t="shared" si="12"/>
        <v>-4.5454545454545414E-2</v>
      </c>
      <c r="Y84" s="196" t="s">
        <v>214</v>
      </c>
      <c r="Z84" s="200">
        <v>4561</v>
      </c>
      <c r="AA84" s="195">
        <f t="shared" si="13"/>
        <v>-7.8311942571241966E-3</v>
      </c>
    </row>
    <row r="85" spans="1:27" x14ac:dyDescent="0.25">
      <c r="A85" s="196" t="s">
        <v>215</v>
      </c>
      <c r="B85" s="194">
        <v>90.85</v>
      </c>
      <c r="C85" s="195">
        <f t="shared" si="7"/>
        <v>-5.6201953043839681E-2</v>
      </c>
      <c r="E85" s="196" t="s">
        <v>215</v>
      </c>
      <c r="F85" s="194">
        <v>174.25</v>
      </c>
      <c r="G85" s="195">
        <f t="shared" si="8"/>
        <v>-6.1961670973298855E-2</v>
      </c>
      <c r="I85" s="196">
        <v>45208</v>
      </c>
      <c r="J85">
        <v>47.65</v>
      </c>
      <c r="K85" s="195">
        <f t="shared" si="9"/>
        <v>5.6986070071758377E-3</v>
      </c>
      <c r="M85" s="196">
        <v>45208</v>
      </c>
      <c r="N85">
        <v>85.1</v>
      </c>
      <c r="O85" s="195">
        <f t="shared" si="10"/>
        <v>-2.3522662076879031E-2</v>
      </c>
      <c r="Q85" s="197" t="s">
        <v>215</v>
      </c>
      <c r="R85">
        <v>86.45</v>
      </c>
      <c r="S85" s="195">
        <f t="shared" si="11"/>
        <v>-1.7501988862370643E-2</v>
      </c>
      <c r="U85" s="196" t="s">
        <v>215</v>
      </c>
      <c r="V85" s="194">
        <v>9.24</v>
      </c>
      <c r="W85" s="195">
        <f t="shared" si="12"/>
        <v>-2.2222222222222143E-2</v>
      </c>
      <c r="Y85" s="196" t="s">
        <v>215</v>
      </c>
      <c r="Z85" s="200">
        <v>4597</v>
      </c>
      <c r="AA85" s="195">
        <f t="shared" si="13"/>
        <v>-2.9144667370644139E-2</v>
      </c>
    </row>
    <row r="86" spans="1:27" x14ac:dyDescent="0.25">
      <c r="A86" s="196">
        <v>45208</v>
      </c>
      <c r="B86" s="194">
        <v>96.26</v>
      </c>
      <c r="C86" s="195">
        <f t="shared" si="7"/>
        <v>-1.4436367359475732E-2</v>
      </c>
      <c r="E86" s="196">
        <v>45208</v>
      </c>
      <c r="F86" s="194">
        <v>185.76</v>
      </c>
      <c r="G86" s="195">
        <f t="shared" si="8"/>
        <v>-1.9529188219149285E-2</v>
      </c>
      <c r="I86" s="196" t="s">
        <v>216</v>
      </c>
      <c r="J86">
        <v>47.38</v>
      </c>
      <c r="K86" s="195">
        <f t="shared" si="9"/>
        <v>-3.384991843393137E-2</v>
      </c>
      <c r="M86" s="196" t="s">
        <v>216</v>
      </c>
      <c r="N86">
        <v>87.15</v>
      </c>
      <c r="O86" s="195">
        <f t="shared" si="10"/>
        <v>-8.1939228405598641E-3</v>
      </c>
      <c r="Q86" s="198">
        <v>45208</v>
      </c>
      <c r="R86">
        <v>87.99</v>
      </c>
      <c r="S86" s="195">
        <f t="shared" si="11"/>
        <v>-5.762022062761063E-2</v>
      </c>
      <c r="U86" s="196">
        <v>45208</v>
      </c>
      <c r="V86" s="194">
        <v>9.4499999999999993</v>
      </c>
      <c r="W86" s="195">
        <f t="shared" si="12"/>
        <v>4.3046357615893927E-2</v>
      </c>
      <c r="Y86" s="196">
        <v>45208</v>
      </c>
      <c r="Z86" s="200">
        <v>4735</v>
      </c>
      <c r="AA86" s="195">
        <f t="shared" si="13"/>
        <v>-2.7379949452400743E-3</v>
      </c>
    </row>
    <row r="87" spans="1:27" x14ac:dyDescent="0.25">
      <c r="A87" s="196">
        <v>44994</v>
      </c>
      <c r="B87" s="194">
        <v>97.67</v>
      </c>
      <c r="C87" s="195">
        <f t="shared" si="7"/>
        <v>-4.5818679171551357E-2</v>
      </c>
      <c r="E87" s="196">
        <v>44994</v>
      </c>
      <c r="F87" s="194">
        <v>189.46</v>
      </c>
      <c r="G87" s="195">
        <f t="shared" si="8"/>
        <v>-4.8465672241474578E-2</v>
      </c>
      <c r="I87" s="196" t="s">
        <v>217</v>
      </c>
      <c r="J87">
        <v>49.04</v>
      </c>
      <c r="K87" s="195">
        <f t="shared" si="9"/>
        <v>-4.8875096974398846E-2</v>
      </c>
      <c r="M87" s="196" t="s">
        <v>217</v>
      </c>
      <c r="N87">
        <v>87.87</v>
      </c>
      <c r="O87" s="195">
        <f t="shared" si="10"/>
        <v>-1.0361527199008957E-2</v>
      </c>
      <c r="Q87" s="198">
        <v>44994</v>
      </c>
      <c r="R87">
        <v>93.37</v>
      </c>
      <c r="S87" s="195">
        <f t="shared" si="11"/>
        <v>-6.4990987382335219E-2</v>
      </c>
      <c r="U87" s="196">
        <v>44994</v>
      </c>
      <c r="V87" s="194">
        <v>9.06</v>
      </c>
      <c r="W87" s="195">
        <f t="shared" si="12"/>
        <v>-1.1025358324144863E-3</v>
      </c>
      <c r="Y87" s="196">
        <v>44994</v>
      </c>
      <c r="Z87" s="200">
        <v>4748</v>
      </c>
      <c r="AA87" s="195">
        <f t="shared" si="13"/>
        <v>-1.1245314452311583E-2</v>
      </c>
    </row>
    <row r="88" spans="1:27" x14ac:dyDescent="0.25">
      <c r="A88" s="196" t="s">
        <v>216</v>
      </c>
      <c r="B88" s="194">
        <v>102.36</v>
      </c>
      <c r="C88" s="195">
        <f t="shared" si="7"/>
        <v>3.5613112100364219E-2</v>
      </c>
      <c r="E88" s="196" t="s">
        <v>216</v>
      </c>
      <c r="F88" s="194">
        <v>199.11</v>
      </c>
      <c r="G88" s="195">
        <f t="shared" si="8"/>
        <v>4.6900467953099545E-2</v>
      </c>
      <c r="I88" s="196" t="s">
        <v>218</v>
      </c>
      <c r="J88">
        <v>51.56</v>
      </c>
      <c r="K88" s="195">
        <f t="shared" si="9"/>
        <v>6.5509402769167169E-2</v>
      </c>
      <c r="M88" s="196" t="s">
        <v>218</v>
      </c>
      <c r="N88">
        <v>88.79</v>
      </c>
      <c r="O88" s="195">
        <f t="shared" si="10"/>
        <v>2.1514035895076056E-2</v>
      </c>
      <c r="Q88" s="197" t="s">
        <v>216</v>
      </c>
      <c r="R88">
        <v>99.86</v>
      </c>
      <c r="S88" s="195">
        <f t="shared" si="11"/>
        <v>4.4997907074089571E-2</v>
      </c>
      <c r="U88" s="196" t="s">
        <v>216</v>
      </c>
      <c r="V88" s="194">
        <v>9.07</v>
      </c>
      <c r="W88" s="195">
        <f t="shared" si="12"/>
        <v>3.4207525655644222E-2</v>
      </c>
      <c r="Y88" s="196" t="s">
        <v>216</v>
      </c>
      <c r="Z88" s="200">
        <v>4802</v>
      </c>
      <c r="AA88" s="195">
        <f t="shared" si="13"/>
        <v>2.2790202342918064E-2</v>
      </c>
    </row>
    <row r="89" spans="1:27" x14ac:dyDescent="0.25">
      <c r="A89" s="196" t="s">
        <v>217</v>
      </c>
      <c r="B89" s="194">
        <v>98.84</v>
      </c>
      <c r="C89" s="195">
        <f t="shared" si="7"/>
        <v>-5.6960213720064878E-2</v>
      </c>
      <c r="E89" s="196" t="s">
        <v>217</v>
      </c>
      <c r="F89" s="194">
        <v>190.19</v>
      </c>
      <c r="G89" s="195">
        <f t="shared" si="8"/>
        <v>-4.133272846413627E-2</v>
      </c>
      <c r="I89" s="196">
        <v>45085</v>
      </c>
      <c r="J89">
        <v>48.39</v>
      </c>
      <c r="K89" s="195">
        <f t="shared" si="9"/>
        <v>-4.9499116087212691E-2</v>
      </c>
      <c r="M89" s="196">
        <v>45085</v>
      </c>
      <c r="N89">
        <v>86.92</v>
      </c>
      <c r="O89" s="195">
        <f t="shared" si="10"/>
        <v>-6.4168819982773462E-2</v>
      </c>
      <c r="Q89" s="197" t="s">
        <v>217</v>
      </c>
      <c r="R89">
        <v>95.56</v>
      </c>
      <c r="S89" s="195">
        <f t="shared" si="11"/>
        <v>8.0168776371307704E-3</v>
      </c>
      <c r="U89" s="196" t="s">
        <v>217</v>
      </c>
      <c r="V89" s="194">
        <v>8.77</v>
      </c>
      <c r="W89" s="195">
        <f t="shared" si="12"/>
        <v>-1.5712682379349086E-2</v>
      </c>
      <c r="Y89" s="196" t="s">
        <v>217</v>
      </c>
      <c r="Z89" s="200">
        <v>4695</v>
      </c>
      <c r="AA89" s="195">
        <f t="shared" si="13"/>
        <v>7.5107296137340018E-3</v>
      </c>
    </row>
    <row r="90" spans="1:27" x14ac:dyDescent="0.25">
      <c r="A90" s="196" t="s">
        <v>218</v>
      </c>
      <c r="B90" s="194">
        <v>104.81</v>
      </c>
      <c r="C90" s="195">
        <f t="shared" si="7"/>
        <v>-3.0345082801369272E-2</v>
      </c>
      <c r="E90" s="196" t="s">
        <v>218</v>
      </c>
      <c r="F90" s="194">
        <v>198.39</v>
      </c>
      <c r="G90" s="195">
        <f t="shared" si="8"/>
        <v>7.055837563451739E-3</v>
      </c>
      <c r="I90" s="196" t="s">
        <v>219</v>
      </c>
      <c r="J90">
        <v>50.91</v>
      </c>
      <c r="K90" s="195">
        <f t="shared" si="9"/>
        <v>-4.5198799699925019E-2</v>
      </c>
      <c r="M90" s="196" t="s">
        <v>219</v>
      </c>
      <c r="N90">
        <v>92.88</v>
      </c>
      <c r="O90" s="195">
        <f t="shared" si="10"/>
        <v>9.126466753585305E-3</v>
      </c>
      <c r="Q90" s="197" t="s">
        <v>218</v>
      </c>
      <c r="R90">
        <v>94.8</v>
      </c>
      <c r="S90" s="195">
        <f t="shared" si="11"/>
        <v>-5.7560393677303923E-2</v>
      </c>
      <c r="U90" s="196" t="s">
        <v>218</v>
      </c>
      <c r="V90" s="194">
        <v>8.91</v>
      </c>
      <c r="W90" s="195">
        <f t="shared" si="12"/>
        <v>-3.3557046979865168E-3</v>
      </c>
      <c r="Y90" s="196" t="s">
        <v>218</v>
      </c>
      <c r="Z90" s="200">
        <v>4660</v>
      </c>
      <c r="AA90" s="195">
        <f t="shared" si="13"/>
        <v>-2.12140306658265E-2</v>
      </c>
    </row>
    <row r="91" spans="1:27" x14ac:dyDescent="0.25">
      <c r="A91" s="196">
        <v>45085</v>
      </c>
      <c r="B91" s="194">
        <v>108.09</v>
      </c>
      <c r="C91" s="195">
        <f t="shared" si="7"/>
        <v>-6.6170388751033427E-3</v>
      </c>
      <c r="E91" s="196">
        <v>45085</v>
      </c>
      <c r="F91" s="194">
        <v>197</v>
      </c>
      <c r="G91" s="195">
        <f t="shared" si="8"/>
        <v>-1.0050251256281451E-2</v>
      </c>
      <c r="I91" s="196" t="s">
        <v>220</v>
      </c>
      <c r="J91">
        <v>53.32</v>
      </c>
      <c r="K91" s="195">
        <f t="shared" si="9"/>
        <v>-1.605462262410029E-2</v>
      </c>
      <c r="M91" s="196" t="s">
        <v>220</v>
      </c>
      <c r="N91">
        <v>92.04</v>
      </c>
      <c r="O91" s="195">
        <f t="shared" si="10"/>
        <v>-4.3440486533441458E-4</v>
      </c>
      <c r="Q91" s="198">
        <v>45085</v>
      </c>
      <c r="R91">
        <v>100.59</v>
      </c>
      <c r="S91" s="195">
        <f t="shared" si="11"/>
        <v>-5.0231328486450733E-2</v>
      </c>
      <c r="U91" s="196">
        <v>45085</v>
      </c>
      <c r="V91" s="194">
        <v>8.94</v>
      </c>
      <c r="W91" s="195">
        <f t="shared" si="12"/>
        <v>0.23480662983425393</v>
      </c>
      <c r="Y91" s="196">
        <v>45085</v>
      </c>
      <c r="Z91" s="200">
        <v>4761</v>
      </c>
      <c r="AA91" s="195">
        <f t="shared" si="13"/>
        <v>-6.2617407639323774E-3</v>
      </c>
    </row>
    <row r="92" spans="1:27" x14ac:dyDescent="0.25">
      <c r="A92" s="196" t="s">
        <v>219</v>
      </c>
      <c r="B92" s="194">
        <v>108.81</v>
      </c>
      <c r="C92" s="195">
        <f t="shared" si="7"/>
        <v>1.7492174553488393E-3</v>
      </c>
      <c r="E92" s="196" t="s">
        <v>219</v>
      </c>
      <c r="F92" s="194">
        <v>199</v>
      </c>
      <c r="G92" s="195">
        <f t="shared" si="8"/>
        <v>-1.5338941118258287E-2</v>
      </c>
      <c r="I92" s="196" t="s">
        <v>221</v>
      </c>
      <c r="J92">
        <v>54.19</v>
      </c>
      <c r="K92" s="195">
        <f t="shared" si="9"/>
        <v>-3.4218499376225342E-2</v>
      </c>
      <c r="M92" s="196" t="s">
        <v>221</v>
      </c>
      <c r="N92">
        <v>92.08</v>
      </c>
      <c r="O92" s="195">
        <f t="shared" si="10"/>
        <v>3.4490506684642153E-2</v>
      </c>
      <c r="Q92" s="197" t="s">
        <v>219</v>
      </c>
      <c r="R92">
        <v>105.91</v>
      </c>
      <c r="S92" s="195">
        <f t="shared" si="11"/>
        <v>-2.0621416682078841E-2</v>
      </c>
      <c r="U92" s="196" t="s">
        <v>219</v>
      </c>
      <c r="V92" s="194">
        <v>7.24</v>
      </c>
      <c r="W92" s="195">
        <f t="shared" si="12"/>
        <v>-8.0050825921219815E-2</v>
      </c>
      <c r="Y92" s="196" t="s">
        <v>219</v>
      </c>
      <c r="Z92" s="200">
        <v>4791</v>
      </c>
      <c r="AA92" s="195">
        <f t="shared" si="13"/>
        <v>-2.1845651286239276E-2</v>
      </c>
    </row>
    <row r="93" spans="1:27" x14ac:dyDescent="0.25">
      <c r="A93" s="196" t="s">
        <v>220</v>
      </c>
      <c r="B93" s="194">
        <v>108.62</v>
      </c>
      <c r="C93" s="195">
        <f t="shared" si="7"/>
        <v>-4.0344764349898865E-3</v>
      </c>
      <c r="E93" s="196" t="s">
        <v>220</v>
      </c>
      <c r="F93" s="194">
        <v>202.1</v>
      </c>
      <c r="G93" s="195">
        <f t="shared" si="8"/>
        <v>5.9668624161073769E-2</v>
      </c>
      <c r="I93" s="196">
        <v>45176</v>
      </c>
      <c r="J93">
        <v>56.11</v>
      </c>
      <c r="K93" s="195">
        <f t="shared" si="9"/>
        <v>7.8623606305267213E-2</v>
      </c>
      <c r="M93" s="196">
        <v>45176</v>
      </c>
      <c r="N93">
        <v>89.01</v>
      </c>
      <c r="O93" s="195">
        <f t="shared" si="10"/>
        <v>-6.4739368233061034E-3</v>
      </c>
      <c r="Q93" s="197" t="s">
        <v>220</v>
      </c>
      <c r="R93">
        <v>108.14</v>
      </c>
      <c r="S93" s="195">
        <f t="shared" si="11"/>
        <v>-0.11945281328882018</v>
      </c>
      <c r="U93" s="196" t="s">
        <v>220</v>
      </c>
      <c r="V93" s="194">
        <v>7.87</v>
      </c>
      <c r="W93" s="195">
        <f t="shared" si="12"/>
        <v>5.6375838926174593E-2</v>
      </c>
      <c r="Y93" s="196" t="s">
        <v>220</v>
      </c>
      <c r="Z93" s="200">
        <v>4898</v>
      </c>
      <c r="AA93" s="195">
        <f t="shared" si="13"/>
        <v>1.1356597150526504E-2</v>
      </c>
    </row>
    <row r="94" spans="1:27" x14ac:dyDescent="0.25">
      <c r="A94" s="196" t="s">
        <v>221</v>
      </c>
      <c r="B94" s="194">
        <v>109.06</v>
      </c>
      <c r="C94" s="195">
        <f t="shared" si="7"/>
        <v>1.0282538212135206E-2</v>
      </c>
      <c r="E94" s="196" t="s">
        <v>221</v>
      </c>
      <c r="F94" s="194">
        <v>190.72</v>
      </c>
      <c r="G94" s="195">
        <f t="shared" si="8"/>
        <v>-2.1798225368005353E-2</v>
      </c>
      <c r="I94" s="196">
        <v>44964</v>
      </c>
      <c r="J94">
        <v>52.02</v>
      </c>
      <c r="K94" s="195">
        <f t="shared" si="9"/>
        <v>-4.0206777713955866E-3</v>
      </c>
      <c r="M94" s="196">
        <v>44964</v>
      </c>
      <c r="N94">
        <v>89.59</v>
      </c>
      <c r="O94" s="195">
        <f t="shared" si="10"/>
        <v>-1.0929565025391885E-2</v>
      </c>
      <c r="Q94" s="197" t="s">
        <v>221</v>
      </c>
      <c r="R94">
        <v>122.81</v>
      </c>
      <c r="S94" s="195">
        <f t="shared" si="11"/>
        <v>-9.9161560786843461E-3</v>
      </c>
      <c r="U94" s="196" t="s">
        <v>221</v>
      </c>
      <c r="V94" s="194">
        <v>7.45</v>
      </c>
      <c r="W94" s="195">
        <f t="shared" si="12"/>
        <v>3.1855955678670389E-2</v>
      </c>
      <c r="Y94" s="196" t="s">
        <v>221</v>
      </c>
      <c r="Z94" s="200">
        <v>4843</v>
      </c>
      <c r="AA94" s="195">
        <f t="shared" si="13"/>
        <v>9.4315043509978214E-3</v>
      </c>
    </row>
    <row r="95" spans="1:27" x14ac:dyDescent="0.25">
      <c r="A95" s="196">
        <v>45176</v>
      </c>
      <c r="B95" s="194">
        <v>107.95</v>
      </c>
      <c r="C95" s="195">
        <f t="shared" si="7"/>
        <v>3.3409917671836098E-2</v>
      </c>
      <c r="E95" s="196">
        <v>45176</v>
      </c>
      <c r="F95" s="194">
        <v>194.97</v>
      </c>
      <c r="G95" s="195">
        <f t="shared" si="8"/>
        <v>8.016620498614957E-2</v>
      </c>
      <c r="I95" s="196" t="s">
        <v>222</v>
      </c>
      <c r="J95">
        <v>52.23</v>
      </c>
      <c r="K95" s="195">
        <f t="shared" si="9"/>
        <v>1.4174757281553374E-2</v>
      </c>
      <c r="M95" s="196" t="s">
        <v>222</v>
      </c>
      <c r="N95">
        <v>90.58</v>
      </c>
      <c r="O95" s="195">
        <f t="shared" si="10"/>
        <v>3.0958342818119711E-2</v>
      </c>
      <c r="Q95" s="198">
        <v>45176</v>
      </c>
      <c r="R95">
        <v>124.04</v>
      </c>
      <c r="S95" s="195">
        <f t="shared" si="11"/>
        <v>0.10326425331317268</v>
      </c>
      <c r="U95" s="196">
        <v>45176</v>
      </c>
      <c r="V95" s="194">
        <v>7.22</v>
      </c>
      <c r="W95" s="195">
        <f t="shared" si="12"/>
        <v>-6.3553826199740593E-2</v>
      </c>
      <c r="Y95" s="196">
        <v>45176</v>
      </c>
      <c r="Z95" s="200">
        <v>4797.75</v>
      </c>
      <c r="AA95" s="195">
        <f t="shared" si="13"/>
        <v>2.4503523382447101E-2</v>
      </c>
    </row>
    <row r="96" spans="1:27" x14ac:dyDescent="0.25">
      <c r="A96" s="196">
        <v>44964</v>
      </c>
      <c r="B96" s="194">
        <v>104.46</v>
      </c>
      <c r="C96" s="195">
        <f t="shared" si="7"/>
        <v>-5.3547159554226842E-2</v>
      </c>
      <c r="E96" s="196">
        <v>44964</v>
      </c>
      <c r="F96" s="194">
        <v>180.5</v>
      </c>
      <c r="G96" s="195">
        <f t="shared" si="8"/>
        <v>-7.88466445521816E-2</v>
      </c>
      <c r="I96" s="196" t="s">
        <v>223</v>
      </c>
      <c r="J96">
        <v>51.5</v>
      </c>
      <c r="K96" s="195">
        <f t="shared" si="9"/>
        <v>-2.2028104823395345E-2</v>
      </c>
      <c r="M96" s="196" t="s">
        <v>223</v>
      </c>
      <c r="N96">
        <v>87.86</v>
      </c>
      <c r="O96" s="195">
        <f t="shared" si="10"/>
        <v>-9.097111667045743E-4</v>
      </c>
      <c r="Q96" s="198">
        <v>44964</v>
      </c>
      <c r="R96">
        <v>112.43</v>
      </c>
      <c r="S96" s="195">
        <f t="shared" si="11"/>
        <v>-8.8936321593680034E-5</v>
      </c>
      <c r="U96" s="196">
        <v>44964</v>
      </c>
      <c r="V96" s="194">
        <v>7.71</v>
      </c>
      <c r="W96" s="195">
        <f t="shared" si="12"/>
        <v>0</v>
      </c>
      <c r="Y96" s="196">
        <v>44964</v>
      </c>
      <c r="Z96" s="200">
        <v>4683</v>
      </c>
      <c r="AA96" s="195">
        <f t="shared" si="13"/>
        <v>-1.1399620012666256E-2</v>
      </c>
    </row>
    <row r="97" spans="1:27" x14ac:dyDescent="0.25">
      <c r="A97" s="196" t="s">
        <v>222</v>
      </c>
      <c r="B97" s="194">
        <v>110.37</v>
      </c>
      <c r="C97" s="195">
        <f t="shared" si="7"/>
        <v>7.7611395178962539E-3</v>
      </c>
      <c r="E97" s="196" t="s">
        <v>222</v>
      </c>
      <c r="F97" s="194">
        <v>195.95</v>
      </c>
      <c r="G97" s="195">
        <f t="shared" si="8"/>
        <v>1.7446388701386262E-2</v>
      </c>
      <c r="I97" s="196">
        <v>45236</v>
      </c>
      <c r="J97">
        <v>52.66</v>
      </c>
      <c r="K97" s="195">
        <f t="shared" si="9"/>
        <v>3.7022449783379097E-2</v>
      </c>
      <c r="M97" s="196">
        <v>45236</v>
      </c>
      <c r="N97">
        <v>87.94</v>
      </c>
      <c r="O97" s="195">
        <f t="shared" si="10"/>
        <v>4.2560758743331428E-2</v>
      </c>
      <c r="Q97" s="197" t="s">
        <v>222</v>
      </c>
      <c r="R97">
        <v>112.44</v>
      </c>
      <c r="S97" s="195">
        <f t="shared" si="11"/>
        <v>6.06546552212055E-2</v>
      </c>
      <c r="U97" s="196" t="s">
        <v>222</v>
      </c>
      <c r="V97" s="194">
        <v>7.71</v>
      </c>
      <c r="W97" s="195">
        <f t="shared" si="12"/>
        <v>6.9348127600554754E-2</v>
      </c>
      <c r="Y97" s="196" t="s">
        <v>222</v>
      </c>
      <c r="Z97" s="200">
        <v>4737</v>
      </c>
      <c r="AA97" s="195">
        <f t="shared" si="13"/>
        <v>2.4881003894418052E-2</v>
      </c>
    </row>
    <row r="98" spans="1:27" x14ac:dyDescent="0.25">
      <c r="A98" s="196" t="s">
        <v>223</v>
      </c>
      <c r="B98" s="194">
        <v>109.52</v>
      </c>
      <c r="C98" s="195">
        <f t="shared" si="7"/>
        <v>-3.5830618892508159E-2</v>
      </c>
      <c r="E98" s="196" t="s">
        <v>223</v>
      </c>
      <c r="F98" s="194">
        <v>192.59</v>
      </c>
      <c r="G98" s="195">
        <f t="shared" si="8"/>
        <v>7.5333507716452974E-3</v>
      </c>
      <c r="I98" s="196">
        <v>45022</v>
      </c>
      <c r="J98">
        <v>50.78</v>
      </c>
      <c r="K98" s="195">
        <f t="shared" si="9"/>
        <v>-1.9312475859405209E-2</v>
      </c>
      <c r="M98" s="196">
        <v>45022</v>
      </c>
      <c r="N98">
        <v>84.35</v>
      </c>
      <c r="O98" s="195">
        <f t="shared" si="10"/>
        <v>-1.2873025160912932E-2</v>
      </c>
      <c r="Q98" s="197" t="s">
        <v>223</v>
      </c>
      <c r="R98">
        <v>106.01</v>
      </c>
      <c r="S98" s="195">
        <f t="shared" si="11"/>
        <v>-3.5834470213733538E-2</v>
      </c>
      <c r="U98" s="196" t="s">
        <v>223</v>
      </c>
      <c r="V98" s="194">
        <v>7.21</v>
      </c>
      <c r="W98" s="195">
        <f t="shared" si="12"/>
        <v>-0.10545905707196035</v>
      </c>
      <c r="Y98" s="196" t="s">
        <v>223</v>
      </c>
      <c r="Z98" s="200">
        <v>4622</v>
      </c>
      <c r="AA98" s="195">
        <f t="shared" si="13"/>
        <v>-1.4078498293515374E-2</v>
      </c>
    </row>
    <row r="99" spans="1:27" x14ac:dyDescent="0.25">
      <c r="A99" s="196">
        <v>45236</v>
      </c>
      <c r="B99" s="194">
        <v>113.59</v>
      </c>
      <c r="C99" s="195">
        <f t="shared" si="7"/>
        <v>7.3020971093897602E-2</v>
      </c>
      <c r="E99" s="196">
        <v>45236</v>
      </c>
      <c r="F99" s="194">
        <v>191.15</v>
      </c>
      <c r="G99" s="195">
        <f t="shared" si="8"/>
        <v>0.10211023985239853</v>
      </c>
      <c r="I99" s="196" t="s">
        <v>224</v>
      </c>
      <c r="J99">
        <v>51.78</v>
      </c>
      <c r="K99" s="195">
        <f t="shared" si="9"/>
        <v>-3.7546468401486899E-2</v>
      </c>
      <c r="M99" s="196" t="s">
        <v>224</v>
      </c>
      <c r="N99">
        <v>85.45</v>
      </c>
      <c r="O99" s="195">
        <f t="shared" si="10"/>
        <v>4.9883278043985735E-2</v>
      </c>
      <c r="Q99" s="198">
        <v>45236</v>
      </c>
      <c r="R99">
        <v>109.95</v>
      </c>
      <c r="S99" s="195">
        <f t="shared" si="11"/>
        <v>-5.3705138135812014E-2</v>
      </c>
      <c r="U99" s="196">
        <v>45236</v>
      </c>
      <c r="V99" s="194">
        <v>8.06</v>
      </c>
      <c r="W99" s="195">
        <f t="shared" si="12"/>
        <v>0.13681241184767279</v>
      </c>
      <c r="Y99" s="196">
        <v>45236</v>
      </c>
      <c r="Z99" s="200">
        <v>4688</v>
      </c>
      <c r="AA99" s="195">
        <f t="shared" si="13"/>
        <v>2.7169149868536469E-2</v>
      </c>
    </row>
    <row r="100" spans="1:27" x14ac:dyDescent="0.25">
      <c r="A100" s="196">
        <v>45022</v>
      </c>
      <c r="B100" s="194">
        <v>105.86</v>
      </c>
      <c r="C100" s="195">
        <f t="shared" si="7"/>
        <v>-1.7814065689367276E-2</v>
      </c>
      <c r="E100" s="196">
        <v>45022</v>
      </c>
      <c r="F100" s="194">
        <v>173.44</v>
      </c>
      <c r="G100" s="195">
        <f t="shared" si="8"/>
        <v>5.7991185339827389E-3</v>
      </c>
      <c r="I100" s="196" t="s">
        <v>225</v>
      </c>
      <c r="J100">
        <v>53.8</v>
      </c>
      <c r="K100" s="195">
        <f t="shared" si="9"/>
        <v>3.4814387382188894E-2</v>
      </c>
      <c r="M100" s="196" t="s">
        <v>225</v>
      </c>
      <c r="N100">
        <v>81.39</v>
      </c>
      <c r="O100" s="195">
        <f t="shared" si="10"/>
        <v>2.4288950415303434E-2</v>
      </c>
      <c r="Q100" s="198">
        <v>45022</v>
      </c>
      <c r="R100">
        <v>116.19</v>
      </c>
      <c r="S100" s="195">
        <f t="shared" si="11"/>
        <v>5.5888767720828625E-2</v>
      </c>
      <c r="U100" s="196">
        <v>45022</v>
      </c>
      <c r="V100" s="194">
        <v>7.09</v>
      </c>
      <c r="W100" s="195">
        <f t="shared" si="12"/>
        <v>-1.4084507042253502E-3</v>
      </c>
      <c r="Y100" s="196">
        <v>45022</v>
      </c>
      <c r="Z100" s="200">
        <v>4564</v>
      </c>
      <c r="AA100" s="195">
        <f t="shared" si="13"/>
        <v>5.6185964525723442E-3</v>
      </c>
    </row>
    <row r="101" spans="1:27" x14ac:dyDescent="0.25">
      <c r="A101" s="196" t="s">
        <v>224</v>
      </c>
      <c r="B101" s="194">
        <v>107.78</v>
      </c>
      <c r="C101" s="195">
        <f t="shared" si="7"/>
        <v>2.5113942889032348E-3</v>
      </c>
      <c r="E101" s="196" t="s">
        <v>224</v>
      </c>
      <c r="F101" s="194">
        <v>172.44</v>
      </c>
      <c r="G101" s="195">
        <f t="shared" si="8"/>
        <v>3.804478690103541E-2</v>
      </c>
      <c r="I101" s="196" t="s">
        <v>226</v>
      </c>
      <c r="J101">
        <v>51.99</v>
      </c>
      <c r="K101" s="195">
        <f t="shared" si="9"/>
        <v>1.8014489915801901E-2</v>
      </c>
      <c r="M101" s="196" t="s">
        <v>226</v>
      </c>
      <c r="N101">
        <v>79.459999999999994</v>
      </c>
      <c r="O101" s="195">
        <f t="shared" si="10"/>
        <v>2.4893589578227626E-2</v>
      </c>
      <c r="Q101" s="197" t="s">
        <v>224</v>
      </c>
      <c r="R101">
        <v>110.04</v>
      </c>
      <c r="S101" s="195">
        <f t="shared" si="11"/>
        <v>3.0916245081506588E-2</v>
      </c>
      <c r="U101" s="196" t="s">
        <v>224</v>
      </c>
      <c r="V101" s="194">
        <v>7.1</v>
      </c>
      <c r="W101" s="195">
        <f t="shared" si="12"/>
        <v>7.4130105900151122E-2</v>
      </c>
      <c r="Y101" s="196" t="s">
        <v>224</v>
      </c>
      <c r="Z101" s="200">
        <v>4538.5</v>
      </c>
      <c r="AA101" s="195">
        <f t="shared" si="13"/>
        <v>1.7144778126400695E-2</v>
      </c>
    </row>
    <row r="102" spans="1:27" x14ac:dyDescent="0.25">
      <c r="A102" s="196" t="s">
        <v>225</v>
      </c>
      <c r="B102" s="194">
        <v>107.51</v>
      </c>
      <c r="C102" s="195">
        <f t="shared" si="7"/>
        <v>-6.3175322411990198E-2</v>
      </c>
      <c r="E102" s="196" t="s">
        <v>225</v>
      </c>
      <c r="F102" s="194">
        <v>166.12</v>
      </c>
      <c r="G102" s="195">
        <f t="shared" si="8"/>
        <v>-3.837916063675828E-2</v>
      </c>
      <c r="I102" s="196">
        <v>45112</v>
      </c>
      <c r="J102">
        <v>51.07</v>
      </c>
      <c r="K102" s="195">
        <f t="shared" si="9"/>
        <v>-1.6750096264920966E-2</v>
      </c>
      <c r="M102" s="196">
        <v>45112</v>
      </c>
      <c r="N102">
        <v>77.53</v>
      </c>
      <c r="O102" s="195">
        <f t="shared" si="10"/>
        <v>2.2823218997361616E-2</v>
      </c>
      <c r="Q102" s="197" t="s">
        <v>225</v>
      </c>
      <c r="R102">
        <v>106.74</v>
      </c>
      <c r="S102" s="195">
        <f t="shared" si="11"/>
        <v>-2.0733944954128503E-2</v>
      </c>
      <c r="U102" s="196" t="s">
        <v>225</v>
      </c>
      <c r="V102" s="194">
        <v>6.61</v>
      </c>
      <c r="W102" s="195">
        <f t="shared" si="12"/>
        <v>-5.7061340941512051E-2</v>
      </c>
      <c r="Y102" s="196" t="s">
        <v>225</v>
      </c>
      <c r="Z102" s="200">
        <v>4462</v>
      </c>
      <c r="AA102" s="195">
        <f t="shared" si="13"/>
        <v>4.9549549549550154E-3</v>
      </c>
    </row>
    <row r="103" spans="1:27" x14ac:dyDescent="0.25">
      <c r="A103" s="196" t="s">
        <v>226</v>
      </c>
      <c r="B103" s="194">
        <v>114.76</v>
      </c>
      <c r="C103" s="195">
        <f t="shared" si="7"/>
        <v>-4.5337326345561868E-2</v>
      </c>
      <c r="E103" s="196" t="s">
        <v>226</v>
      </c>
      <c r="F103" s="194">
        <v>172.75</v>
      </c>
      <c r="G103" s="195">
        <f t="shared" si="8"/>
        <v>-3.9637536135201268E-2</v>
      </c>
      <c r="I103" s="196" t="s">
        <v>227</v>
      </c>
      <c r="J103">
        <v>51.94</v>
      </c>
      <c r="K103" s="195">
        <f t="shared" si="9"/>
        <v>-2.4051108605787297E-2</v>
      </c>
      <c r="M103" s="196" t="s">
        <v>227</v>
      </c>
      <c r="N103">
        <v>75.8</v>
      </c>
      <c r="O103" s="195">
        <f t="shared" si="10"/>
        <v>-7.2896281800391427E-2</v>
      </c>
      <c r="Q103" s="197" t="s">
        <v>226</v>
      </c>
      <c r="R103">
        <v>109</v>
      </c>
      <c r="S103" s="195">
        <f t="shared" si="11"/>
        <v>-5.5459272097053813E-2</v>
      </c>
      <c r="U103" s="196" t="s">
        <v>226</v>
      </c>
      <c r="V103" s="194">
        <v>7.01</v>
      </c>
      <c r="W103" s="195">
        <f t="shared" si="12"/>
        <v>0</v>
      </c>
      <c r="Y103" s="196" t="s">
        <v>226</v>
      </c>
      <c r="Z103" s="200">
        <v>4440</v>
      </c>
      <c r="AA103" s="195">
        <f t="shared" si="13"/>
        <v>2.0220588235294157E-2</v>
      </c>
    </row>
    <row r="104" spans="1:27" x14ac:dyDescent="0.25">
      <c r="A104" s="196">
        <v>45112</v>
      </c>
      <c r="B104" s="194">
        <v>120.21</v>
      </c>
      <c r="C104" s="195">
        <f t="shared" si="7"/>
        <v>-5.03989256655345E-2</v>
      </c>
      <c r="E104" s="196">
        <v>45112</v>
      </c>
      <c r="F104" s="194">
        <v>179.88</v>
      </c>
      <c r="G104" s="195">
        <f t="shared" si="8"/>
        <v>-4.3801828620029792E-2</v>
      </c>
      <c r="I104" s="196" t="s">
        <v>228</v>
      </c>
      <c r="J104">
        <v>53.22</v>
      </c>
      <c r="K104" s="195">
        <f t="shared" si="9"/>
        <v>2.6620370370370239E-2</v>
      </c>
      <c r="M104" s="196" t="s">
        <v>228</v>
      </c>
      <c r="N104">
        <v>81.760000000000005</v>
      </c>
      <c r="O104" s="195">
        <f t="shared" si="10"/>
        <v>1.1005317175714069E-2</v>
      </c>
      <c r="Q104" s="198">
        <v>45112</v>
      </c>
      <c r="R104">
        <v>115.4</v>
      </c>
      <c r="S104" s="195">
        <f t="shared" si="11"/>
        <v>8.0363382250174809E-3</v>
      </c>
      <c r="U104" s="196">
        <v>45112</v>
      </c>
      <c r="V104" s="194">
        <v>7.01</v>
      </c>
      <c r="W104" s="195">
        <f t="shared" si="12"/>
        <v>2.8612303290413976E-3</v>
      </c>
      <c r="Y104" s="196">
        <v>45112</v>
      </c>
      <c r="Z104" s="200">
        <v>4352</v>
      </c>
      <c r="AA104" s="195">
        <f t="shared" si="13"/>
        <v>-2.0637468470534603E-3</v>
      </c>
    </row>
    <row r="105" spans="1:27" x14ac:dyDescent="0.25">
      <c r="A105" s="196" t="s">
        <v>227</v>
      </c>
      <c r="B105" s="194">
        <v>126.59</v>
      </c>
      <c r="C105" s="195">
        <f t="shared" si="7"/>
        <v>-1.0258838383837565E-3</v>
      </c>
      <c r="E105" s="196" t="s">
        <v>227</v>
      </c>
      <c r="F105" s="194">
        <v>188.12</v>
      </c>
      <c r="G105" s="195">
        <f t="shared" si="8"/>
        <v>7.4971428571428689E-2</v>
      </c>
      <c r="I105" s="196" t="s">
        <v>229</v>
      </c>
      <c r="J105">
        <v>51.84</v>
      </c>
      <c r="K105" s="195">
        <f t="shared" si="9"/>
        <v>-2.5380710659898331E-2</v>
      </c>
      <c r="M105" s="196" t="s">
        <v>229</v>
      </c>
      <c r="N105">
        <v>80.87</v>
      </c>
      <c r="O105" s="195">
        <f t="shared" si="10"/>
        <v>1.2266866942045374E-2</v>
      </c>
      <c r="Q105" s="197" t="s">
        <v>227</v>
      </c>
      <c r="R105">
        <v>114.48</v>
      </c>
      <c r="S105" s="195">
        <f t="shared" si="11"/>
        <v>-7.4310665480714744E-2</v>
      </c>
      <c r="U105" s="196" t="s">
        <v>227</v>
      </c>
      <c r="V105" s="194">
        <v>6.99</v>
      </c>
      <c r="W105" s="195">
        <f t="shared" si="12"/>
        <v>-1.4285714285714457E-3</v>
      </c>
      <c r="Y105" s="196" t="s">
        <v>227</v>
      </c>
      <c r="Z105" s="200">
        <v>4361</v>
      </c>
      <c r="AA105" s="195">
        <f t="shared" si="13"/>
        <v>-1.0886822408709418E-2</v>
      </c>
    </row>
    <row r="106" spans="1:27" x14ac:dyDescent="0.25">
      <c r="A106" s="196" t="s">
        <v>228</v>
      </c>
      <c r="B106" s="194">
        <v>126.72</v>
      </c>
      <c r="C106" s="195">
        <f t="shared" si="7"/>
        <v>9.4798056241536255E-3</v>
      </c>
      <c r="E106" s="196" t="s">
        <v>228</v>
      </c>
      <c r="F106" s="194">
        <v>175</v>
      </c>
      <c r="G106" s="195">
        <f t="shared" si="8"/>
        <v>-1.2693935119887145E-2</v>
      </c>
      <c r="I106" s="196">
        <v>45173</v>
      </c>
      <c r="J106">
        <v>53.19</v>
      </c>
      <c r="K106" s="195">
        <f t="shared" si="9"/>
        <v>5.7665539868761106E-2</v>
      </c>
      <c r="M106" s="196">
        <v>45173</v>
      </c>
      <c r="N106">
        <v>79.89</v>
      </c>
      <c r="O106" s="195">
        <f t="shared" si="10"/>
        <v>-1.5041301935642903E-2</v>
      </c>
      <c r="Q106" s="197" t="s">
        <v>228</v>
      </c>
      <c r="R106">
        <v>123.67</v>
      </c>
      <c r="S106" s="195">
        <f t="shared" si="11"/>
        <v>-0.15973637722516654</v>
      </c>
      <c r="U106" s="196" t="s">
        <v>228</v>
      </c>
      <c r="V106" s="194">
        <v>7</v>
      </c>
      <c r="W106" s="195">
        <f t="shared" si="12"/>
        <v>-2.3709902370990243E-2</v>
      </c>
      <c r="Y106" s="196" t="s">
        <v>228</v>
      </c>
      <c r="Z106" s="200">
        <v>4409</v>
      </c>
      <c r="AA106" s="195">
        <f t="shared" si="13"/>
        <v>5.47320410490304E-3</v>
      </c>
    </row>
    <row r="107" spans="1:27" x14ac:dyDescent="0.25">
      <c r="A107" s="196" t="s">
        <v>229</v>
      </c>
      <c r="B107" s="194">
        <v>125.53</v>
      </c>
      <c r="C107" s="195">
        <f t="shared" si="7"/>
        <v>-3.3346566097658403E-3</v>
      </c>
      <c r="E107" s="196" t="s">
        <v>229</v>
      </c>
      <c r="F107" s="194">
        <v>177.25</v>
      </c>
      <c r="G107" s="195">
        <f t="shared" si="8"/>
        <v>7.1022727272727071E-3</v>
      </c>
      <c r="I107" s="196">
        <v>44961</v>
      </c>
      <c r="J107">
        <v>50.29</v>
      </c>
      <c r="K107" s="195">
        <f t="shared" si="9"/>
        <v>1.5959595959595951E-2</v>
      </c>
      <c r="M107" s="196">
        <v>44961</v>
      </c>
      <c r="N107">
        <v>81.11</v>
      </c>
      <c r="O107" s="195">
        <f t="shared" si="10"/>
        <v>4.2009249743062638E-2</v>
      </c>
      <c r="Q107" s="197" t="s">
        <v>229</v>
      </c>
      <c r="R107">
        <v>147.18</v>
      </c>
      <c r="S107" s="195">
        <f t="shared" si="11"/>
        <v>9.5904690990320063E-2</v>
      </c>
      <c r="U107" s="196" t="s">
        <v>229</v>
      </c>
      <c r="V107" s="194">
        <v>7.17</v>
      </c>
      <c r="W107" s="195">
        <f t="shared" si="12"/>
        <v>1.4144271570014189E-2</v>
      </c>
      <c r="Y107" s="196" t="s">
        <v>229</v>
      </c>
      <c r="Z107" s="200">
        <v>4385</v>
      </c>
      <c r="AA107" s="195">
        <f t="shared" si="13"/>
        <v>-2.2799817601459882E-4</v>
      </c>
    </row>
    <row r="108" spans="1:27" x14ac:dyDescent="0.25">
      <c r="A108" s="196">
        <v>45173</v>
      </c>
      <c r="B108" s="194">
        <v>125.95</v>
      </c>
      <c r="C108" s="195">
        <f t="shared" si="7"/>
        <v>4.7662618532690049E-2</v>
      </c>
      <c r="E108" s="196">
        <v>45173</v>
      </c>
      <c r="F108" s="194">
        <v>176</v>
      </c>
      <c r="G108" s="195">
        <f t="shared" si="8"/>
        <v>-1.267811062492985E-2</v>
      </c>
      <c r="I108" s="196" t="s">
        <v>230</v>
      </c>
      <c r="J108">
        <v>49.5</v>
      </c>
      <c r="K108" s="195">
        <f t="shared" si="9"/>
        <v>7.2124756335282703E-2</v>
      </c>
      <c r="M108" s="196" t="s">
        <v>230</v>
      </c>
      <c r="N108">
        <v>77.84</v>
      </c>
      <c r="O108" s="195">
        <f t="shared" si="10"/>
        <v>4.6236559139784861E-2</v>
      </c>
      <c r="Q108" s="198">
        <v>45173</v>
      </c>
      <c r="R108">
        <v>134.30000000000001</v>
      </c>
      <c r="S108" s="195">
        <f t="shared" si="11"/>
        <v>0.10208435910060731</v>
      </c>
      <c r="U108" s="196">
        <v>45173</v>
      </c>
      <c r="V108" s="194">
        <v>7.07</v>
      </c>
      <c r="W108" s="195">
        <f t="shared" si="12"/>
        <v>2.9112081513828159E-2</v>
      </c>
      <c r="Y108" s="196">
        <v>45173</v>
      </c>
      <c r="Z108" s="200">
        <v>4386</v>
      </c>
      <c r="AA108" s="195">
        <f t="shared" si="13"/>
        <v>9.6685082872927097E-3</v>
      </c>
    </row>
    <row r="109" spans="1:27" x14ac:dyDescent="0.25">
      <c r="A109" s="196">
        <v>44961</v>
      </c>
      <c r="B109" s="194">
        <v>120.22</v>
      </c>
      <c r="C109" s="195">
        <f t="shared" si="7"/>
        <v>-1.9732550554468431E-2</v>
      </c>
      <c r="E109" s="196">
        <v>44961</v>
      </c>
      <c r="F109" s="194">
        <v>178.26</v>
      </c>
      <c r="G109" s="195">
        <f t="shared" si="8"/>
        <v>1.2840909090908958E-2</v>
      </c>
      <c r="I109" s="196" t="s">
        <v>231</v>
      </c>
      <c r="J109">
        <v>46.17</v>
      </c>
      <c r="K109" s="195">
        <f t="shared" si="9"/>
        <v>-2.8409090909090939E-2</v>
      </c>
      <c r="M109" s="196" t="s">
        <v>231</v>
      </c>
      <c r="N109">
        <v>74.400000000000006</v>
      </c>
      <c r="O109" s="195">
        <f t="shared" si="10"/>
        <v>-7.0732683838249377E-3</v>
      </c>
      <c r="Q109" s="198">
        <v>44961</v>
      </c>
      <c r="R109">
        <v>121.86</v>
      </c>
      <c r="S109" s="195">
        <f t="shared" si="11"/>
        <v>-3.6222714330907957E-2</v>
      </c>
      <c r="U109" s="196">
        <v>44961</v>
      </c>
      <c r="V109" s="194">
        <v>6.87</v>
      </c>
      <c r="W109" s="195">
        <f t="shared" si="12"/>
        <v>-2.4147727272727293E-2</v>
      </c>
      <c r="Y109" s="196">
        <v>44961</v>
      </c>
      <c r="Z109" s="200">
        <v>4344</v>
      </c>
      <c r="AA109" s="195">
        <f t="shared" si="13"/>
        <v>-4.6019328117807845E-4</v>
      </c>
    </row>
    <row r="110" spans="1:27" x14ac:dyDescent="0.25">
      <c r="A110" s="196" t="s">
        <v>230</v>
      </c>
      <c r="B110" s="194">
        <v>122.64</v>
      </c>
      <c r="C110" s="195">
        <f t="shared" si="7"/>
        <v>1.5988733327810589E-2</v>
      </c>
      <c r="E110" s="196" t="s">
        <v>230</v>
      </c>
      <c r="F110" s="194">
        <v>176</v>
      </c>
      <c r="G110" s="195">
        <f t="shared" si="8"/>
        <v>0.17568470273881109</v>
      </c>
      <c r="I110" s="196">
        <v>45263</v>
      </c>
      <c r="J110">
        <v>47.52</v>
      </c>
      <c r="K110" s="195">
        <f t="shared" si="9"/>
        <v>5.8116232464930029E-2</v>
      </c>
      <c r="M110" s="196">
        <v>45263</v>
      </c>
      <c r="N110">
        <v>74.930000000000007</v>
      </c>
      <c r="O110" s="195">
        <f t="shared" si="10"/>
        <v>1.5449247865564342E-2</v>
      </c>
      <c r="Q110" s="197" t="s">
        <v>230</v>
      </c>
      <c r="R110">
        <v>126.44</v>
      </c>
      <c r="S110" s="195">
        <f t="shared" si="11"/>
        <v>6.8356569497253883E-2</v>
      </c>
      <c r="U110" s="196" t="s">
        <v>230</v>
      </c>
      <c r="V110" s="194">
        <v>7.04</v>
      </c>
      <c r="W110" s="195">
        <f t="shared" si="12"/>
        <v>5.547226386806603E-2</v>
      </c>
      <c r="Y110" s="196" t="s">
        <v>230</v>
      </c>
      <c r="Z110" s="200">
        <v>4346</v>
      </c>
      <c r="AA110" s="195">
        <f t="shared" si="13"/>
        <v>3.7231503579952197E-2</v>
      </c>
    </row>
    <row r="111" spans="1:27" x14ac:dyDescent="0.25">
      <c r="A111" s="196" t="s">
        <v>231</v>
      </c>
      <c r="B111" s="194">
        <v>120.71</v>
      </c>
      <c r="C111" s="195">
        <f t="shared" si="7"/>
        <v>2.6580280754215924E-3</v>
      </c>
      <c r="E111" s="196" t="s">
        <v>231</v>
      </c>
      <c r="F111" s="194">
        <v>149.69999999999999</v>
      </c>
      <c r="G111" s="195">
        <f t="shared" si="8"/>
        <v>-1.2663237039968411E-2</v>
      </c>
      <c r="I111" s="196">
        <v>45049</v>
      </c>
      <c r="J111">
        <v>44.91</v>
      </c>
      <c r="K111" s="195">
        <f t="shared" si="9"/>
        <v>1.0576057605760525E-2</v>
      </c>
      <c r="M111" s="196">
        <v>45049</v>
      </c>
      <c r="N111">
        <v>73.790000000000006</v>
      </c>
      <c r="O111" s="195">
        <f t="shared" si="10"/>
        <v>7.39339251928397E-2</v>
      </c>
      <c r="Q111" s="197" t="s">
        <v>231</v>
      </c>
      <c r="R111">
        <v>118.35</v>
      </c>
      <c r="S111" s="195">
        <f t="shared" si="11"/>
        <v>-1.3092061374249564E-2</v>
      </c>
      <c r="U111" s="196" t="s">
        <v>231</v>
      </c>
      <c r="V111" s="194">
        <v>6.67</v>
      </c>
      <c r="W111" s="195">
        <f t="shared" si="12"/>
        <v>5.3712480252764649E-2</v>
      </c>
      <c r="Y111" s="196" t="s">
        <v>231</v>
      </c>
      <c r="Z111" s="200">
        <v>4190</v>
      </c>
      <c r="AA111" s="195">
        <f t="shared" si="13"/>
        <v>8.0596655840250442E-3</v>
      </c>
    </row>
    <row r="112" spans="1:27" x14ac:dyDescent="0.25">
      <c r="A112" s="196">
        <v>45263</v>
      </c>
      <c r="B112" s="194">
        <v>120.39</v>
      </c>
      <c r="C112" s="195">
        <f t="shared" si="7"/>
        <v>2.4682951740573777E-2</v>
      </c>
      <c r="E112" s="196">
        <v>45263</v>
      </c>
      <c r="F112" s="194">
        <v>151.62</v>
      </c>
      <c r="G112" s="195">
        <f t="shared" si="8"/>
        <v>-3.4267515923566805E-2</v>
      </c>
      <c r="I112" s="196" t="s">
        <v>232</v>
      </c>
      <c r="J112">
        <v>44.44</v>
      </c>
      <c r="K112" s="195">
        <f t="shared" si="9"/>
        <v>3.396928804094923E-2</v>
      </c>
      <c r="M112" s="196" t="s">
        <v>232</v>
      </c>
      <c r="N112">
        <v>68.709999999999994</v>
      </c>
      <c r="O112" s="195">
        <f t="shared" si="10"/>
        <v>-1.455180442375692E-4</v>
      </c>
      <c r="Q112" s="198">
        <v>45263</v>
      </c>
      <c r="R112">
        <v>119.92</v>
      </c>
      <c r="S112" s="195">
        <f t="shared" si="11"/>
        <v>3.9889004509191972E-2</v>
      </c>
      <c r="U112" s="196">
        <v>45263</v>
      </c>
      <c r="V112" s="194">
        <v>6.33</v>
      </c>
      <c r="W112" s="195">
        <f t="shared" si="12"/>
        <v>-5.0974512743628186E-2</v>
      </c>
      <c r="Y112" s="196">
        <v>45263</v>
      </c>
      <c r="Z112" s="200">
        <v>4156.5</v>
      </c>
      <c r="AA112" s="195">
        <f t="shared" si="13"/>
        <v>4.8350054393810904E-3</v>
      </c>
    </row>
    <row r="113" spans="1:27" x14ac:dyDescent="0.25">
      <c r="A113" s="196">
        <v>45049</v>
      </c>
      <c r="B113" s="194">
        <v>117.49</v>
      </c>
      <c r="C113" s="195">
        <f t="shared" si="7"/>
        <v>-2.8526542086985351E-2</v>
      </c>
      <c r="E113" s="196">
        <v>45049</v>
      </c>
      <c r="F113" s="194">
        <v>157</v>
      </c>
      <c r="G113" s="195">
        <f t="shared" si="8"/>
        <v>1.3688016528925706E-2</v>
      </c>
      <c r="I113" s="196" t="s">
        <v>233</v>
      </c>
      <c r="J113">
        <v>42.98</v>
      </c>
      <c r="K113" s="195">
        <f t="shared" si="9"/>
        <v>-6.3004142140832831E-2</v>
      </c>
      <c r="M113" s="196" t="s">
        <v>233</v>
      </c>
      <c r="N113">
        <v>68.72</v>
      </c>
      <c r="O113" s="195">
        <f t="shared" si="10"/>
        <v>-3.753501400560233E-2</v>
      </c>
      <c r="Q113" s="198">
        <v>45049</v>
      </c>
      <c r="R113">
        <v>115.32</v>
      </c>
      <c r="S113" s="195">
        <f t="shared" si="11"/>
        <v>-8.1408316074558007E-2</v>
      </c>
      <c r="U113" s="196">
        <v>45049</v>
      </c>
      <c r="V113" s="194">
        <v>6.67</v>
      </c>
      <c r="W113" s="195">
        <f t="shared" si="12"/>
        <v>-1.1851851851851891E-2</v>
      </c>
      <c r="Y113" s="196">
        <v>45049</v>
      </c>
      <c r="Z113" s="200">
        <v>4136.5</v>
      </c>
      <c r="AA113" s="195">
        <f t="shared" si="13"/>
        <v>-4.8205246203405383E-2</v>
      </c>
    </row>
    <row r="114" spans="1:27" x14ac:dyDescent="0.25">
      <c r="A114" s="196" t="s">
        <v>232</v>
      </c>
      <c r="B114" s="194">
        <v>120.94</v>
      </c>
      <c r="C114" s="195">
        <f t="shared" si="7"/>
        <v>2.4567943070145537E-2</v>
      </c>
      <c r="E114" s="196" t="s">
        <v>232</v>
      </c>
      <c r="F114" s="194">
        <v>154.88</v>
      </c>
      <c r="G114" s="195">
        <f t="shared" si="8"/>
        <v>7.7426086956521756E-2</v>
      </c>
      <c r="I114" s="196">
        <v>45262</v>
      </c>
      <c r="J114">
        <v>45.87</v>
      </c>
      <c r="K114" s="195">
        <f t="shared" si="9"/>
        <v>4.5350957155879446E-2</v>
      </c>
      <c r="M114" s="196">
        <v>45262</v>
      </c>
      <c r="N114">
        <v>71.400000000000006</v>
      </c>
      <c r="O114" s="195">
        <f t="shared" si="10"/>
        <v>7.0464767616192026E-2</v>
      </c>
      <c r="Q114" s="197" t="s">
        <v>232</v>
      </c>
      <c r="R114">
        <v>125.54</v>
      </c>
      <c r="S114" s="195">
        <f t="shared" si="11"/>
        <v>2.5988885256619909E-2</v>
      </c>
      <c r="U114" s="196" t="s">
        <v>232</v>
      </c>
      <c r="V114" s="194">
        <v>6.75</v>
      </c>
      <c r="W114" s="195">
        <f t="shared" si="12"/>
        <v>0.14406779661016933</v>
      </c>
      <c r="Y114" s="196" t="s">
        <v>232</v>
      </c>
      <c r="Z114" s="200">
        <v>4346</v>
      </c>
      <c r="AA114" s="195">
        <f t="shared" si="13"/>
        <v>1.7322097378277057E-2</v>
      </c>
    </row>
    <row r="115" spans="1:27" x14ac:dyDescent="0.25">
      <c r="A115" s="196" t="s">
        <v>233</v>
      </c>
      <c r="B115" s="194">
        <v>118.04</v>
      </c>
      <c r="C115" s="195">
        <f t="shared" si="7"/>
        <v>-5.4469721243191271E-2</v>
      </c>
      <c r="E115" s="196" t="s">
        <v>233</v>
      </c>
      <c r="F115" s="194">
        <v>143.75</v>
      </c>
      <c r="G115" s="195">
        <f t="shared" si="8"/>
        <v>-5.9720041862899031E-2</v>
      </c>
      <c r="I115" s="196">
        <v>45048</v>
      </c>
      <c r="J115">
        <v>43.88</v>
      </c>
      <c r="K115" s="195">
        <f t="shared" si="9"/>
        <v>-1.8783542039355949E-2</v>
      </c>
      <c r="M115" s="196">
        <v>45048</v>
      </c>
      <c r="N115">
        <v>66.7</v>
      </c>
      <c r="O115" s="195">
        <f t="shared" si="10"/>
        <v>-1.2729425695677921E-2</v>
      </c>
      <c r="Q115" s="197" t="s">
        <v>233</v>
      </c>
      <c r="R115">
        <v>122.36</v>
      </c>
      <c r="S115" s="195">
        <f t="shared" si="11"/>
        <v>-6.9293374914429107E-2</v>
      </c>
      <c r="U115" s="196" t="s">
        <v>233</v>
      </c>
      <c r="V115" s="194">
        <v>5.9</v>
      </c>
      <c r="W115" s="195">
        <f t="shared" si="12"/>
        <v>-2.3178807947019764E-2</v>
      </c>
      <c r="Y115" s="196" t="s">
        <v>233</v>
      </c>
      <c r="Z115" s="200">
        <v>4272</v>
      </c>
      <c r="AA115" s="195">
        <f t="shared" si="13"/>
        <v>-2.6213813540004516E-2</v>
      </c>
    </row>
    <row r="116" spans="1:27" x14ac:dyDescent="0.25">
      <c r="A116" s="196">
        <v>45262</v>
      </c>
      <c r="B116" s="194">
        <v>124.84</v>
      </c>
      <c r="C116" s="195">
        <f t="shared" si="7"/>
        <v>2.1353186615397091E-2</v>
      </c>
      <c r="E116" s="196">
        <v>45262</v>
      </c>
      <c r="F116" s="194">
        <v>152.88</v>
      </c>
      <c r="G116" s="195">
        <f t="shared" si="8"/>
        <v>2.5214592274678038E-2</v>
      </c>
      <c r="I116" s="196" t="s">
        <v>234</v>
      </c>
      <c r="J116">
        <v>44.72</v>
      </c>
      <c r="K116" s="195">
        <f t="shared" si="9"/>
        <v>2.1470991320237554E-2</v>
      </c>
      <c r="M116" s="196" t="s">
        <v>234</v>
      </c>
      <c r="N116">
        <v>67.56</v>
      </c>
      <c r="O116" s="195">
        <f t="shared" si="10"/>
        <v>-2.2145028224055618E-2</v>
      </c>
      <c r="Q116" s="198">
        <v>45262</v>
      </c>
      <c r="R116">
        <v>131.47</v>
      </c>
      <c r="S116" s="195">
        <f t="shared" si="11"/>
        <v>0.14024284475281878</v>
      </c>
      <c r="U116" s="196">
        <v>45262</v>
      </c>
      <c r="V116" s="194">
        <v>6.04</v>
      </c>
      <c r="W116" s="195">
        <f t="shared" si="12"/>
        <v>-4.9423393739703725E-3</v>
      </c>
      <c r="Y116" s="196">
        <v>45262</v>
      </c>
      <c r="Z116" s="200">
        <v>4387</v>
      </c>
      <c r="AA116" s="195">
        <f t="shared" si="13"/>
        <v>2.2846698652043695E-3</v>
      </c>
    </row>
    <row r="117" spans="1:27" x14ac:dyDescent="0.25">
      <c r="A117" s="196">
        <v>45048</v>
      </c>
      <c r="B117" s="194">
        <v>122.23</v>
      </c>
      <c r="C117" s="195">
        <f t="shared" si="7"/>
        <v>-4.2159705352245114E-2</v>
      </c>
      <c r="E117" s="196">
        <v>45048</v>
      </c>
      <c r="F117" s="194">
        <v>149.12</v>
      </c>
      <c r="G117" s="195">
        <f t="shared" si="8"/>
        <v>-0.14958654120330761</v>
      </c>
      <c r="I117" s="196" t="s">
        <v>235</v>
      </c>
      <c r="J117">
        <v>43.78</v>
      </c>
      <c r="K117" s="195">
        <f t="shared" si="9"/>
        <v>-2.0143240823634723E-2</v>
      </c>
      <c r="M117" s="196" t="s">
        <v>235</v>
      </c>
      <c r="N117">
        <v>69.09</v>
      </c>
      <c r="O117" s="195">
        <f t="shared" si="10"/>
        <v>4.3440486533441458E-4</v>
      </c>
      <c r="Q117" s="198">
        <v>45048</v>
      </c>
      <c r="R117">
        <v>115.3</v>
      </c>
      <c r="S117" s="195">
        <f t="shared" si="11"/>
        <v>-5.4763075914084358E-2</v>
      </c>
      <c r="U117" s="196">
        <v>45048</v>
      </c>
      <c r="V117" s="194">
        <v>6.07</v>
      </c>
      <c r="W117" s="195">
        <f t="shared" si="12"/>
        <v>9.9833610648918381E-3</v>
      </c>
      <c r="Y117" s="196">
        <v>45048</v>
      </c>
      <c r="Z117" s="200">
        <v>4377</v>
      </c>
      <c r="AA117" s="195">
        <f t="shared" si="13"/>
        <v>-8.6070215175537701E-3</v>
      </c>
    </row>
    <row r="118" spans="1:27" x14ac:dyDescent="0.25">
      <c r="A118" s="196" t="s">
        <v>234</v>
      </c>
      <c r="B118" s="194">
        <v>127.61</v>
      </c>
      <c r="C118" s="195">
        <f t="shared" si="7"/>
        <v>6.2730337959693294E-4</v>
      </c>
      <c r="E118" s="196" t="s">
        <v>234</v>
      </c>
      <c r="F118" s="194">
        <v>175.35</v>
      </c>
      <c r="G118" s="195">
        <f t="shared" si="8"/>
        <v>9.5937500000000009E-2</v>
      </c>
      <c r="I118" s="196" t="s">
        <v>236</v>
      </c>
      <c r="J118">
        <v>44.68</v>
      </c>
      <c r="K118" s="195">
        <f t="shared" si="9"/>
        <v>-5.8972198820555932E-2</v>
      </c>
      <c r="M118" s="196" t="s">
        <v>236</v>
      </c>
      <c r="N118">
        <v>69.06</v>
      </c>
      <c r="O118" s="195">
        <f t="shared" si="10"/>
        <v>-2.8555352370234877E-2</v>
      </c>
      <c r="Q118" s="197" t="s">
        <v>234</v>
      </c>
      <c r="R118">
        <v>121.98</v>
      </c>
      <c r="S118" s="195">
        <f t="shared" si="11"/>
        <v>5.4401582591494524E-3</v>
      </c>
      <c r="U118" s="196" t="s">
        <v>234</v>
      </c>
      <c r="V118" s="194">
        <v>6.01</v>
      </c>
      <c r="W118" s="195">
        <f t="shared" si="12"/>
        <v>3.9792387543252428E-2</v>
      </c>
      <c r="Y118" s="196" t="s">
        <v>234</v>
      </c>
      <c r="Z118" s="200">
        <v>4415</v>
      </c>
      <c r="AA118" s="195">
        <f t="shared" si="13"/>
        <v>1.7984782107447472E-2</v>
      </c>
    </row>
    <row r="119" spans="1:27" x14ac:dyDescent="0.25">
      <c r="A119" s="196" t="s">
        <v>235</v>
      </c>
      <c r="B119" s="194">
        <v>127.53</v>
      </c>
      <c r="C119" s="195">
        <f t="shared" si="7"/>
        <v>7.1868583162217892E-3</v>
      </c>
      <c r="E119" s="196" t="s">
        <v>235</v>
      </c>
      <c r="F119" s="194">
        <v>160</v>
      </c>
      <c r="G119" s="195">
        <f t="shared" si="8"/>
        <v>1.5099606648902419E-2</v>
      </c>
      <c r="I119" s="196">
        <v>45139</v>
      </c>
      <c r="J119">
        <v>47.48</v>
      </c>
      <c r="K119" s="195">
        <f t="shared" si="9"/>
        <v>1.8447018447018459E-2</v>
      </c>
      <c r="M119" s="196">
        <v>45139</v>
      </c>
      <c r="N119">
        <v>71.09</v>
      </c>
      <c r="O119" s="195">
        <f t="shared" si="10"/>
        <v>2.0381799913879783E-2</v>
      </c>
      <c r="Q119" s="197" t="s">
        <v>235</v>
      </c>
      <c r="R119">
        <v>121.32</v>
      </c>
      <c r="S119" s="195">
        <f t="shared" si="11"/>
        <v>-8.8235294117647856E-3</v>
      </c>
      <c r="U119" s="196" t="s">
        <v>235</v>
      </c>
      <c r="V119" s="194">
        <v>5.78</v>
      </c>
      <c r="W119" s="195">
        <f t="shared" si="12"/>
        <v>2.3008849557522026E-2</v>
      </c>
      <c r="Y119" s="196" t="s">
        <v>235</v>
      </c>
      <c r="Z119" s="200">
        <v>4337</v>
      </c>
      <c r="AA119" s="195">
        <f t="shared" si="13"/>
        <v>2.5295508274231659E-2</v>
      </c>
    </row>
    <row r="120" spans="1:27" x14ac:dyDescent="0.25">
      <c r="A120" s="196" t="s">
        <v>236</v>
      </c>
      <c r="B120" s="194">
        <v>126.62</v>
      </c>
      <c r="C120" s="195">
        <f t="shared" si="7"/>
        <v>-1.7306946061311557E-2</v>
      </c>
      <c r="E120" s="196" t="s">
        <v>236</v>
      </c>
      <c r="F120" s="194">
        <v>157.62</v>
      </c>
      <c r="G120" s="195">
        <f t="shared" si="8"/>
        <v>-8.6792452830188882E-3</v>
      </c>
      <c r="I120" s="196">
        <v>44927</v>
      </c>
      <c r="J120">
        <v>46.62</v>
      </c>
      <c r="K120" s="195">
        <f t="shared" si="9"/>
        <v>1.2886597938144284E-3</v>
      </c>
      <c r="M120" s="196">
        <v>44927</v>
      </c>
      <c r="N120">
        <v>69.67</v>
      </c>
      <c r="O120" s="195">
        <f t="shared" si="10"/>
        <v>-6.8424803991447014E-3</v>
      </c>
      <c r="Q120" s="197" t="s">
        <v>236</v>
      </c>
      <c r="R120">
        <v>122.4</v>
      </c>
      <c r="S120" s="195">
        <f t="shared" si="11"/>
        <v>-2.7181688125894055E-2</v>
      </c>
      <c r="U120" s="196" t="s">
        <v>236</v>
      </c>
      <c r="V120" s="194">
        <v>5.65</v>
      </c>
      <c r="W120" s="195">
        <f t="shared" si="12"/>
        <v>2.3550724637681375E-2</v>
      </c>
      <c r="Y120" s="196" t="s">
        <v>236</v>
      </c>
      <c r="Z120" s="200">
        <v>4230</v>
      </c>
      <c r="AA120" s="195">
        <f t="shared" si="13"/>
        <v>-7.2752874911992116E-3</v>
      </c>
    </row>
    <row r="121" spans="1:27" x14ac:dyDescent="0.25">
      <c r="A121" s="196">
        <v>45139</v>
      </c>
      <c r="B121" s="194">
        <v>128.85</v>
      </c>
      <c r="C121" s="195">
        <f t="shared" si="7"/>
        <v>3.4690436039508388E-2</v>
      </c>
      <c r="E121" s="196">
        <v>45139</v>
      </c>
      <c r="F121" s="194">
        <v>159</v>
      </c>
      <c r="G121" s="195">
        <f t="shared" si="8"/>
        <v>6.0494897618888821E-2</v>
      </c>
      <c r="I121" s="196" t="s">
        <v>237</v>
      </c>
      <c r="J121">
        <v>46.56</v>
      </c>
      <c r="K121" s="195">
        <f t="shared" si="9"/>
        <v>4.4180309486431923E-2</v>
      </c>
      <c r="M121" s="196" t="s">
        <v>237</v>
      </c>
      <c r="N121">
        <v>70.150000000000006</v>
      </c>
      <c r="O121" s="195">
        <f t="shared" si="10"/>
        <v>5.8708119529127689E-2</v>
      </c>
      <c r="Q121" s="198">
        <v>45139</v>
      </c>
      <c r="R121">
        <v>125.82</v>
      </c>
      <c r="S121" s="195">
        <f t="shared" si="11"/>
        <v>0.13239132391323905</v>
      </c>
      <c r="U121" s="196">
        <v>45139</v>
      </c>
      <c r="V121" s="194">
        <v>5.52</v>
      </c>
      <c r="W121" s="195">
        <f t="shared" si="12"/>
        <v>1.6574585635359185E-2</v>
      </c>
      <c r="Y121" s="196">
        <v>45139</v>
      </c>
      <c r="Z121" s="200">
        <v>4261</v>
      </c>
      <c r="AA121" s="195">
        <f t="shared" si="13"/>
        <v>2.5018041857108431E-2</v>
      </c>
    </row>
    <row r="122" spans="1:27" x14ac:dyDescent="0.25">
      <c r="A122" s="196">
        <v>44927</v>
      </c>
      <c r="B122" s="194">
        <v>124.53</v>
      </c>
      <c r="C122" s="195">
        <f t="shared" si="7"/>
        <v>6.4268011281086945E-2</v>
      </c>
      <c r="E122" s="196">
        <v>44927</v>
      </c>
      <c r="F122" s="194">
        <v>149.93</v>
      </c>
      <c r="G122" s="195">
        <f t="shared" si="8"/>
        <v>9.0717299578058963E-2</v>
      </c>
      <c r="I122" s="196" t="s">
        <v>238</v>
      </c>
      <c r="J122">
        <v>44.59</v>
      </c>
      <c r="K122" s="195">
        <f t="shared" si="9"/>
        <v>6.2932061978545839E-2</v>
      </c>
      <c r="M122" s="196" t="s">
        <v>238</v>
      </c>
      <c r="N122">
        <v>66.260000000000005</v>
      </c>
      <c r="O122" s="195">
        <f t="shared" si="10"/>
        <v>-4.0583195550878415E-3</v>
      </c>
      <c r="Q122" s="198">
        <v>44927</v>
      </c>
      <c r="R122">
        <v>111.11</v>
      </c>
      <c r="S122" s="195">
        <f t="shared" si="11"/>
        <v>2.4716406898459775E-2</v>
      </c>
      <c r="U122" s="196">
        <v>44927</v>
      </c>
      <c r="V122" s="194">
        <v>5.43</v>
      </c>
      <c r="W122" s="195">
        <f t="shared" si="12"/>
        <v>-7.3126142595978383E-3</v>
      </c>
      <c r="Y122" s="196">
        <v>44927</v>
      </c>
      <c r="Z122" s="200">
        <v>4157</v>
      </c>
      <c r="AA122" s="195">
        <f t="shared" si="13"/>
        <v>1.2174336498660843E-2</v>
      </c>
    </row>
    <row r="123" spans="1:27" x14ac:dyDescent="0.25">
      <c r="A123" s="196" t="s">
        <v>237</v>
      </c>
      <c r="B123" s="194">
        <v>117.01</v>
      </c>
      <c r="C123" s="195">
        <f t="shared" si="7"/>
        <v>6.537634408602111E-3</v>
      </c>
      <c r="E123" s="196" t="s">
        <v>237</v>
      </c>
      <c r="F123" s="194">
        <v>137.46</v>
      </c>
      <c r="G123" s="195">
        <f t="shared" si="8"/>
        <v>5.3575534605656561E-2</v>
      </c>
      <c r="I123" s="196">
        <v>44877</v>
      </c>
      <c r="J123">
        <v>41.95</v>
      </c>
      <c r="K123" s="195">
        <f t="shared" si="9"/>
        <v>-1.1904761904760752E-3</v>
      </c>
      <c r="M123" s="196">
        <v>44877</v>
      </c>
      <c r="N123">
        <v>66.53</v>
      </c>
      <c r="O123" s="195">
        <f t="shared" si="10"/>
        <v>2.1181887950882494E-2</v>
      </c>
      <c r="Q123" s="197" t="s">
        <v>237</v>
      </c>
      <c r="R123">
        <v>108.43</v>
      </c>
      <c r="S123" s="195">
        <f t="shared" si="11"/>
        <v>5.2718446601941915E-2</v>
      </c>
      <c r="U123" s="196" t="s">
        <v>237</v>
      </c>
      <c r="V123" s="194">
        <v>5.47</v>
      </c>
      <c r="W123" s="195">
        <f t="shared" si="12"/>
        <v>7.3664825046040328E-3</v>
      </c>
      <c r="Y123" s="196" t="s">
        <v>237</v>
      </c>
      <c r="Z123" s="200">
        <v>4107</v>
      </c>
      <c r="AA123" s="195">
        <f t="shared" si="13"/>
        <v>1.7073170731707332E-3</v>
      </c>
    </row>
    <row r="124" spans="1:27" x14ac:dyDescent="0.25">
      <c r="A124" s="196" t="s">
        <v>238</v>
      </c>
      <c r="B124" s="194">
        <v>116.25</v>
      </c>
      <c r="C124" s="195">
        <f t="shared" si="7"/>
        <v>9.7215667767814873E-2</v>
      </c>
      <c r="E124" s="196" t="s">
        <v>238</v>
      </c>
      <c r="F124" s="194">
        <v>130.47</v>
      </c>
      <c r="G124" s="195">
        <f t="shared" si="8"/>
        <v>2.329411764705891E-2</v>
      </c>
      <c r="I124" s="196">
        <v>44663</v>
      </c>
      <c r="J124">
        <v>42</v>
      </c>
      <c r="K124" s="195">
        <f t="shared" si="9"/>
        <v>2.2395326192794496E-2</v>
      </c>
      <c r="M124" s="196">
        <v>44663</v>
      </c>
      <c r="N124">
        <v>65.150000000000006</v>
      </c>
      <c r="O124" s="195">
        <f t="shared" si="10"/>
        <v>5.7801591167397248E-2</v>
      </c>
      <c r="Q124" s="197" t="s">
        <v>238</v>
      </c>
      <c r="R124">
        <v>103</v>
      </c>
      <c r="S124" s="195">
        <f t="shared" si="11"/>
        <v>8.4096410904115348E-2</v>
      </c>
      <c r="U124" s="196" t="s">
        <v>238</v>
      </c>
      <c r="V124" s="194">
        <v>5.43</v>
      </c>
      <c r="W124" s="195">
        <f t="shared" si="12"/>
        <v>-2.3381294964028743E-2</v>
      </c>
      <c r="Y124" s="196" t="s">
        <v>238</v>
      </c>
      <c r="Z124" s="200">
        <v>4100</v>
      </c>
      <c r="AA124" s="195">
        <f t="shared" si="13"/>
        <v>-2.4330900243308973E-3</v>
      </c>
    </row>
    <row r="125" spans="1:27" x14ac:dyDescent="0.25">
      <c r="A125" s="196">
        <v>44877</v>
      </c>
      <c r="B125" s="194">
        <v>105.95</v>
      </c>
      <c r="C125" s="195">
        <f t="shared" si="7"/>
        <v>-3.1712666788521249E-2</v>
      </c>
      <c r="E125" s="196">
        <v>44877</v>
      </c>
      <c r="F125" s="194">
        <v>127.5</v>
      </c>
      <c r="G125" s="195">
        <f t="shared" si="8"/>
        <v>3.0303030303030276E-2</v>
      </c>
      <c r="I125" s="196" t="s">
        <v>239</v>
      </c>
      <c r="J125">
        <v>41.08</v>
      </c>
      <c r="K125" s="195">
        <f t="shared" si="9"/>
        <v>-2.7692307692307683E-2</v>
      </c>
      <c r="M125" s="196" t="s">
        <v>239</v>
      </c>
      <c r="N125">
        <v>61.59</v>
      </c>
      <c r="O125" s="195">
        <f t="shared" si="10"/>
        <v>-9.4885815374717852E-3</v>
      </c>
      <c r="Q125" s="198">
        <v>44877</v>
      </c>
      <c r="R125">
        <v>95.01</v>
      </c>
      <c r="S125" s="195">
        <f t="shared" si="11"/>
        <v>2.5324469768914781E-3</v>
      </c>
      <c r="U125" s="196">
        <v>44877</v>
      </c>
      <c r="V125" s="194">
        <v>5.56</v>
      </c>
      <c r="W125" s="195">
        <f t="shared" si="12"/>
        <v>-1.067615658362997E-2</v>
      </c>
      <c r="Y125" s="196">
        <v>44877</v>
      </c>
      <c r="Z125" s="200">
        <v>4110</v>
      </c>
      <c r="AA125" s="195">
        <f t="shared" si="13"/>
        <v>-2.0495710200190698E-2</v>
      </c>
    </row>
    <row r="126" spans="1:27" x14ac:dyDescent="0.25">
      <c r="A126" s="196">
        <v>44663</v>
      </c>
      <c r="B126" s="194">
        <v>109.42</v>
      </c>
      <c r="C126" s="195">
        <f t="shared" si="7"/>
        <v>-2.4777183600713015E-2</v>
      </c>
      <c r="E126" s="196">
        <v>44663</v>
      </c>
      <c r="F126" s="194">
        <v>123.75</v>
      </c>
      <c r="G126" s="195">
        <f t="shared" si="8"/>
        <v>-3.5538929155950472E-2</v>
      </c>
      <c r="I126" s="196" t="s">
        <v>240</v>
      </c>
      <c r="J126">
        <v>42.25</v>
      </c>
      <c r="K126" s="195">
        <f t="shared" si="9"/>
        <v>-2.2669442516770721E-2</v>
      </c>
      <c r="M126" s="196" t="s">
        <v>240</v>
      </c>
      <c r="N126">
        <v>62.18</v>
      </c>
      <c r="O126" s="195">
        <f t="shared" si="10"/>
        <v>-4.1762983510556295E-2</v>
      </c>
      <c r="Q126" s="198">
        <v>44663</v>
      </c>
      <c r="R126">
        <v>94.77</v>
      </c>
      <c r="S126" s="195">
        <f t="shared" si="11"/>
        <v>-8.8662371381863614E-2</v>
      </c>
      <c r="U126" s="196">
        <v>44663</v>
      </c>
      <c r="V126" s="194">
        <v>5.62</v>
      </c>
      <c r="W126" s="195">
        <f t="shared" si="12"/>
        <v>1.4440433212996373E-2</v>
      </c>
      <c r="Y126" s="196">
        <v>44663</v>
      </c>
      <c r="Z126" s="200">
        <v>4196</v>
      </c>
      <c r="AA126" s="195">
        <f t="shared" si="13"/>
        <v>-3.3625057577153394E-2</v>
      </c>
    </row>
    <row r="127" spans="1:27" x14ac:dyDescent="0.25">
      <c r="A127" s="196" t="s">
        <v>239</v>
      </c>
      <c r="B127" s="194">
        <v>112.2</v>
      </c>
      <c r="C127" s="195">
        <f t="shared" si="7"/>
        <v>5.8890147225368228E-2</v>
      </c>
      <c r="E127" s="196" t="s">
        <v>239</v>
      </c>
      <c r="F127" s="194">
        <v>128.31</v>
      </c>
      <c r="G127" s="195">
        <f t="shared" si="8"/>
        <v>8.3300589390962188E-3</v>
      </c>
      <c r="I127" s="196" t="s">
        <v>241</v>
      </c>
      <c r="J127">
        <v>43.23</v>
      </c>
      <c r="K127" s="195">
        <f t="shared" si="9"/>
        <v>7.8054862842892758E-2</v>
      </c>
      <c r="M127" s="196" t="s">
        <v>241</v>
      </c>
      <c r="N127">
        <v>64.89</v>
      </c>
      <c r="O127" s="195">
        <f t="shared" si="10"/>
        <v>2.1407209192507493E-2</v>
      </c>
      <c r="Q127" s="197" t="s">
        <v>239</v>
      </c>
      <c r="R127">
        <v>103.99</v>
      </c>
      <c r="S127" s="195">
        <f t="shared" si="11"/>
        <v>9.5669581708987428E-2</v>
      </c>
      <c r="U127" s="196" t="s">
        <v>239</v>
      </c>
      <c r="V127" s="194">
        <v>5.54</v>
      </c>
      <c r="W127" s="195">
        <f t="shared" si="12"/>
        <v>1.0948905109488871E-2</v>
      </c>
      <c r="Y127" s="196" t="s">
        <v>239</v>
      </c>
      <c r="Z127" s="200">
        <v>4342</v>
      </c>
      <c r="AA127" s="195">
        <f t="shared" si="13"/>
        <v>6.2572421784472532E-3</v>
      </c>
    </row>
    <row r="128" spans="1:27" x14ac:dyDescent="0.25">
      <c r="A128" s="196" t="s">
        <v>240</v>
      </c>
      <c r="B128" s="194">
        <v>105.96</v>
      </c>
      <c r="C128" s="195">
        <f t="shared" si="7"/>
        <v>5.1223676721683375E-3</v>
      </c>
      <c r="E128" s="196" t="s">
        <v>240</v>
      </c>
      <c r="F128" s="194">
        <v>127.25</v>
      </c>
      <c r="G128" s="195">
        <f t="shared" si="8"/>
        <v>-6.2615101289134389E-2</v>
      </c>
      <c r="I128" s="196">
        <v>44723</v>
      </c>
      <c r="J128">
        <v>40.1</v>
      </c>
      <c r="K128" s="195">
        <f t="shared" si="9"/>
        <v>6.5261044176705418E-3</v>
      </c>
      <c r="M128" s="196">
        <v>44723</v>
      </c>
      <c r="N128">
        <v>63.53</v>
      </c>
      <c r="O128" s="195">
        <f t="shared" si="10"/>
        <v>1.5342816046028496E-2</v>
      </c>
      <c r="Q128" s="197" t="s">
        <v>240</v>
      </c>
      <c r="R128">
        <v>94.91</v>
      </c>
      <c r="S128" s="195">
        <f t="shared" si="11"/>
        <v>-6.4188522973772533E-2</v>
      </c>
      <c r="U128" s="196" t="s">
        <v>240</v>
      </c>
      <c r="V128" s="194">
        <v>5.48</v>
      </c>
      <c r="W128" s="195">
        <f t="shared" si="12"/>
        <v>-5.4446460980035472E-3</v>
      </c>
      <c r="Y128" s="196" t="s">
        <v>240</v>
      </c>
      <c r="Z128" s="200">
        <v>4315</v>
      </c>
      <c r="AA128" s="195">
        <f t="shared" si="13"/>
        <v>1.7928756782259914E-2</v>
      </c>
    </row>
    <row r="129" spans="1:27" x14ac:dyDescent="0.25">
      <c r="A129" s="196" t="s">
        <v>241</v>
      </c>
      <c r="B129" s="194">
        <v>105.42</v>
      </c>
      <c r="C129" s="195">
        <f t="shared" si="7"/>
        <v>-6.3153925911961784E-3</v>
      </c>
      <c r="E129" s="196" t="s">
        <v>241</v>
      </c>
      <c r="F129" s="194">
        <v>135.75</v>
      </c>
      <c r="G129" s="195">
        <f t="shared" si="8"/>
        <v>-6.3680281071585298E-3</v>
      </c>
      <c r="I129" s="196" t="s">
        <v>242</v>
      </c>
      <c r="J129">
        <v>39.840000000000003</v>
      </c>
      <c r="K129" s="195">
        <f t="shared" si="9"/>
        <v>6.8233510235027328E-3</v>
      </c>
      <c r="M129" s="196" t="s">
        <v>242</v>
      </c>
      <c r="N129">
        <v>62.57</v>
      </c>
      <c r="O129" s="195">
        <f t="shared" si="10"/>
        <v>8.7984698313336773E-2</v>
      </c>
      <c r="Q129" s="197" t="s">
        <v>241</v>
      </c>
      <c r="R129">
        <v>101.42</v>
      </c>
      <c r="S129" s="195">
        <f t="shared" si="11"/>
        <v>8.7730587730587839E-2</v>
      </c>
      <c r="U129" s="196" t="s">
        <v>241</v>
      </c>
      <c r="V129" s="194">
        <v>5.51</v>
      </c>
      <c r="W129" s="195">
        <f t="shared" si="12"/>
        <v>0.13842975206611574</v>
      </c>
      <c r="Y129" s="196" t="s">
        <v>241</v>
      </c>
      <c r="Z129" s="200">
        <v>4239</v>
      </c>
      <c r="AA129" s="195">
        <f t="shared" si="13"/>
        <v>-5.8630393996247365E-3</v>
      </c>
    </row>
    <row r="130" spans="1:27" x14ac:dyDescent="0.25">
      <c r="A130" s="196">
        <v>44723</v>
      </c>
      <c r="B130" s="194">
        <v>106.09</v>
      </c>
      <c r="C130" s="195">
        <f t="shared" si="7"/>
        <v>0.10752688172043001</v>
      </c>
      <c r="E130" s="196">
        <v>44723</v>
      </c>
      <c r="F130" s="194">
        <v>136.62</v>
      </c>
      <c r="G130" s="195">
        <f t="shared" si="8"/>
        <v>0.20137179036229336</v>
      </c>
      <c r="I130" s="196" t="s">
        <v>243</v>
      </c>
      <c r="J130">
        <v>39.57</v>
      </c>
      <c r="K130" s="195">
        <f t="shared" si="9"/>
        <v>8.3515881708652762E-2</v>
      </c>
      <c r="M130" s="196" t="s">
        <v>243</v>
      </c>
      <c r="N130">
        <v>57.51</v>
      </c>
      <c r="O130" s="195">
        <f t="shared" si="10"/>
        <v>-2.4261961316593195E-2</v>
      </c>
      <c r="Q130" s="198">
        <v>44723</v>
      </c>
      <c r="R130">
        <v>93.24</v>
      </c>
      <c r="S130" s="195">
        <f t="shared" si="11"/>
        <v>9.2059030217849669E-2</v>
      </c>
      <c r="U130" s="196">
        <v>44723</v>
      </c>
      <c r="V130" s="194">
        <v>4.84</v>
      </c>
      <c r="W130" s="195">
        <f t="shared" si="12"/>
        <v>0.20999999999999996</v>
      </c>
      <c r="Y130" s="196">
        <v>44723</v>
      </c>
      <c r="Z130" s="200">
        <v>4264</v>
      </c>
      <c r="AA130" s="195">
        <f t="shared" si="13"/>
        <v>5.2579609972846164E-2</v>
      </c>
    </row>
    <row r="131" spans="1:27" x14ac:dyDescent="0.25">
      <c r="A131" s="196" t="s">
        <v>242</v>
      </c>
      <c r="B131" s="194">
        <v>95.79</v>
      </c>
      <c r="C131" s="195">
        <f t="shared" si="7"/>
        <v>2.0888841521901291E-2</v>
      </c>
      <c r="E131" s="196" t="s">
        <v>242</v>
      </c>
      <c r="F131" s="194">
        <v>113.72</v>
      </c>
      <c r="G131" s="195">
        <f t="shared" si="8"/>
        <v>0.12594059405940583</v>
      </c>
      <c r="I131" s="196" t="s">
        <v>244</v>
      </c>
      <c r="J131">
        <v>36.520000000000003</v>
      </c>
      <c r="K131" s="195">
        <f t="shared" si="9"/>
        <v>9.4724220623501276E-2</v>
      </c>
      <c r="M131" s="196" t="s">
        <v>244</v>
      </c>
      <c r="N131">
        <v>58.94</v>
      </c>
      <c r="O131" s="195">
        <f t="shared" si="10"/>
        <v>2.3974982626824071E-2</v>
      </c>
      <c r="Q131" s="197" t="s">
        <v>242</v>
      </c>
      <c r="R131">
        <v>85.38</v>
      </c>
      <c r="S131" s="195">
        <f t="shared" si="11"/>
        <v>0.18897089541846523</v>
      </c>
      <c r="U131" s="196" t="s">
        <v>242</v>
      </c>
      <c r="V131" s="194">
        <v>4</v>
      </c>
      <c r="W131" s="195">
        <f t="shared" si="12"/>
        <v>2.3017902813299296E-2</v>
      </c>
      <c r="Y131" s="196" t="s">
        <v>242</v>
      </c>
      <c r="Z131" s="200">
        <v>4051</v>
      </c>
      <c r="AA131" s="195">
        <f t="shared" si="13"/>
        <v>-2.9932950191570828E-2</v>
      </c>
    </row>
    <row r="132" spans="1:27" x14ac:dyDescent="0.25">
      <c r="A132" s="196" t="s">
        <v>243</v>
      </c>
      <c r="B132" s="194">
        <v>93.83</v>
      </c>
      <c r="C132" s="195">
        <f t="shared" si="7"/>
        <v>6.0225988700564947E-2</v>
      </c>
      <c r="E132" s="196" t="s">
        <v>243</v>
      </c>
      <c r="F132" s="194">
        <v>101</v>
      </c>
      <c r="G132" s="195">
        <f t="shared" si="8"/>
        <v>-4.4917257683215084E-2</v>
      </c>
      <c r="I132" s="196">
        <v>44814</v>
      </c>
      <c r="J132">
        <v>33.36</v>
      </c>
      <c r="K132" s="195">
        <f t="shared" si="9"/>
        <v>-4.4126074498567314E-2</v>
      </c>
      <c r="M132" s="196">
        <v>44814</v>
      </c>
      <c r="N132">
        <v>57.56</v>
      </c>
      <c r="O132" s="195">
        <f t="shared" si="10"/>
        <v>-4.9380677126341754E-2</v>
      </c>
      <c r="Q132" s="197" t="s">
        <v>243</v>
      </c>
      <c r="R132">
        <v>71.81</v>
      </c>
      <c r="S132" s="195">
        <f t="shared" si="11"/>
        <v>-7.5923304594003205E-2</v>
      </c>
      <c r="U132" s="196" t="s">
        <v>243</v>
      </c>
      <c r="V132" s="194">
        <v>3.91</v>
      </c>
      <c r="W132" s="195">
        <f t="shared" si="12"/>
        <v>5.1075268817204256E-2</v>
      </c>
      <c r="Y132" s="196" t="s">
        <v>243</v>
      </c>
      <c r="Z132" s="200">
        <v>4176</v>
      </c>
      <c r="AA132" s="195">
        <f t="shared" si="13"/>
        <v>3.8289408254599699E-2</v>
      </c>
    </row>
    <row r="133" spans="1:27" x14ac:dyDescent="0.25">
      <c r="A133" s="196" t="s">
        <v>244</v>
      </c>
      <c r="B133" s="194">
        <v>88.5</v>
      </c>
      <c r="C133" s="195">
        <f t="shared" si="7"/>
        <v>1.0850942318675116E-2</v>
      </c>
      <c r="E133" s="196" t="s">
        <v>244</v>
      </c>
      <c r="F133" s="194">
        <v>105.75</v>
      </c>
      <c r="G133" s="195">
        <f t="shared" si="8"/>
        <v>-6.9920844327176823E-2</v>
      </c>
      <c r="I133" s="196">
        <v>44602</v>
      </c>
      <c r="J133">
        <v>34.9</v>
      </c>
      <c r="K133" s="195">
        <f t="shared" si="9"/>
        <v>5.7636887608067955E-3</v>
      </c>
      <c r="M133" s="196">
        <v>44602</v>
      </c>
      <c r="N133">
        <v>60.55</v>
      </c>
      <c r="O133" s="195">
        <f t="shared" si="10"/>
        <v>6.527093596059097E-2</v>
      </c>
      <c r="Q133" s="197" t="s">
        <v>244</v>
      </c>
      <c r="R133">
        <v>77.709999999999994</v>
      </c>
      <c r="S133" s="195">
        <f t="shared" si="11"/>
        <v>2.5803122177781024E-3</v>
      </c>
      <c r="U133" s="196" t="s">
        <v>244</v>
      </c>
      <c r="V133" s="194">
        <v>3.72</v>
      </c>
      <c r="W133" s="195">
        <f t="shared" si="12"/>
        <v>-6.2972292191435741E-2</v>
      </c>
      <c r="Y133" s="196" t="s">
        <v>244</v>
      </c>
      <c r="Z133" s="200">
        <v>4022</v>
      </c>
      <c r="AA133" s="195">
        <f t="shared" si="13"/>
        <v>4.3861925772125554E-2</v>
      </c>
    </row>
    <row r="134" spans="1:27" x14ac:dyDescent="0.25">
      <c r="A134" s="196">
        <v>44814</v>
      </c>
      <c r="B134" s="194">
        <v>87.55</v>
      </c>
      <c r="C134" s="195">
        <f t="shared" si="7"/>
        <v>4.474529600734245E-3</v>
      </c>
      <c r="E134" s="196">
        <v>44814</v>
      </c>
      <c r="F134" s="194">
        <v>113.7</v>
      </c>
      <c r="G134" s="195">
        <f t="shared" si="8"/>
        <v>5.6396915358171595E-2</v>
      </c>
      <c r="I134" s="196" t="s">
        <v>245</v>
      </c>
      <c r="J134">
        <v>34.700000000000003</v>
      </c>
      <c r="K134" s="195">
        <f t="shared" si="9"/>
        <v>9.307737056428067E-3</v>
      </c>
      <c r="M134" s="196" t="s">
        <v>245</v>
      </c>
      <c r="N134">
        <v>56.84</v>
      </c>
      <c r="O134" s="195">
        <f t="shared" si="10"/>
        <v>1.8273020422787667E-2</v>
      </c>
      <c r="Q134" s="198">
        <v>44814</v>
      </c>
      <c r="R134">
        <v>77.510000000000005</v>
      </c>
      <c r="S134" s="195">
        <f t="shared" si="11"/>
        <v>1.1351774530271364E-2</v>
      </c>
      <c r="U134" s="196">
        <v>44814</v>
      </c>
      <c r="V134" s="194">
        <v>3.97</v>
      </c>
      <c r="W134" s="195">
        <f t="shared" si="12"/>
        <v>-4.7961630695443569E-2</v>
      </c>
      <c r="Y134" s="196">
        <v>44814</v>
      </c>
      <c r="Z134" s="200">
        <v>3853</v>
      </c>
      <c r="AA134" s="195">
        <f t="shared" si="13"/>
        <v>-1.2051282051282031E-2</v>
      </c>
    </row>
    <row r="135" spans="1:27" x14ac:dyDescent="0.25">
      <c r="A135" s="196">
        <v>44602</v>
      </c>
      <c r="B135" s="194">
        <v>87.16</v>
      </c>
      <c r="C135" s="195">
        <f t="shared" si="7"/>
        <v>4.8604427333974964E-2</v>
      </c>
      <c r="E135" s="196">
        <v>44602</v>
      </c>
      <c r="F135" s="194">
        <v>107.63</v>
      </c>
      <c r="G135" s="195">
        <f t="shared" si="8"/>
        <v>-3.8416867685160505E-2</v>
      </c>
      <c r="I135" s="196" t="s">
        <v>246</v>
      </c>
      <c r="J135">
        <v>34.380000000000003</v>
      </c>
      <c r="K135" s="195">
        <f t="shared" si="9"/>
        <v>8.3858764186633072E-2</v>
      </c>
      <c r="M135" s="196" t="s">
        <v>246</v>
      </c>
      <c r="N135">
        <v>55.82</v>
      </c>
      <c r="O135" s="195">
        <f t="shared" si="10"/>
        <v>7.1401151631477866E-2</v>
      </c>
      <c r="Q135" s="198">
        <v>44602</v>
      </c>
      <c r="R135">
        <v>76.64</v>
      </c>
      <c r="S135" s="195">
        <f t="shared" si="11"/>
        <v>0.11622487620157296</v>
      </c>
      <c r="U135" s="196">
        <v>44602</v>
      </c>
      <c r="V135" s="194">
        <v>4.17</v>
      </c>
      <c r="W135" s="195">
        <f t="shared" si="12"/>
        <v>2.9629629629629672E-2</v>
      </c>
      <c r="Y135" s="196">
        <v>44602</v>
      </c>
      <c r="Z135" s="200">
        <v>3900</v>
      </c>
      <c r="AA135" s="195">
        <f t="shared" si="13"/>
        <v>1.9874476987447709E-2</v>
      </c>
    </row>
    <row r="136" spans="1:27" x14ac:dyDescent="0.25">
      <c r="A136" s="196" t="s">
        <v>245</v>
      </c>
      <c r="B136" s="194">
        <v>83.12</v>
      </c>
      <c r="C136" s="195">
        <f t="shared" si="7"/>
        <v>-0.14326942898371464</v>
      </c>
      <c r="E136" s="196" t="s">
        <v>245</v>
      </c>
      <c r="F136" s="194">
        <v>111.93</v>
      </c>
      <c r="G136" s="195">
        <f t="shared" si="8"/>
        <v>-9.675597159457705E-2</v>
      </c>
      <c r="I136" s="196">
        <v>44874</v>
      </c>
      <c r="J136">
        <v>31.72</v>
      </c>
      <c r="K136" s="195">
        <f t="shared" si="9"/>
        <v>-6.4858490566037763E-2</v>
      </c>
      <c r="M136" s="196">
        <v>44874</v>
      </c>
      <c r="N136">
        <v>52.1</v>
      </c>
      <c r="O136" s="195">
        <f t="shared" si="10"/>
        <v>-2.3063941496343499E-2</v>
      </c>
      <c r="Q136" s="197" t="s">
        <v>245</v>
      </c>
      <c r="R136">
        <v>68.66</v>
      </c>
      <c r="S136" s="195">
        <f t="shared" si="11"/>
        <v>2.9230999850097472E-2</v>
      </c>
      <c r="U136" s="196" t="s">
        <v>245</v>
      </c>
      <c r="V136" s="194">
        <v>4.05</v>
      </c>
      <c r="W136" s="195">
        <f t="shared" si="12"/>
        <v>-5.3738317757009435E-2</v>
      </c>
      <c r="Y136" s="196" t="s">
        <v>245</v>
      </c>
      <c r="Z136" s="200">
        <v>3824</v>
      </c>
      <c r="AA136" s="195">
        <f t="shared" si="13"/>
        <v>-3.0917384693360361E-2</v>
      </c>
    </row>
    <row r="137" spans="1:27" x14ac:dyDescent="0.25">
      <c r="A137" s="196" t="s">
        <v>246</v>
      </c>
      <c r="B137" s="194">
        <v>97.02</v>
      </c>
      <c r="C137" s="195">
        <f t="shared" si="7"/>
        <v>-6.8190549366116127E-2</v>
      </c>
      <c r="E137" s="196" t="s">
        <v>246</v>
      </c>
      <c r="F137" s="194">
        <v>123.92</v>
      </c>
      <c r="G137" s="195">
        <f t="shared" si="8"/>
        <v>-0.1194485894976195</v>
      </c>
      <c r="I137" s="196">
        <v>44660</v>
      </c>
      <c r="J137">
        <v>33.92</v>
      </c>
      <c r="K137" s="195">
        <f t="shared" si="9"/>
        <v>-5.4099274958170573E-2</v>
      </c>
      <c r="M137" s="196">
        <v>44660</v>
      </c>
      <c r="N137">
        <v>53.33</v>
      </c>
      <c r="O137" s="195">
        <f t="shared" si="10"/>
        <v>-5.1067615658363041E-2</v>
      </c>
      <c r="Q137" s="197" t="s">
        <v>246</v>
      </c>
      <c r="R137">
        <v>66.709999999999994</v>
      </c>
      <c r="S137" s="195">
        <f t="shared" si="11"/>
        <v>-0.12396585686145778</v>
      </c>
      <c r="U137" s="196" t="s">
        <v>246</v>
      </c>
      <c r="V137" s="194">
        <v>4.28</v>
      </c>
      <c r="W137" s="195">
        <f t="shared" si="12"/>
        <v>-3.3860045146726692E-2</v>
      </c>
      <c r="Y137" s="196" t="s">
        <v>246</v>
      </c>
      <c r="Z137" s="200">
        <v>3946</v>
      </c>
      <c r="AA137" s="195">
        <f t="shared" si="13"/>
        <v>-4.3625787687833206E-2</v>
      </c>
    </row>
    <row r="138" spans="1:27" x14ac:dyDescent="0.25">
      <c r="A138" s="196">
        <v>44874</v>
      </c>
      <c r="B138" s="194">
        <v>104.12</v>
      </c>
      <c r="C138" s="195">
        <f t="shared" si="7"/>
        <v>-6.1728395061728336E-2</v>
      </c>
      <c r="E138" s="196">
        <v>44874</v>
      </c>
      <c r="F138" s="194">
        <v>140.72999999999999</v>
      </c>
      <c r="G138" s="195">
        <f t="shared" si="8"/>
        <v>-5.8914002942356603E-2</v>
      </c>
      <c r="I138" s="196" t="s">
        <v>247</v>
      </c>
      <c r="J138">
        <v>35.86</v>
      </c>
      <c r="K138" s="195">
        <f t="shared" si="9"/>
        <v>-5.8050958760178628E-2</v>
      </c>
      <c r="M138" s="196" t="s">
        <v>247</v>
      </c>
      <c r="N138">
        <v>56.2</v>
      </c>
      <c r="O138" s="195">
        <f t="shared" si="10"/>
        <v>-3.3035099793530587E-2</v>
      </c>
      <c r="Q138" s="198">
        <v>44874</v>
      </c>
      <c r="R138">
        <v>76.150000000000006</v>
      </c>
      <c r="S138" s="195">
        <f t="shared" si="11"/>
        <v>-5.5445298933267217E-2</v>
      </c>
      <c r="U138" s="196">
        <v>44874</v>
      </c>
      <c r="V138" s="194">
        <v>4.43</v>
      </c>
      <c r="W138" s="195">
        <f t="shared" si="12"/>
        <v>3.7470725995316201E-2</v>
      </c>
      <c r="Y138" s="196">
        <v>44874</v>
      </c>
      <c r="Z138" s="200">
        <v>4126</v>
      </c>
      <c r="AA138" s="195">
        <f t="shared" si="13"/>
        <v>-4.0911204091120368E-2</v>
      </c>
    </row>
    <row r="139" spans="1:27" x14ac:dyDescent="0.25">
      <c r="A139" s="196">
        <v>44660</v>
      </c>
      <c r="B139" s="194">
        <v>110.97</v>
      </c>
      <c r="C139" s="195">
        <f t="shared" si="7"/>
        <v>4.9460941933043401E-2</v>
      </c>
      <c r="E139" s="196">
        <v>44660</v>
      </c>
      <c r="F139" s="194">
        <v>149.54</v>
      </c>
      <c r="G139" s="195">
        <f t="shared" si="8"/>
        <v>-1.501778421815303E-2</v>
      </c>
      <c r="I139" s="196" t="s">
        <v>248</v>
      </c>
      <c r="J139">
        <v>38.07</v>
      </c>
      <c r="K139" s="195">
        <f t="shared" si="9"/>
        <v>2.4488697524219782E-2</v>
      </c>
      <c r="M139" s="196" t="s">
        <v>248</v>
      </c>
      <c r="N139">
        <v>58.12</v>
      </c>
      <c r="O139" s="195">
        <f t="shared" si="10"/>
        <v>9.8884477216865108E-2</v>
      </c>
      <c r="Q139" s="198">
        <v>44660</v>
      </c>
      <c r="R139">
        <v>80.62</v>
      </c>
      <c r="S139" s="195">
        <f t="shared" si="11"/>
        <v>0.13549295774647896</v>
      </c>
      <c r="U139" s="196">
        <v>44660</v>
      </c>
      <c r="V139" s="194">
        <v>4.2699999999999996</v>
      </c>
      <c r="W139" s="195">
        <f t="shared" si="12"/>
        <v>-6.1538461538461542E-2</v>
      </c>
      <c r="Y139" s="196">
        <v>44660</v>
      </c>
      <c r="Z139" s="200">
        <v>4302</v>
      </c>
      <c r="AA139" s="195">
        <f t="shared" si="13"/>
        <v>3.6876355748373113E-2</v>
      </c>
    </row>
    <row r="140" spans="1:27" x14ac:dyDescent="0.25">
      <c r="A140" s="196" t="s">
        <v>247</v>
      </c>
      <c r="B140" s="194">
        <v>105.74</v>
      </c>
      <c r="C140" s="195">
        <f t="shared" si="7"/>
        <v>-2.3457702253417145E-2</v>
      </c>
      <c r="E140" s="196" t="s">
        <v>247</v>
      </c>
      <c r="F140" s="194">
        <v>151.82</v>
      </c>
      <c r="G140" s="195">
        <f t="shared" si="8"/>
        <v>2.1122112211220401E-3</v>
      </c>
      <c r="I140" s="196" t="s">
        <v>249</v>
      </c>
      <c r="J140">
        <v>37.159999999999997</v>
      </c>
      <c r="K140" s="195">
        <f t="shared" si="9"/>
        <v>-3.5306334371755121E-2</v>
      </c>
      <c r="M140" s="196" t="s">
        <v>249</v>
      </c>
      <c r="N140">
        <v>52.89</v>
      </c>
      <c r="O140" s="195">
        <f t="shared" si="10"/>
        <v>-3.3796127146510813E-2</v>
      </c>
      <c r="Q140" s="197" t="s">
        <v>247</v>
      </c>
      <c r="R140">
        <v>71</v>
      </c>
      <c r="S140" s="195">
        <f t="shared" si="11"/>
        <v>-7.9237452989236123E-2</v>
      </c>
      <c r="U140" s="196" t="s">
        <v>247</v>
      </c>
      <c r="V140" s="194">
        <v>4.55</v>
      </c>
      <c r="W140" s="195">
        <f t="shared" si="12"/>
        <v>-5.7971014492753659E-2</v>
      </c>
      <c r="Y140" s="196" t="s">
        <v>247</v>
      </c>
      <c r="Z140" s="200">
        <v>4149</v>
      </c>
      <c r="AA140" s="195">
        <f t="shared" si="13"/>
        <v>-3.2867132867132831E-2</v>
      </c>
    </row>
    <row r="141" spans="1:27" x14ac:dyDescent="0.25">
      <c r="A141" s="196" t="s">
        <v>248</v>
      </c>
      <c r="B141" s="194">
        <v>108.28</v>
      </c>
      <c r="C141" s="195">
        <f t="shared" si="7"/>
        <v>-4.3124779073877684E-2</v>
      </c>
      <c r="E141" s="196" t="s">
        <v>248</v>
      </c>
      <c r="F141" s="194">
        <v>151.5</v>
      </c>
      <c r="G141" s="195">
        <f t="shared" si="8"/>
        <v>-8.7459342247921956E-2</v>
      </c>
      <c r="I141" s="196">
        <v>44750</v>
      </c>
      <c r="J141">
        <v>38.520000000000003</v>
      </c>
      <c r="K141" s="195">
        <f t="shared" si="9"/>
        <v>-2.4563180552038433E-2</v>
      </c>
      <c r="M141" s="196">
        <v>44750</v>
      </c>
      <c r="N141">
        <v>54.74</v>
      </c>
      <c r="O141" s="195">
        <f t="shared" si="10"/>
        <v>3.4830430797434531E-3</v>
      </c>
      <c r="Q141" s="197" t="s">
        <v>248</v>
      </c>
      <c r="R141">
        <v>77.11</v>
      </c>
      <c r="S141" s="195">
        <f t="shared" si="11"/>
        <v>5.8476321207961535E-2</v>
      </c>
      <c r="U141" s="196" t="s">
        <v>248</v>
      </c>
      <c r="V141" s="194">
        <v>4.83</v>
      </c>
      <c r="W141" s="195">
        <f t="shared" si="12"/>
        <v>2.0746887966804906E-3</v>
      </c>
      <c r="Y141" s="196" t="s">
        <v>248</v>
      </c>
      <c r="Z141" s="200">
        <v>4290</v>
      </c>
      <c r="AA141" s="195">
        <f t="shared" si="13"/>
        <v>-3.876316379117184E-2</v>
      </c>
    </row>
    <row r="142" spans="1:27" x14ac:dyDescent="0.25">
      <c r="A142" s="196" t="s">
        <v>249</v>
      </c>
      <c r="B142" s="194">
        <v>113.16</v>
      </c>
      <c r="C142" s="195">
        <f t="shared" si="7"/>
        <v>-2.5071077797880537E-2</v>
      </c>
      <c r="E142" s="196" t="s">
        <v>249</v>
      </c>
      <c r="F142" s="194">
        <v>166.02</v>
      </c>
      <c r="G142" s="195">
        <f t="shared" si="8"/>
        <v>-7.4272331883573073E-2</v>
      </c>
      <c r="I142" s="196" t="s">
        <v>250</v>
      </c>
      <c r="J142">
        <v>39.49</v>
      </c>
      <c r="K142" s="195">
        <f t="shared" si="9"/>
        <v>-1.7905993533946729E-2</v>
      </c>
      <c r="M142" s="196" t="s">
        <v>250</v>
      </c>
      <c r="N142">
        <v>54.55</v>
      </c>
      <c r="O142" s="195">
        <f t="shared" si="10"/>
        <v>-1.8178545716342809E-2</v>
      </c>
      <c r="Q142" s="197" t="s">
        <v>249</v>
      </c>
      <c r="R142">
        <v>72.849999999999994</v>
      </c>
      <c r="S142" s="195">
        <f t="shared" si="11"/>
        <v>-6.5306646138054925E-2</v>
      </c>
      <c r="U142" s="196" t="s">
        <v>249</v>
      </c>
      <c r="V142" s="194">
        <v>4.82</v>
      </c>
      <c r="W142" s="195">
        <f t="shared" si="12"/>
        <v>-4.1322314049585529E-3</v>
      </c>
      <c r="Y142" s="196" t="s">
        <v>249</v>
      </c>
      <c r="Z142" s="200">
        <v>4463</v>
      </c>
      <c r="AA142" s="195">
        <f t="shared" si="13"/>
        <v>-8.8829669109482534E-3</v>
      </c>
    </row>
    <row r="143" spans="1:27" x14ac:dyDescent="0.25">
      <c r="A143" s="196">
        <v>44750</v>
      </c>
      <c r="B143" s="194">
        <v>116.07</v>
      </c>
      <c r="C143" s="195">
        <f t="shared" ref="C143:C206" si="14">B143/B144-1</f>
        <v>1.9320277509440542E-2</v>
      </c>
      <c r="E143" s="196">
        <v>44750</v>
      </c>
      <c r="F143" s="194">
        <v>179.34</v>
      </c>
      <c r="G143" s="195">
        <f t="shared" ref="G143:G206" si="15">F143/F144-1</f>
        <v>3.7847222222222143E-2</v>
      </c>
      <c r="I143" s="196" t="s">
        <v>251</v>
      </c>
      <c r="J143">
        <v>40.21</v>
      </c>
      <c r="K143" s="195">
        <f t="shared" ref="K143:K206" si="16">J143/J144-1</f>
        <v>2.2374777523519018E-2</v>
      </c>
      <c r="M143" s="196" t="s">
        <v>251</v>
      </c>
      <c r="N143">
        <v>55.56</v>
      </c>
      <c r="O143" s="195">
        <f t="shared" ref="O143:O206" si="17">N143/N144-1</f>
        <v>5.0482132728304041E-2</v>
      </c>
      <c r="Q143" s="198">
        <v>44750</v>
      </c>
      <c r="R143">
        <v>77.94</v>
      </c>
      <c r="S143" s="195">
        <f t="shared" ref="S143:S206" si="18">R143/R144-1</f>
        <v>5.8823529411764719E-2</v>
      </c>
      <c r="U143" s="196">
        <v>44750</v>
      </c>
      <c r="V143" s="194">
        <v>4.84</v>
      </c>
      <c r="W143" s="195">
        <f t="shared" ref="W143:W206" si="19">V143/V144-1</f>
        <v>-2.0618556701030855E-3</v>
      </c>
      <c r="Y143" s="196">
        <v>44750</v>
      </c>
      <c r="Z143" s="200">
        <v>4503</v>
      </c>
      <c r="AA143" s="195">
        <f t="shared" ref="AA143:AA206" si="20">Z143/Z144-1</f>
        <v>3.3983926521240049E-2</v>
      </c>
    </row>
    <row r="144" spans="1:27" x14ac:dyDescent="0.25">
      <c r="A144" s="196" t="s">
        <v>250</v>
      </c>
      <c r="B144" s="194">
        <v>113.87</v>
      </c>
      <c r="C144" s="195">
        <f t="shared" si="14"/>
        <v>-9.1367908109989404E-3</v>
      </c>
      <c r="E144" s="196" t="s">
        <v>250</v>
      </c>
      <c r="F144" s="194">
        <v>172.8</v>
      </c>
      <c r="G144" s="195">
        <f t="shared" si="15"/>
        <v>3.1333930170098556E-2</v>
      </c>
      <c r="I144" s="196" t="s">
        <v>252</v>
      </c>
      <c r="J144">
        <v>39.33</v>
      </c>
      <c r="K144" s="195">
        <f t="shared" si="16"/>
        <v>3.6090621707060011E-2</v>
      </c>
      <c r="M144" s="196" t="s">
        <v>252</v>
      </c>
      <c r="N144">
        <v>52.89</v>
      </c>
      <c r="O144" s="195">
        <f t="shared" si="17"/>
        <v>1.3218390804597746E-2</v>
      </c>
      <c r="Q144" s="197" t="s">
        <v>250</v>
      </c>
      <c r="R144">
        <v>73.61</v>
      </c>
      <c r="S144" s="195">
        <f t="shared" si="18"/>
        <v>2.7498604131769966E-2</v>
      </c>
      <c r="U144" s="196" t="s">
        <v>250</v>
      </c>
      <c r="V144" s="194">
        <v>4.8499999999999996</v>
      </c>
      <c r="W144" s="195">
        <f t="shared" si="19"/>
        <v>3.8543897216273937E-2</v>
      </c>
      <c r="Y144" s="196" t="s">
        <v>250</v>
      </c>
      <c r="Z144" s="200">
        <v>4355</v>
      </c>
      <c r="AA144" s="195">
        <f t="shared" si="20"/>
        <v>1.1849442379182173E-2</v>
      </c>
    </row>
    <row r="145" spans="1:27" x14ac:dyDescent="0.25">
      <c r="A145" s="196" t="s">
        <v>251</v>
      </c>
      <c r="B145" s="194">
        <v>114.92</v>
      </c>
      <c r="C145" s="195">
        <f t="shared" si="14"/>
        <v>5.3152492668621765E-2</v>
      </c>
      <c r="E145" s="196" t="s">
        <v>251</v>
      </c>
      <c r="F145" s="194">
        <v>167.55</v>
      </c>
      <c r="G145" s="195">
        <f t="shared" si="15"/>
        <v>-6.4018769901122763E-2</v>
      </c>
      <c r="I145" s="196">
        <v>44841</v>
      </c>
      <c r="J145">
        <v>37.96</v>
      </c>
      <c r="K145" s="195">
        <f t="shared" si="16"/>
        <v>-8.3594566353186739E-3</v>
      </c>
      <c r="M145" s="196">
        <v>44841</v>
      </c>
      <c r="N145">
        <v>52.2</v>
      </c>
      <c r="O145" s="195">
        <f t="shared" si="17"/>
        <v>6.5523576240049008E-2</v>
      </c>
      <c r="Q145" s="197" t="s">
        <v>251</v>
      </c>
      <c r="R145">
        <v>71.64</v>
      </c>
      <c r="S145" s="195">
        <f t="shared" si="18"/>
        <v>0.14003819223424574</v>
      </c>
      <c r="U145" s="196" t="s">
        <v>251</v>
      </c>
      <c r="V145" s="194">
        <v>4.67</v>
      </c>
      <c r="W145" s="195">
        <f t="shared" si="19"/>
        <v>-1.0593220338983023E-2</v>
      </c>
      <c r="Y145" s="196" t="s">
        <v>251</v>
      </c>
      <c r="Z145" s="200">
        <v>4304</v>
      </c>
      <c r="AA145" s="195">
        <f t="shared" si="20"/>
        <v>4.0618955512572441E-2</v>
      </c>
    </row>
    <row r="146" spans="1:27" x14ac:dyDescent="0.25">
      <c r="A146" s="196" t="s">
        <v>252</v>
      </c>
      <c r="B146" s="194">
        <v>109.12</v>
      </c>
      <c r="C146" s="195">
        <f t="shared" si="14"/>
        <v>4.2215854823304699E-2</v>
      </c>
      <c r="E146" s="196" t="s">
        <v>252</v>
      </c>
      <c r="F146" s="194">
        <v>179.01</v>
      </c>
      <c r="G146" s="195">
        <f t="shared" si="15"/>
        <v>0.1167186525265127</v>
      </c>
      <c r="I146" s="196">
        <v>44627</v>
      </c>
      <c r="J146">
        <v>38.28</v>
      </c>
      <c r="K146" s="195">
        <f t="shared" si="16"/>
        <v>4.2483660130719025E-2</v>
      </c>
      <c r="M146" s="196">
        <v>44627</v>
      </c>
      <c r="N146">
        <v>48.99</v>
      </c>
      <c r="O146" s="195">
        <f t="shared" si="17"/>
        <v>8.5771276595744794E-2</v>
      </c>
      <c r="Q146" s="197" t="s">
        <v>252</v>
      </c>
      <c r="R146">
        <v>62.84</v>
      </c>
      <c r="S146" s="195">
        <f t="shared" si="18"/>
        <v>0.16069449575175465</v>
      </c>
      <c r="U146" s="196" t="s">
        <v>252</v>
      </c>
      <c r="V146" s="194">
        <v>4.72</v>
      </c>
      <c r="W146" s="195">
        <f t="shared" si="19"/>
        <v>7.029478458049887E-2</v>
      </c>
      <c r="Y146" s="196" t="s">
        <v>252</v>
      </c>
      <c r="Z146" s="200">
        <v>4136</v>
      </c>
      <c r="AA146" s="195">
        <f t="shared" si="20"/>
        <v>2.350903241771829E-2</v>
      </c>
    </row>
    <row r="147" spans="1:27" x14ac:dyDescent="0.25">
      <c r="A147" s="196">
        <v>44841</v>
      </c>
      <c r="B147" s="194">
        <v>104.7</v>
      </c>
      <c r="C147" s="195">
        <f t="shared" si="14"/>
        <v>-2.9926804410265961E-2</v>
      </c>
      <c r="E147" s="196">
        <v>44841</v>
      </c>
      <c r="F147" s="194">
        <v>160.30000000000001</v>
      </c>
      <c r="G147" s="195">
        <f t="shared" si="15"/>
        <v>-4.8664688427299652E-2</v>
      </c>
      <c r="I147" s="196" t="s">
        <v>253</v>
      </c>
      <c r="J147">
        <v>36.72</v>
      </c>
      <c r="K147" s="195">
        <f t="shared" si="16"/>
        <v>-5.9556036816458269E-3</v>
      </c>
      <c r="M147" s="196" t="s">
        <v>253</v>
      </c>
      <c r="N147">
        <v>45.12</v>
      </c>
      <c r="O147" s="195">
        <f t="shared" si="17"/>
        <v>4.2288003561095078E-3</v>
      </c>
      <c r="Q147" s="198">
        <v>44841</v>
      </c>
      <c r="R147">
        <v>54.14</v>
      </c>
      <c r="S147" s="195">
        <f t="shared" si="18"/>
        <v>-6.7837465564738242E-2</v>
      </c>
      <c r="U147" s="196">
        <v>44841</v>
      </c>
      <c r="V147" s="194">
        <v>4.41</v>
      </c>
      <c r="W147" s="195">
        <f t="shared" si="19"/>
        <v>-4.5454545454545414E-2</v>
      </c>
      <c r="Y147" s="196">
        <v>44841</v>
      </c>
      <c r="Z147" s="200">
        <v>4041</v>
      </c>
      <c r="AA147" s="195">
        <f t="shared" si="20"/>
        <v>-1.1134222439740604E-2</v>
      </c>
    </row>
    <row r="148" spans="1:27" x14ac:dyDescent="0.25">
      <c r="A148" s="196">
        <v>44627</v>
      </c>
      <c r="B148" s="194">
        <v>107.93</v>
      </c>
      <c r="C148" s="195">
        <f t="shared" si="14"/>
        <v>6.6712789088752666E-2</v>
      </c>
      <c r="E148" s="196">
        <v>44627</v>
      </c>
      <c r="F148" s="194">
        <v>168.5</v>
      </c>
      <c r="G148" s="195">
        <f t="shared" si="15"/>
        <v>-4.2504830094328816E-2</v>
      </c>
      <c r="I148" s="196" t="s">
        <v>254</v>
      </c>
      <c r="J148">
        <v>36.94</v>
      </c>
      <c r="K148" s="195">
        <f t="shared" si="16"/>
        <v>4.6755454803060426E-2</v>
      </c>
      <c r="M148" s="196" t="s">
        <v>254</v>
      </c>
      <c r="N148">
        <v>44.93</v>
      </c>
      <c r="O148" s="195">
        <f t="shared" si="17"/>
        <v>0.10176557135850905</v>
      </c>
      <c r="Q148" s="198">
        <v>44627</v>
      </c>
      <c r="R148">
        <v>58.08</v>
      </c>
      <c r="S148" s="195">
        <f t="shared" si="18"/>
        <v>0.21126173096975998</v>
      </c>
      <c r="U148" s="196">
        <v>44627</v>
      </c>
      <c r="V148" s="194">
        <v>4.62</v>
      </c>
      <c r="W148" s="195">
        <f t="shared" si="19"/>
        <v>2.4390243902439046E-2</v>
      </c>
      <c r="Y148" s="196">
        <v>44627</v>
      </c>
      <c r="Z148" s="200">
        <v>4086.5</v>
      </c>
      <c r="AA148" s="195">
        <f t="shared" si="20"/>
        <v>2.5470514429109192E-2</v>
      </c>
    </row>
    <row r="149" spans="1:27" x14ac:dyDescent="0.25">
      <c r="A149" s="196" t="s">
        <v>253</v>
      </c>
      <c r="B149" s="194">
        <v>101.18</v>
      </c>
      <c r="C149" s="195">
        <f t="shared" si="14"/>
        <v>-0.10388805243113974</v>
      </c>
      <c r="E149" s="196" t="s">
        <v>253</v>
      </c>
      <c r="F149" s="194">
        <v>175.98</v>
      </c>
      <c r="G149" s="195">
        <f t="shared" si="15"/>
        <v>-6.0434905393957905E-3</v>
      </c>
      <c r="I149" s="196">
        <v>44901</v>
      </c>
      <c r="J149">
        <v>35.29</v>
      </c>
      <c r="K149" s="195">
        <f t="shared" si="16"/>
        <v>-8.5277345775012892E-2</v>
      </c>
      <c r="M149" s="196">
        <v>44901</v>
      </c>
      <c r="N149">
        <v>40.78</v>
      </c>
      <c r="O149" s="195">
        <f t="shared" si="17"/>
        <v>-0.10472008781558717</v>
      </c>
      <c r="Q149" s="197" t="s">
        <v>253</v>
      </c>
      <c r="R149">
        <v>47.95</v>
      </c>
      <c r="S149" s="195">
        <f t="shared" si="18"/>
        <v>-0.10357076088988593</v>
      </c>
      <c r="U149" s="196" t="s">
        <v>253</v>
      </c>
      <c r="V149" s="194">
        <v>4.51</v>
      </c>
      <c r="W149" s="195">
        <f t="shared" si="19"/>
        <v>8.9485458612974522E-3</v>
      </c>
      <c r="Y149" s="196" t="s">
        <v>253</v>
      </c>
      <c r="Z149" s="200">
        <v>3985</v>
      </c>
      <c r="AA149" s="195">
        <f t="shared" si="20"/>
        <v>-2.7574426549536346E-2</v>
      </c>
    </row>
    <row r="150" spans="1:27" x14ac:dyDescent="0.25">
      <c r="A150" s="196" t="s">
        <v>254</v>
      </c>
      <c r="B150" s="194">
        <v>112.91</v>
      </c>
      <c r="C150" s="195">
        <f t="shared" si="14"/>
        <v>5.1891186882802254E-2</v>
      </c>
      <c r="E150" s="196" t="s">
        <v>254</v>
      </c>
      <c r="F150" s="194">
        <v>177.05</v>
      </c>
      <c r="G150" s="195">
        <f t="shared" si="15"/>
        <v>-9.5104895104894949E-3</v>
      </c>
      <c r="I150" s="196">
        <v>44687</v>
      </c>
      <c r="J150">
        <v>38.58</v>
      </c>
      <c r="K150" s="195">
        <f t="shared" si="16"/>
        <v>5.7855771867288075E-2</v>
      </c>
      <c r="M150" s="196">
        <v>44687</v>
      </c>
      <c r="N150">
        <v>45.55</v>
      </c>
      <c r="O150" s="195">
        <f t="shared" si="17"/>
        <v>9.1802492809204272E-2</v>
      </c>
      <c r="Q150" s="197" t="s">
        <v>254</v>
      </c>
      <c r="R150">
        <v>53.49</v>
      </c>
      <c r="S150" s="195">
        <f t="shared" si="18"/>
        <v>0.13302266468968438</v>
      </c>
      <c r="U150" s="196" t="s">
        <v>254</v>
      </c>
      <c r="V150" s="194">
        <v>4.47</v>
      </c>
      <c r="W150" s="195">
        <f t="shared" si="19"/>
        <v>4.195804195804187E-2</v>
      </c>
      <c r="Y150" s="196" t="s">
        <v>254</v>
      </c>
      <c r="Z150" s="200">
        <v>4098</v>
      </c>
      <c r="AA150" s="195">
        <f t="shared" si="20"/>
        <v>5.727554179566563E-2</v>
      </c>
    </row>
    <row r="151" spans="1:27" x14ac:dyDescent="0.25">
      <c r="A151" s="196">
        <v>44901</v>
      </c>
      <c r="B151" s="194">
        <v>107.34</v>
      </c>
      <c r="C151" s="195">
        <f t="shared" si="14"/>
        <v>-6.4412097969144932E-2</v>
      </c>
      <c r="E151" s="196">
        <v>44901</v>
      </c>
      <c r="F151" s="194">
        <v>178.75</v>
      </c>
      <c r="G151" s="195">
        <f t="shared" si="15"/>
        <v>-2.8532608695652217E-2</v>
      </c>
      <c r="I151" s="196" t="s">
        <v>255</v>
      </c>
      <c r="J151">
        <v>36.47</v>
      </c>
      <c r="K151" s="195">
        <f t="shared" si="16"/>
        <v>-7.4835109081684448E-2</v>
      </c>
      <c r="M151" s="196" t="s">
        <v>255</v>
      </c>
      <c r="N151">
        <v>41.72</v>
      </c>
      <c r="O151" s="195">
        <f t="shared" si="17"/>
        <v>-7.2888888888888892E-2</v>
      </c>
      <c r="Q151" s="198">
        <v>44901</v>
      </c>
      <c r="R151">
        <v>47.21</v>
      </c>
      <c r="S151" s="195">
        <f t="shared" si="18"/>
        <v>-0.12281679672984025</v>
      </c>
      <c r="U151" s="196">
        <v>44901</v>
      </c>
      <c r="V151" s="194">
        <v>4.29</v>
      </c>
      <c r="W151" s="195">
        <f t="shared" si="19"/>
        <v>-0.10995850622406644</v>
      </c>
      <c r="Y151" s="196">
        <v>44901</v>
      </c>
      <c r="Z151" s="200">
        <v>3876</v>
      </c>
      <c r="AA151" s="195">
        <f t="shared" si="20"/>
        <v>-5.9907834101382451E-2</v>
      </c>
    </row>
    <row r="152" spans="1:27" x14ac:dyDescent="0.25">
      <c r="A152" s="196">
        <v>44687</v>
      </c>
      <c r="B152" s="194">
        <v>114.73</v>
      </c>
      <c r="C152" s="195">
        <f t="shared" si="14"/>
        <v>-5.1426209177345972E-2</v>
      </c>
      <c r="E152" s="196">
        <v>44687</v>
      </c>
      <c r="F152" s="194">
        <v>184</v>
      </c>
      <c r="G152" s="195">
        <f t="shared" si="15"/>
        <v>-9.0234857849196493E-2</v>
      </c>
      <c r="I152" s="196" t="s">
        <v>256</v>
      </c>
      <c r="J152">
        <v>39.42</v>
      </c>
      <c r="K152" s="195">
        <f t="shared" si="16"/>
        <v>-4.4826750666343673E-2</v>
      </c>
      <c r="M152" s="196" t="s">
        <v>256</v>
      </c>
      <c r="N152">
        <v>45</v>
      </c>
      <c r="O152" s="195">
        <f t="shared" si="17"/>
        <v>-2.2172949002217113E-3</v>
      </c>
      <c r="Q152" s="198">
        <v>44687</v>
      </c>
      <c r="R152">
        <v>53.82</v>
      </c>
      <c r="S152" s="195">
        <f t="shared" si="18"/>
        <v>-0.11538461538461542</v>
      </c>
      <c r="U152" s="196">
        <v>44687</v>
      </c>
      <c r="V152" s="194">
        <v>4.82</v>
      </c>
      <c r="W152" s="195">
        <f t="shared" si="19"/>
        <v>7.1111111111111125E-2</v>
      </c>
      <c r="Y152" s="196">
        <v>44687</v>
      </c>
      <c r="Z152" s="200">
        <v>4123</v>
      </c>
      <c r="AA152" s="195">
        <f t="shared" si="20"/>
        <v>-4.049336746567378E-2</v>
      </c>
    </row>
    <row r="153" spans="1:27" x14ac:dyDescent="0.25">
      <c r="A153" s="196" t="s">
        <v>255</v>
      </c>
      <c r="B153" s="194">
        <v>120.95</v>
      </c>
      <c r="C153" s="195">
        <f t="shared" si="14"/>
        <v>4.2762307095439267E-2</v>
      </c>
      <c r="E153" s="196" t="s">
        <v>255</v>
      </c>
      <c r="F153" s="194">
        <v>202.25</v>
      </c>
      <c r="G153" s="195">
        <f t="shared" si="15"/>
        <v>6.3074901445466569E-2</v>
      </c>
      <c r="I153" s="196" t="s">
        <v>257</v>
      </c>
      <c r="J153">
        <v>41.27</v>
      </c>
      <c r="K153" s="195">
        <f t="shared" si="16"/>
        <v>5.1732925586136513E-2</v>
      </c>
      <c r="M153" s="196" t="s">
        <v>257</v>
      </c>
      <c r="N153">
        <v>45.1</v>
      </c>
      <c r="O153" s="195">
        <f t="shared" si="17"/>
        <v>-4.6347384683292914E-3</v>
      </c>
      <c r="Q153" s="197" t="s">
        <v>255</v>
      </c>
      <c r="R153">
        <v>60.84</v>
      </c>
      <c r="S153" s="195">
        <f t="shared" si="18"/>
        <v>8.3719273245457915E-2</v>
      </c>
      <c r="U153" s="196" t="s">
        <v>255</v>
      </c>
      <c r="V153" s="194">
        <v>4.5</v>
      </c>
      <c r="W153" s="195">
        <f t="shared" si="19"/>
        <v>4.8951048951048959E-2</v>
      </c>
      <c r="Y153" s="196" t="s">
        <v>255</v>
      </c>
      <c r="Z153" s="200">
        <v>4297</v>
      </c>
      <c r="AA153" s="195">
        <f t="shared" si="20"/>
        <v>-5.7843590930124478E-3</v>
      </c>
    </row>
    <row r="154" spans="1:27" x14ac:dyDescent="0.25">
      <c r="A154" s="196" t="s">
        <v>256</v>
      </c>
      <c r="B154" s="194">
        <v>115.99</v>
      </c>
      <c r="C154" s="195">
        <f t="shared" si="14"/>
        <v>7.3981481481481426E-2</v>
      </c>
      <c r="E154" s="196" t="s">
        <v>256</v>
      </c>
      <c r="F154" s="194">
        <v>190.25</v>
      </c>
      <c r="G154" s="195">
        <f t="shared" si="15"/>
        <v>8.4045584045584043E-2</v>
      </c>
      <c r="I154" s="196">
        <v>44778</v>
      </c>
      <c r="J154">
        <v>39.24</v>
      </c>
      <c r="K154" s="195">
        <f t="shared" si="16"/>
        <v>8.6078051480763973E-2</v>
      </c>
      <c r="M154" s="196">
        <v>44778</v>
      </c>
      <c r="N154">
        <v>45.31</v>
      </c>
      <c r="O154" s="195">
        <f t="shared" si="17"/>
        <v>6.4864864864865091E-2</v>
      </c>
      <c r="Q154" s="197" t="s">
        <v>256</v>
      </c>
      <c r="R154">
        <v>56.14</v>
      </c>
      <c r="S154" s="195">
        <f t="shared" si="18"/>
        <v>3.9437141270135312E-2</v>
      </c>
      <c r="U154" s="196" t="s">
        <v>256</v>
      </c>
      <c r="V154" s="194">
        <v>4.29</v>
      </c>
      <c r="W154" s="195">
        <f t="shared" si="19"/>
        <v>9.4117647058824527E-3</v>
      </c>
      <c r="Y154" s="196" t="s">
        <v>256</v>
      </c>
      <c r="Z154" s="200">
        <v>4322</v>
      </c>
      <c r="AA154" s="195">
        <f t="shared" si="20"/>
        <v>6.0873834069710364E-2</v>
      </c>
    </row>
    <row r="155" spans="1:27" x14ac:dyDescent="0.25">
      <c r="A155" s="196" t="s">
        <v>257</v>
      </c>
      <c r="B155" s="194">
        <v>108</v>
      </c>
      <c r="C155" s="195">
        <f t="shared" si="14"/>
        <v>-4.4332359968144441E-2</v>
      </c>
      <c r="E155" s="196" t="s">
        <v>257</v>
      </c>
      <c r="F155" s="194">
        <v>175.5</v>
      </c>
      <c r="G155" s="195">
        <f t="shared" si="15"/>
        <v>-4.8522634860395764E-2</v>
      </c>
      <c r="I155" s="196">
        <v>44566</v>
      </c>
      <c r="J155">
        <v>36.130000000000003</v>
      </c>
      <c r="K155" s="195">
        <f t="shared" si="16"/>
        <v>-4.6450250725785125E-2</v>
      </c>
      <c r="M155" s="196">
        <v>44566</v>
      </c>
      <c r="N155">
        <v>42.55</v>
      </c>
      <c r="O155" s="195">
        <f t="shared" si="17"/>
        <v>3.5531759552202224E-2</v>
      </c>
      <c r="Q155" s="197" t="s">
        <v>257</v>
      </c>
      <c r="R155">
        <v>54.01</v>
      </c>
      <c r="S155" s="195">
        <f t="shared" si="18"/>
        <v>-7.4220089132670641E-2</v>
      </c>
      <c r="U155" s="196" t="s">
        <v>257</v>
      </c>
      <c r="V155" s="194">
        <v>4.25</v>
      </c>
      <c r="W155" s="195">
        <f t="shared" si="19"/>
        <v>7.1090047393365108E-3</v>
      </c>
      <c r="Y155" s="196" t="s">
        <v>257</v>
      </c>
      <c r="Z155" s="200">
        <v>4074</v>
      </c>
      <c r="AA155" s="195">
        <f t="shared" si="20"/>
        <v>-3.0230897405379653E-2</v>
      </c>
    </row>
    <row r="156" spans="1:27" x14ac:dyDescent="0.25">
      <c r="A156" s="196">
        <v>44778</v>
      </c>
      <c r="B156" s="194">
        <v>113.01</v>
      </c>
      <c r="C156" s="195">
        <f t="shared" si="14"/>
        <v>-1.2926893178443422E-2</v>
      </c>
      <c r="E156" s="196">
        <v>44778</v>
      </c>
      <c r="F156" s="194">
        <v>184.45</v>
      </c>
      <c r="G156" s="195">
        <f t="shared" si="15"/>
        <v>-2.3815824292140797E-2</v>
      </c>
      <c r="I156" s="196" t="s">
        <v>258</v>
      </c>
      <c r="J156">
        <v>37.89</v>
      </c>
      <c r="K156" s="195">
        <f t="shared" si="16"/>
        <v>1.7727639000805873E-2</v>
      </c>
      <c r="M156" s="196" t="s">
        <v>258</v>
      </c>
      <c r="N156">
        <v>41.09</v>
      </c>
      <c r="O156" s="195">
        <f t="shared" si="17"/>
        <v>-4.8649963512514827E-4</v>
      </c>
      <c r="Q156" s="198">
        <v>44778</v>
      </c>
      <c r="R156">
        <v>58.34</v>
      </c>
      <c r="S156" s="195">
        <f t="shared" si="18"/>
        <v>-4.1563988828651088E-2</v>
      </c>
      <c r="U156" s="196">
        <v>44778</v>
      </c>
      <c r="V156" s="194">
        <v>4.22</v>
      </c>
      <c r="W156" s="195">
        <f t="shared" si="19"/>
        <v>8.2051282051281982E-2</v>
      </c>
      <c r="Y156" s="196">
        <v>44778</v>
      </c>
      <c r="Z156" s="200">
        <v>4201</v>
      </c>
      <c r="AA156" s="195">
        <f t="shared" si="20"/>
        <v>-2.8895053166897777E-2</v>
      </c>
    </row>
    <row r="157" spans="1:27" x14ac:dyDescent="0.25">
      <c r="A157" s="196">
        <v>44566</v>
      </c>
      <c r="B157" s="194">
        <v>114.49</v>
      </c>
      <c r="C157" s="195">
        <f t="shared" si="14"/>
        <v>-8.1876503608660833E-2</v>
      </c>
      <c r="E157" s="196">
        <v>44566</v>
      </c>
      <c r="F157" s="194">
        <v>188.95</v>
      </c>
      <c r="G157" s="195">
        <f t="shared" si="15"/>
        <v>-5.8685796841528415E-2</v>
      </c>
      <c r="I157" s="196" t="s">
        <v>259</v>
      </c>
      <c r="J157">
        <v>37.229999999999997</v>
      </c>
      <c r="K157" s="195">
        <f t="shared" si="16"/>
        <v>-2.7937336814621405E-2</v>
      </c>
      <c r="M157" s="196" t="s">
        <v>259</v>
      </c>
      <c r="N157">
        <v>41.11</v>
      </c>
      <c r="O157" s="195">
        <f t="shared" si="17"/>
        <v>-7.1799503273876741E-2</v>
      </c>
      <c r="Q157" s="198">
        <v>44566</v>
      </c>
      <c r="R157">
        <v>60.87</v>
      </c>
      <c r="S157" s="195">
        <f t="shared" si="18"/>
        <v>-8.3697124793015387E-2</v>
      </c>
      <c r="U157" s="196">
        <v>44566</v>
      </c>
      <c r="V157" s="194">
        <v>3.9</v>
      </c>
      <c r="W157" s="195">
        <f t="shared" si="19"/>
        <v>5.1546391752577136E-3</v>
      </c>
      <c r="Y157" s="196">
        <v>44566</v>
      </c>
      <c r="Z157" s="200">
        <v>4326</v>
      </c>
      <c r="AA157" s="195">
        <f t="shared" si="20"/>
        <v>-6.8870523415978102E-3</v>
      </c>
    </row>
    <row r="158" spans="1:27" x14ac:dyDescent="0.25">
      <c r="A158" s="196" t="s">
        <v>258</v>
      </c>
      <c r="B158" s="194">
        <v>124.7</v>
      </c>
      <c r="C158" s="195">
        <f t="shared" si="14"/>
        <v>-3.3857596652978939E-2</v>
      </c>
      <c r="E158" s="196" t="s">
        <v>258</v>
      </c>
      <c r="F158" s="194">
        <v>200.73</v>
      </c>
      <c r="G158" s="195">
        <f t="shared" si="15"/>
        <v>-6.5850707371556294E-2</v>
      </c>
      <c r="I158" s="196">
        <v>44838</v>
      </c>
      <c r="J158">
        <v>38.299999999999997</v>
      </c>
      <c r="K158" s="195">
        <f t="shared" si="16"/>
        <v>-3.5750251762336371E-2</v>
      </c>
      <c r="M158" s="196">
        <v>44838</v>
      </c>
      <c r="N158">
        <v>44.29</v>
      </c>
      <c r="O158" s="195">
        <f t="shared" si="17"/>
        <v>-3.0004380201489211E-2</v>
      </c>
      <c r="Q158" s="197" t="s">
        <v>258</v>
      </c>
      <c r="R158">
        <v>66.430000000000007</v>
      </c>
      <c r="S158" s="195">
        <f t="shared" si="18"/>
        <v>-6.6732228153975837E-2</v>
      </c>
      <c r="U158" s="196" t="s">
        <v>258</v>
      </c>
      <c r="V158" s="194">
        <v>3.88</v>
      </c>
      <c r="W158" s="195">
        <f t="shared" si="19"/>
        <v>-7.8384798099762509E-2</v>
      </c>
      <c r="Y158" s="196" t="s">
        <v>258</v>
      </c>
      <c r="Z158" s="200">
        <v>4356</v>
      </c>
      <c r="AA158" s="195">
        <f t="shared" si="20"/>
        <v>-3.2644903397734848E-2</v>
      </c>
    </row>
    <row r="159" spans="1:27" x14ac:dyDescent="0.25">
      <c r="A159" s="196" t="s">
        <v>259</v>
      </c>
      <c r="B159" s="194">
        <v>129.07</v>
      </c>
      <c r="C159" s="195">
        <f t="shared" si="14"/>
        <v>-3.2893750936610289E-2</v>
      </c>
      <c r="E159" s="196" t="s">
        <v>259</v>
      </c>
      <c r="F159" s="194">
        <v>214.88</v>
      </c>
      <c r="G159" s="195">
        <f t="shared" si="15"/>
        <v>1.5021256495040269E-2</v>
      </c>
      <c r="I159" s="196">
        <v>44624</v>
      </c>
      <c r="J159">
        <v>39.72</v>
      </c>
      <c r="K159" s="195">
        <f t="shared" si="16"/>
        <v>-1.2572290671361008E-3</v>
      </c>
      <c r="M159" s="196">
        <v>44624</v>
      </c>
      <c r="N159">
        <v>45.66</v>
      </c>
      <c r="O159" s="195">
        <f t="shared" si="17"/>
        <v>9.9535500995353576E-3</v>
      </c>
      <c r="Q159" s="197" t="s">
        <v>259</v>
      </c>
      <c r="R159">
        <v>71.180000000000007</v>
      </c>
      <c r="S159" s="195">
        <f t="shared" si="18"/>
        <v>-1.5763274336282995E-2</v>
      </c>
      <c r="U159" s="196" t="s">
        <v>259</v>
      </c>
      <c r="V159" s="194">
        <v>4.21</v>
      </c>
      <c r="W159" s="195">
        <f t="shared" si="19"/>
        <v>2.6829268292682951E-2</v>
      </c>
      <c r="Y159" s="196" t="s">
        <v>259</v>
      </c>
      <c r="Z159" s="200">
        <v>4503</v>
      </c>
      <c r="AA159" s="195">
        <f t="shared" si="20"/>
        <v>-2.0874103065883887E-2</v>
      </c>
    </row>
    <row r="160" spans="1:27" x14ac:dyDescent="0.25">
      <c r="A160" s="196">
        <v>44838</v>
      </c>
      <c r="B160" s="194">
        <v>133.46</v>
      </c>
      <c r="C160" s="195">
        <f t="shared" si="14"/>
        <v>4.1435817401482611E-2</v>
      </c>
      <c r="E160" s="196">
        <v>44838</v>
      </c>
      <c r="F160" s="194">
        <v>211.7</v>
      </c>
      <c r="G160" s="195">
        <f t="shared" si="15"/>
        <v>-3.9037675896504864E-2</v>
      </c>
      <c r="I160" s="196" t="s">
        <v>260</v>
      </c>
      <c r="J160">
        <v>39.770000000000003</v>
      </c>
      <c r="K160" s="195">
        <f t="shared" si="16"/>
        <v>5.1838138058714733E-2</v>
      </c>
      <c r="M160" s="196" t="s">
        <v>260</v>
      </c>
      <c r="N160">
        <v>45.21</v>
      </c>
      <c r="O160" s="195">
        <f t="shared" si="17"/>
        <v>2.8434940855323054E-2</v>
      </c>
      <c r="Q160" s="198">
        <v>44838</v>
      </c>
      <c r="R160">
        <v>72.319999999999993</v>
      </c>
      <c r="S160" s="195">
        <f t="shared" si="18"/>
        <v>6.1213132999442532E-3</v>
      </c>
      <c r="U160" s="196">
        <v>44838</v>
      </c>
      <c r="V160" s="194">
        <v>4.0999999999999996</v>
      </c>
      <c r="W160" s="195">
        <f t="shared" si="19"/>
        <v>-6.3926940639269514E-2</v>
      </c>
      <c r="Y160" s="196">
        <v>44838</v>
      </c>
      <c r="Z160" s="200">
        <v>4599</v>
      </c>
      <c r="AA160" s="195">
        <f t="shared" si="20"/>
        <v>-2.3929537857483973E-2</v>
      </c>
    </row>
    <row r="161" spans="1:27" x14ac:dyDescent="0.25">
      <c r="A161" s="196">
        <v>44624</v>
      </c>
      <c r="B161" s="194">
        <v>128.15</v>
      </c>
      <c r="C161" s="195">
        <f t="shared" si="14"/>
        <v>-4.0218693828639962E-2</v>
      </c>
      <c r="E161" s="196">
        <v>44624</v>
      </c>
      <c r="F161" s="194">
        <v>220.3</v>
      </c>
      <c r="G161" s="195">
        <f t="shared" si="15"/>
        <v>-3.0753662721633046E-2</v>
      </c>
      <c r="I161" s="196" t="s">
        <v>261</v>
      </c>
      <c r="J161">
        <v>37.81</v>
      </c>
      <c r="K161" s="195">
        <f t="shared" si="16"/>
        <v>-7.5776093864580618E-2</v>
      </c>
      <c r="M161" s="196" t="s">
        <v>261</v>
      </c>
      <c r="N161">
        <v>43.96</v>
      </c>
      <c r="O161" s="195">
        <f t="shared" si="17"/>
        <v>-4.6627629581435626E-2</v>
      </c>
      <c r="Q161" s="198">
        <v>44624</v>
      </c>
      <c r="R161">
        <v>71.88</v>
      </c>
      <c r="S161" s="195">
        <f t="shared" si="18"/>
        <v>-5.0838505215898722E-2</v>
      </c>
      <c r="U161" s="196">
        <v>44624</v>
      </c>
      <c r="V161" s="194">
        <v>4.38</v>
      </c>
      <c r="W161" s="195">
        <f t="shared" si="19"/>
        <v>-8.7500000000000022E-2</v>
      </c>
      <c r="Y161" s="196">
        <v>44624</v>
      </c>
      <c r="Z161" s="200">
        <v>4711.75</v>
      </c>
      <c r="AA161" s="195">
        <f t="shared" si="20"/>
        <v>-5.8550480008440209E-3</v>
      </c>
    </row>
    <row r="162" spans="1:27" x14ac:dyDescent="0.25">
      <c r="A162" s="196" t="s">
        <v>260</v>
      </c>
      <c r="B162" s="194">
        <v>133.52000000000001</v>
      </c>
      <c r="C162" s="195">
        <f t="shared" si="14"/>
        <v>-1.346297681376063E-3</v>
      </c>
      <c r="E162" s="196" t="s">
        <v>260</v>
      </c>
      <c r="F162" s="194">
        <v>227.29</v>
      </c>
      <c r="G162" s="195">
        <f t="shared" si="15"/>
        <v>-2.609478104379126E-2</v>
      </c>
      <c r="I162" s="196" t="s">
        <v>262</v>
      </c>
      <c r="J162">
        <v>40.909999999999997</v>
      </c>
      <c r="K162" s="195">
        <f t="shared" si="16"/>
        <v>1.2623762376237524E-2</v>
      </c>
      <c r="M162" s="196" t="s">
        <v>262</v>
      </c>
      <c r="N162">
        <v>46.11</v>
      </c>
      <c r="O162" s="195">
        <f t="shared" si="17"/>
        <v>2.9700759267530019E-2</v>
      </c>
      <c r="Q162" s="197" t="s">
        <v>260</v>
      </c>
      <c r="R162">
        <v>75.73</v>
      </c>
      <c r="S162" s="195">
        <f t="shared" si="18"/>
        <v>-2.9600205023065151E-2</v>
      </c>
      <c r="U162" s="196" t="s">
        <v>260</v>
      </c>
      <c r="V162" s="194">
        <v>4.8</v>
      </c>
      <c r="W162" s="195">
        <f t="shared" si="19"/>
        <v>6.2893081761006275E-3</v>
      </c>
      <c r="Y162" s="196" t="s">
        <v>260</v>
      </c>
      <c r="Z162" s="200">
        <v>4739.5</v>
      </c>
      <c r="AA162" s="195">
        <f t="shared" si="20"/>
        <v>1.1618081960287352E-3</v>
      </c>
    </row>
    <row r="163" spans="1:27" x14ac:dyDescent="0.25">
      <c r="A163" s="196" t="s">
        <v>261</v>
      </c>
      <c r="B163" s="194">
        <v>133.69999999999999</v>
      </c>
      <c r="C163" s="195">
        <f t="shared" si="14"/>
        <v>1.874428527887817E-2</v>
      </c>
      <c r="E163" s="196" t="s">
        <v>261</v>
      </c>
      <c r="F163" s="194">
        <v>233.38</v>
      </c>
      <c r="G163" s="195">
        <f t="shared" si="15"/>
        <v>-4.9562207289757798E-2</v>
      </c>
      <c r="I163" s="196">
        <v>44715</v>
      </c>
      <c r="J163">
        <v>40.4</v>
      </c>
      <c r="K163" s="195">
        <f t="shared" si="16"/>
        <v>2.0975486479656302E-2</v>
      </c>
      <c r="M163" s="196">
        <v>44715</v>
      </c>
      <c r="N163">
        <v>44.78</v>
      </c>
      <c r="O163" s="195">
        <f t="shared" si="17"/>
        <v>-7.7271790644961924E-2</v>
      </c>
      <c r="Q163" s="197" t="s">
        <v>261</v>
      </c>
      <c r="R163">
        <v>78.040000000000006</v>
      </c>
      <c r="S163" s="195">
        <f t="shared" si="18"/>
        <v>-6.1116458132819962E-2</v>
      </c>
      <c r="U163" s="196" t="s">
        <v>261</v>
      </c>
      <c r="V163" s="194">
        <v>4.7699999999999996</v>
      </c>
      <c r="W163" s="195">
        <f t="shared" si="19"/>
        <v>1.2738853503184711E-2</v>
      </c>
      <c r="Y163" s="196" t="s">
        <v>261</v>
      </c>
      <c r="Z163" s="200">
        <v>4734</v>
      </c>
      <c r="AA163" s="195">
        <f t="shared" si="20"/>
        <v>2.9802044811833905E-2</v>
      </c>
    </row>
    <row r="164" spans="1:27" x14ac:dyDescent="0.25">
      <c r="A164" s="196" t="s">
        <v>262</v>
      </c>
      <c r="B164" s="194">
        <v>131.24</v>
      </c>
      <c r="C164" s="195">
        <f t="shared" si="14"/>
        <v>7.0211204436108732E-2</v>
      </c>
      <c r="E164" s="196" t="s">
        <v>262</v>
      </c>
      <c r="F164" s="194">
        <v>245.55</v>
      </c>
      <c r="G164" s="195">
        <f t="shared" si="15"/>
        <v>0.13838664812239232</v>
      </c>
      <c r="I164" s="196" t="s">
        <v>263</v>
      </c>
      <c r="J164">
        <v>39.57</v>
      </c>
      <c r="K164" s="195">
        <f t="shared" si="16"/>
        <v>5.9721478307445119E-2</v>
      </c>
      <c r="M164" s="196" t="s">
        <v>263</v>
      </c>
      <c r="N164">
        <v>48.53</v>
      </c>
      <c r="O164" s="195">
        <f t="shared" si="17"/>
        <v>0.13123543123543135</v>
      </c>
      <c r="Q164" s="197" t="s">
        <v>262</v>
      </c>
      <c r="R164">
        <v>83.12</v>
      </c>
      <c r="S164" s="195">
        <f t="shared" si="18"/>
        <v>0.1850584545195324</v>
      </c>
      <c r="U164" s="196" t="s">
        <v>262</v>
      </c>
      <c r="V164" s="194">
        <v>4.71</v>
      </c>
      <c r="W164" s="195">
        <f t="shared" si="19"/>
        <v>7.5342465753424737E-2</v>
      </c>
      <c r="Y164" s="196" t="s">
        <v>262</v>
      </c>
      <c r="Z164" s="200">
        <v>4597</v>
      </c>
      <c r="AA164" s="195">
        <f t="shared" si="20"/>
        <v>6.7828106852497072E-2</v>
      </c>
    </row>
    <row r="165" spans="1:27" x14ac:dyDescent="0.25">
      <c r="A165" s="196">
        <v>44715</v>
      </c>
      <c r="B165" s="194">
        <v>122.63</v>
      </c>
      <c r="C165" s="195">
        <f t="shared" si="14"/>
        <v>-6.5177618539411619E-2</v>
      </c>
      <c r="E165" s="196">
        <v>44715</v>
      </c>
      <c r="F165" s="194">
        <v>215.7</v>
      </c>
      <c r="G165" s="195">
        <f t="shared" si="15"/>
        <v>6.7610374183330046E-2</v>
      </c>
      <c r="I165" s="196" t="s">
        <v>264</v>
      </c>
      <c r="J165">
        <v>37.340000000000003</v>
      </c>
      <c r="K165" s="195">
        <f t="shared" si="16"/>
        <v>-2.6709401709400504E-3</v>
      </c>
      <c r="M165" s="196" t="s">
        <v>264</v>
      </c>
      <c r="N165">
        <v>42.9</v>
      </c>
      <c r="O165" s="195">
        <f t="shared" si="17"/>
        <v>4.8130955289518607E-2</v>
      </c>
      <c r="Q165" s="198">
        <v>44715</v>
      </c>
      <c r="R165">
        <v>70.14</v>
      </c>
      <c r="S165" s="195">
        <f t="shared" si="18"/>
        <v>-2.2166457549142704E-2</v>
      </c>
      <c r="U165" s="196">
        <v>44715</v>
      </c>
      <c r="V165" s="194">
        <v>4.38</v>
      </c>
      <c r="W165" s="195">
        <f t="shared" si="19"/>
        <v>-7.0063694267515908E-2</v>
      </c>
      <c r="Y165" s="196">
        <v>44715</v>
      </c>
      <c r="Z165" s="200">
        <v>4305</v>
      </c>
      <c r="AA165" s="195">
        <f t="shared" si="20"/>
        <v>-2.3366606170598936E-2</v>
      </c>
    </row>
    <row r="166" spans="1:27" x14ac:dyDescent="0.25">
      <c r="A166" s="196" t="s">
        <v>263</v>
      </c>
      <c r="B166" s="194">
        <v>131.18</v>
      </c>
      <c r="C166" s="195">
        <f t="shared" si="14"/>
        <v>-5.4899135446685898E-2</v>
      </c>
      <c r="E166" s="196" t="s">
        <v>263</v>
      </c>
      <c r="F166" s="194">
        <v>202.04</v>
      </c>
      <c r="G166" s="195">
        <f t="shared" si="15"/>
        <v>-0.16684536082474233</v>
      </c>
      <c r="I166" s="196" t="s">
        <v>265</v>
      </c>
      <c r="J166">
        <v>37.44</v>
      </c>
      <c r="K166" s="195">
        <f t="shared" si="16"/>
        <v>-0.21162349968414407</v>
      </c>
      <c r="M166" s="196" t="s">
        <v>265</v>
      </c>
      <c r="N166">
        <v>40.93</v>
      </c>
      <c r="O166" s="195">
        <f t="shared" si="17"/>
        <v>-0.14604631754642183</v>
      </c>
      <c r="Q166" s="197" t="s">
        <v>263</v>
      </c>
      <c r="R166">
        <v>71.73</v>
      </c>
      <c r="S166" s="195">
        <f t="shared" si="18"/>
        <v>-0.14219086342980147</v>
      </c>
      <c r="U166" s="196" t="s">
        <v>263</v>
      </c>
      <c r="V166" s="194">
        <v>4.71</v>
      </c>
      <c r="W166" s="195">
        <f t="shared" si="19"/>
        <v>-2.4844720496894457E-2</v>
      </c>
      <c r="Y166" s="196" t="s">
        <v>263</v>
      </c>
      <c r="Z166" s="200">
        <v>4408</v>
      </c>
      <c r="AA166" s="195">
        <f t="shared" si="20"/>
        <v>-1.370476030653911E-2</v>
      </c>
    </row>
    <row r="167" spans="1:27" x14ac:dyDescent="0.25">
      <c r="A167" s="196" t="s">
        <v>264</v>
      </c>
      <c r="B167" s="194">
        <v>138.80000000000001</v>
      </c>
      <c r="C167" s="195">
        <f t="shared" si="14"/>
        <v>-2.9031129765652142E-2</v>
      </c>
      <c r="E167" s="196" t="s">
        <v>264</v>
      </c>
      <c r="F167" s="194">
        <v>242.5</v>
      </c>
      <c r="G167" s="195">
        <f t="shared" si="15"/>
        <v>-9.5149253731343308E-2</v>
      </c>
      <c r="I167" s="196">
        <v>44714</v>
      </c>
      <c r="J167">
        <v>47.49</v>
      </c>
      <c r="K167" s="195">
        <f t="shared" si="16"/>
        <v>-4.8197820620284881E-3</v>
      </c>
      <c r="M167" s="196">
        <v>44714</v>
      </c>
      <c r="N167">
        <v>47.93</v>
      </c>
      <c r="O167" s="195">
        <f t="shared" si="17"/>
        <v>-2.936411502632652E-2</v>
      </c>
      <c r="Q167" s="197" t="s">
        <v>264</v>
      </c>
      <c r="R167">
        <v>83.62</v>
      </c>
      <c r="S167" s="195">
        <f t="shared" si="18"/>
        <v>5.5008831693161842E-2</v>
      </c>
      <c r="U167" s="196" t="s">
        <v>264</v>
      </c>
      <c r="V167" s="194">
        <v>4.83</v>
      </c>
      <c r="W167" s="195">
        <f t="shared" si="19"/>
        <v>-5.1080550098231758E-2</v>
      </c>
      <c r="Y167" s="196" t="s">
        <v>264</v>
      </c>
      <c r="Z167" s="200">
        <v>4469.25</v>
      </c>
      <c r="AA167" s="195">
        <f t="shared" si="20"/>
        <v>8.6892738249733092E-3</v>
      </c>
    </row>
    <row r="168" spans="1:27" x14ac:dyDescent="0.25">
      <c r="A168" s="196" t="s">
        <v>265</v>
      </c>
      <c r="B168" s="194">
        <v>142.94999999999999</v>
      </c>
      <c r="C168" s="195">
        <f t="shared" si="14"/>
        <v>1.9760308175203134E-2</v>
      </c>
      <c r="E168" s="196" t="s">
        <v>265</v>
      </c>
      <c r="F168" s="194">
        <v>268</v>
      </c>
      <c r="G168" s="195">
        <f t="shared" si="15"/>
        <v>2.387774594078329E-2</v>
      </c>
      <c r="I168" s="196" t="s">
        <v>266</v>
      </c>
      <c r="J168">
        <v>47.72</v>
      </c>
      <c r="K168" s="195">
        <f t="shared" si="16"/>
        <v>1.01608806096527E-2</v>
      </c>
      <c r="M168" s="196" t="s">
        <v>266</v>
      </c>
      <c r="N168">
        <v>49.38</v>
      </c>
      <c r="O168" s="195">
        <f t="shared" si="17"/>
        <v>-2.5843361609784843E-2</v>
      </c>
      <c r="Q168" s="197" t="s">
        <v>265</v>
      </c>
      <c r="R168">
        <v>79.260000000000005</v>
      </c>
      <c r="S168" s="195">
        <f t="shared" si="18"/>
        <v>-0.19287169042769858</v>
      </c>
      <c r="U168" s="196" t="s">
        <v>265</v>
      </c>
      <c r="V168" s="194">
        <v>5.09</v>
      </c>
      <c r="W168" s="195">
        <f t="shared" si="19"/>
        <v>-3.5984848484848508E-2</v>
      </c>
      <c r="Y168" s="196" t="s">
        <v>265</v>
      </c>
      <c r="Z168" s="200">
        <v>4430.75</v>
      </c>
      <c r="AA168" s="195">
        <f t="shared" si="20"/>
        <v>-1.7789847040567519E-2</v>
      </c>
    </row>
    <row r="169" spans="1:27" x14ac:dyDescent="0.25">
      <c r="A169" s="196">
        <v>44714</v>
      </c>
      <c r="B169" s="194">
        <v>140.18</v>
      </c>
      <c r="C169" s="195">
        <f t="shared" si="14"/>
        <v>-3.583465162665922E-2</v>
      </c>
      <c r="E169" s="196">
        <v>44714</v>
      </c>
      <c r="F169" s="194">
        <v>261.75</v>
      </c>
      <c r="G169" s="195">
        <f t="shared" si="15"/>
        <v>-5.5565578206747124E-2</v>
      </c>
      <c r="I169" s="196" t="s">
        <v>267</v>
      </c>
      <c r="J169">
        <v>47.24</v>
      </c>
      <c r="K169" s="195">
        <f t="shared" si="16"/>
        <v>6.3245554805311688E-2</v>
      </c>
      <c r="M169" s="196" t="s">
        <v>267</v>
      </c>
      <c r="N169">
        <v>50.69</v>
      </c>
      <c r="O169" s="195">
        <f t="shared" si="17"/>
        <v>1.1850681414180553E-3</v>
      </c>
      <c r="Q169" s="198">
        <v>44714</v>
      </c>
      <c r="R169">
        <v>98.2</v>
      </c>
      <c r="S169" s="195">
        <f t="shared" si="18"/>
        <v>-1.5440144375375886E-2</v>
      </c>
      <c r="U169" s="196">
        <v>44714</v>
      </c>
      <c r="V169" s="194">
        <v>5.28</v>
      </c>
      <c r="W169" s="195">
        <f t="shared" si="19"/>
        <v>-4.1742286751361046E-2</v>
      </c>
      <c r="Y169" s="196">
        <v>44714</v>
      </c>
      <c r="Z169" s="200">
        <v>4511</v>
      </c>
      <c r="AA169" s="195">
        <f t="shared" si="20"/>
        <v>-1.447375607624668E-2</v>
      </c>
    </row>
    <row r="170" spans="1:27" x14ac:dyDescent="0.25">
      <c r="A170" s="196" t="s">
        <v>266</v>
      </c>
      <c r="B170" s="194">
        <v>145.38999999999999</v>
      </c>
      <c r="C170" s="195">
        <f t="shared" si="14"/>
        <v>-3.5638407237338354E-3</v>
      </c>
      <c r="E170" s="196" t="s">
        <v>266</v>
      </c>
      <c r="F170" s="194">
        <v>277.14999999999998</v>
      </c>
      <c r="G170" s="195">
        <f t="shared" si="15"/>
        <v>3.6849981294425627E-2</v>
      </c>
      <c r="I170" s="196" t="s">
        <v>268</v>
      </c>
      <c r="J170">
        <v>44.43</v>
      </c>
      <c r="K170" s="195">
        <f t="shared" si="16"/>
        <v>7.5266214908034756E-2</v>
      </c>
      <c r="M170" s="196" t="s">
        <v>268</v>
      </c>
      <c r="N170">
        <v>50.63</v>
      </c>
      <c r="O170" s="195">
        <f t="shared" si="17"/>
        <v>-4.1306058221872721E-3</v>
      </c>
      <c r="Q170" s="197" t="s">
        <v>266</v>
      </c>
      <c r="R170">
        <v>99.74</v>
      </c>
      <c r="S170" s="195">
        <f t="shared" si="18"/>
        <v>3.3468034400580216E-2</v>
      </c>
      <c r="U170" s="196" t="s">
        <v>266</v>
      </c>
      <c r="V170" s="194">
        <v>5.51</v>
      </c>
      <c r="W170" s="195">
        <f t="shared" si="19"/>
        <v>0.2217294900221729</v>
      </c>
      <c r="Y170" s="196" t="s">
        <v>266</v>
      </c>
      <c r="Z170" s="200">
        <v>4577.25</v>
      </c>
      <c r="AA170" s="195">
        <f t="shared" si="20"/>
        <v>2.1593572145965911E-2</v>
      </c>
    </row>
    <row r="171" spans="1:27" x14ac:dyDescent="0.25">
      <c r="A171" s="196" t="s">
        <v>267</v>
      </c>
      <c r="B171" s="194">
        <v>145.91</v>
      </c>
      <c r="C171" s="195">
        <f t="shared" si="14"/>
        <v>2.0706540748513413E-2</v>
      </c>
      <c r="E171" s="196" t="s">
        <v>267</v>
      </c>
      <c r="F171" s="194">
        <v>267.3</v>
      </c>
      <c r="G171" s="195">
        <f t="shared" si="15"/>
        <v>-6.5874541324480007E-2</v>
      </c>
      <c r="I171" s="196">
        <v>44805</v>
      </c>
      <c r="J171">
        <v>41.32</v>
      </c>
      <c r="K171" s="195">
        <f t="shared" si="16"/>
        <v>3.1561058509348427E-3</v>
      </c>
      <c r="M171" s="196">
        <v>44805</v>
      </c>
      <c r="N171">
        <v>50.84</v>
      </c>
      <c r="O171" s="195">
        <f t="shared" si="17"/>
        <v>-2.1366698748796931E-2</v>
      </c>
      <c r="Q171" s="197" t="s">
        <v>267</v>
      </c>
      <c r="R171">
        <v>96.51</v>
      </c>
      <c r="S171" s="195">
        <f t="shared" si="18"/>
        <v>-5.5120422948893633E-2</v>
      </c>
      <c r="U171" s="196" t="s">
        <v>267</v>
      </c>
      <c r="V171" s="194">
        <v>4.51</v>
      </c>
      <c r="W171" s="195">
        <f t="shared" si="19"/>
        <v>-5.8455114822547061E-2</v>
      </c>
      <c r="Y171" s="196" t="s">
        <v>267</v>
      </c>
      <c r="Z171" s="200">
        <v>4480.5</v>
      </c>
      <c r="AA171" s="195">
        <f t="shared" si="20"/>
        <v>6.967074952241914E-3</v>
      </c>
    </row>
    <row r="172" spans="1:27" x14ac:dyDescent="0.25">
      <c r="A172" s="196" t="s">
        <v>268</v>
      </c>
      <c r="B172" s="194">
        <v>142.94999999999999</v>
      </c>
      <c r="C172" s="195">
        <f t="shared" si="14"/>
        <v>-3.5294911594007439E-2</v>
      </c>
      <c r="E172" s="196" t="s">
        <v>268</v>
      </c>
      <c r="F172" s="194">
        <v>286.14999999999998</v>
      </c>
      <c r="G172" s="195">
        <f t="shared" si="15"/>
        <v>-1.7470300489175195E-4</v>
      </c>
      <c r="I172" s="196">
        <v>44593</v>
      </c>
      <c r="J172">
        <v>41.19</v>
      </c>
      <c r="K172" s="195">
        <f t="shared" si="16"/>
        <v>-5.5924822369929017E-2</v>
      </c>
      <c r="M172" s="196">
        <v>44593</v>
      </c>
      <c r="N172">
        <v>51.95</v>
      </c>
      <c r="O172" s="195">
        <f t="shared" si="17"/>
        <v>-3.7428200852325344E-2</v>
      </c>
      <c r="Q172" s="197" t="s">
        <v>268</v>
      </c>
      <c r="R172">
        <v>102.14</v>
      </c>
      <c r="S172" s="195">
        <f t="shared" si="18"/>
        <v>-0.16647625265219523</v>
      </c>
      <c r="U172" s="196" t="s">
        <v>268</v>
      </c>
      <c r="V172" s="194">
        <v>4.79</v>
      </c>
      <c r="W172" s="195">
        <f t="shared" si="19"/>
        <v>-8.0614203454894451E-2</v>
      </c>
      <c r="Y172" s="196" t="s">
        <v>268</v>
      </c>
      <c r="Z172" s="200">
        <v>4449.5</v>
      </c>
      <c r="AA172" s="195">
        <f t="shared" si="20"/>
        <v>-5.6809750927398039E-2</v>
      </c>
    </row>
    <row r="173" spans="1:27" x14ac:dyDescent="0.25">
      <c r="A173" s="196">
        <v>44805</v>
      </c>
      <c r="B173" s="194">
        <v>148.18</v>
      </c>
      <c r="C173" s="195">
        <f t="shared" si="14"/>
        <v>-5.59979613938969E-2</v>
      </c>
      <c r="E173" s="196">
        <v>44805</v>
      </c>
      <c r="F173" s="194">
        <v>286.2</v>
      </c>
      <c r="G173" s="195">
        <f t="shared" si="15"/>
        <v>-6.2500000000000888E-3</v>
      </c>
      <c r="I173" s="196" t="s">
        <v>298</v>
      </c>
      <c r="J173">
        <v>43.63</v>
      </c>
      <c r="K173" s="195">
        <f t="shared" si="16"/>
        <v>-5.2345786272806172E-2</v>
      </c>
      <c r="M173" s="196" t="s">
        <v>298</v>
      </c>
      <c r="N173">
        <v>53.97</v>
      </c>
      <c r="O173" s="195">
        <f t="shared" si="17"/>
        <v>-4.2236024844720554E-2</v>
      </c>
      <c r="Q173" s="198">
        <v>44805</v>
      </c>
      <c r="R173">
        <v>122.54</v>
      </c>
      <c r="S173" s="195">
        <f t="shared" si="18"/>
        <v>-2.5139220365950621E-2</v>
      </c>
      <c r="U173" s="196">
        <v>44805</v>
      </c>
      <c r="V173" s="194">
        <v>5.21</v>
      </c>
      <c r="W173" s="195">
        <f t="shared" si="19"/>
        <v>-4.5787545787545736E-2</v>
      </c>
      <c r="Y173" s="196">
        <v>44805</v>
      </c>
      <c r="Z173" s="200">
        <v>4717.5</v>
      </c>
      <c r="AA173" s="195">
        <f t="shared" si="20"/>
        <v>-1.1116404637129262E-3</v>
      </c>
    </row>
    <row r="174" spans="1:27" x14ac:dyDescent="0.25">
      <c r="A174" s="196">
        <v>44593</v>
      </c>
      <c r="B174" s="194">
        <v>156.97</v>
      </c>
      <c r="C174" s="195">
        <f t="shared" si="14"/>
        <v>-5.8198836023279465E-2</v>
      </c>
      <c r="E174" s="196">
        <v>44593</v>
      </c>
      <c r="F174" s="194">
        <v>288</v>
      </c>
      <c r="G174" s="195">
        <f t="shared" si="15"/>
        <v>-6.0739922694643678E-3</v>
      </c>
      <c r="I174" s="196" t="s">
        <v>297</v>
      </c>
      <c r="J174">
        <v>46.04</v>
      </c>
      <c r="K174" s="195">
        <f t="shared" si="16"/>
        <v>6.0829493087557696E-2</v>
      </c>
      <c r="M174" s="196" t="s">
        <v>297</v>
      </c>
      <c r="N174">
        <v>56.35</v>
      </c>
      <c r="O174" s="195">
        <f t="shared" si="17"/>
        <v>-7.6986076986076957E-2</v>
      </c>
      <c r="Q174" s="198">
        <v>44593</v>
      </c>
      <c r="R174">
        <v>125.7</v>
      </c>
      <c r="S174" s="195">
        <f t="shared" si="18"/>
        <v>-1.9653720168460453E-2</v>
      </c>
      <c r="U174" s="196">
        <v>44593</v>
      </c>
      <c r="V174" s="194">
        <v>5.46</v>
      </c>
      <c r="W174" s="195">
        <f t="shared" si="19"/>
        <v>1.1111111111111072E-2</v>
      </c>
      <c r="Y174" s="196">
        <v>44593</v>
      </c>
      <c r="Z174" s="200">
        <v>4722.75</v>
      </c>
      <c r="AA174" s="195">
        <f t="shared" si="20"/>
        <v>-1.424546023794615E-2</v>
      </c>
    </row>
    <row r="175" spans="1:27" x14ac:dyDescent="0.25">
      <c r="A175" s="196" t="s">
        <v>298</v>
      </c>
      <c r="B175" s="194">
        <v>166.67</v>
      </c>
      <c r="C175" s="195">
        <f t="shared" si="14"/>
        <v>6.0360958532021947E-3</v>
      </c>
      <c r="E175" s="196" t="s">
        <v>298</v>
      </c>
      <c r="F175" s="194">
        <v>289.76</v>
      </c>
      <c r="G175" s="195">
        <f t="shared" si="15"/>
        <v>-1.1395428181508072E-2</v>
      </c>
      <c r="I175" s="196">
        <v>44542</v>
      </c>
      <c r="J175">
        <v>43.4</v>
      </c>
      <c r="K175" s="195">
        <f t="shared" si="16"/>
        <v>2.6732907499408487E-2</v>
      </c>
      <c r="M175" s="196">
        <v>44542</v>
      </c>
      <c r="N175">
        <v>61.05</v>
      </c>
      <c r="O175" s="195">
        <f t="shared" si="17"/>
        <v>2.7431841130932222E-2</v>
      </c>
      <c r="Q175" s="197" t="s">
        <v>298</v>
      </c>
      <c r="R175">
        <v>128.22</v>
      </c>
      <c r="S175" s="195">
        <f t="shared" si="18"/>
        <v>3.7966485873876854E-2</v>
      </c>
      <c r="U175" s="196" t="s">
        <v>298</v>
      </c>
      <c r="V175" s="194">
        <v>5.4</v>
      </c>
      <c r="W175" s="195">
        <f t="shared" si="19"/>
        <v>-8.1632653061224358E-2</v>
      </c>
      <c r="Y175" s="196" t="s">
        <v>298</v>
      </c>
      <c r="Z175" s="200">
        <v>4791</v>
      </c>
      <c r="AA175" s="195">
        <f t="shared" si="20"/>
        <v>8.5254183770129277E-3</v>
      </c>
    </row>
    <row r="176" spans="1:27" x14ac:dyDescent="0.25">
      <c r="A176" s="196" t="s">
        <v>297</v>
      </c>
      <c r="B176" s="194">
        <v>165.67</v>
      </c>
      <c r="C176" s="195">
        <f t="shared" si="14"/>
        <v>2.6710461080812875E-2</v>
      </c>
      <c r="E176" s="196" t="s">
        <v>297</v>
      </c>
      <c r="F176" s="194">
        <v>293.10000000000002</v>
      </c>
      <c r="G176" s="195">
        <f t="shared" si="15"/>
        <v>4.3060498220640619E-2</v>
      </c>
      <c r="I176" s="196">
        <v>44328</v>
      </c>
      <c r="J176">
        <v>42.27</v>
      </c>
      <c r="K176" s="195">
        <f t="shared" si="16"/>
        <v>1.3912209162868949E-2</v>
      </c>
      <c r="M176" s="196">
        <v>44328</v>
      </c>
      <c r="N176">
        <v>59.42</v>
      </c>
      <c r="O176" s="195">
        <f t="shared" si="17"/>
        <v>1.1794439764112319E-3</v>
      </c>
      <c r="Q176" s="197" t="s">
        <v>297</v>
      </c>
      <c r="R176">
        <v>123.53</v>
      </c>
      <c r="S176" s="195">
        <f t="shared" si="18"/>
        <v>-9.2491918895092562E-2</v>
      </c>
      <c r="U176" s="196" t="s">
        <v>297</v>
      </c>
      <c r="V176" s="194">
        <v>5.88</v>
      </c>
      <c r="W176" s="195">
        <f t="shared" si="19"/>
        <v>-1.176470588235301E-2</v>
      </c>
      <c r="Y176" s="196" t="s">
        <v>297</v>
      </c>
      <c r="Z176" s="200">
        <v>4750.5</v>
      </c>
      <c r="AA176" s="195">
        <f t="shared" si="20"/>
        <v>2.4863815328191485E-2</v>
      </c>
    </row>
    <row r="177" spans="1:27" x14ac:dyDescent="0.25">
      <c r="A177" s="196">
        <v>44542</v>
      </c>
      <c r="B177" s="194">
        <v>161.36000000000001</v>
      </c>
      <c r="C177" s="195">
        <f t="shared" si="14"/>
        <v>-4.5545960014196085E-2</v>
      </c>
      <c r="E177" s="196">
        <v>44542</v>
      </c>
      <c r="F177" s="194">
        <v>281</v>
      </c>
      <c r="G177" s="195">
        <f t="shared" si="15"/>
        <v>-1.4035087719298289E-2</v>
      </c>
      <c r="I177" s="196" t="s">
        <v>296</v>
      </c>
      <c r="J177">
        <v>41.69</v>
      </c>
      <c r="K177" s="195">
        <f t="shared" si="16"/>
        <v>-8.0705622932745413E-2</v>
      </c>
      <c r="M177" s="196" t="s">
        <v>296</v>
      </c>
      <c r="N177">
        <v>59.35</v>
      </c>
      <c r="O177" s="195">
        <f t="shared" si="17"/>
        <v>-8.6501462213329217E-2</v>
      </c>
      <c r="Q177" s="198">
        <v>44542</v>
      </c>
      <c r="R177">
        <v>136.12</v>
      </c>
      <c r="S177" s="195">
        <f t="shared" si="18"/>
        <v>-0.14228103339634524</v>
      </c>
      <c r="U177" s="196">
        <v>44542</v>
      </c>
      <c r="V177" s="194">
        <v>5.95</v>
      </c>
      <c r="W177" s="195">
        <f t="shared" si="19"/>
        <v>1.3628620102214661E-2</v>
      </c>
      <c r="Y177" s="196">
        <v>44542</v>
      </c>
      <c r="Z177" s="200">
        <v>4635.25</v>
      </c>
      <c r="AA177" s="195">
        <f t="shared" si="20"/>
        <v>-2.1273226351351315E-2</v>
      </c>
    </row>
    <row r="178" spans="1:27" x14ac:dyDescent="0.25">
      <c r="A178" s="196">
        <v>44328</v>
      </c>
      <c r="B178" s="194">
        <v>169.06</v>
      </c>
      <c r="C178" s="195">
        <f t="shared" si="14"/>
        <v>-6.9313909774436633E-3</v>
      </c>
      <c r="E178" s="196">
        <v>44328</v>
      </c>
      <c r="F178" s="194">
        <v>285</v>
      </c>
      <c r="G178" s="195">
        <f t="shared" si="15"/>
        <v>-2.519949601008098E-3</v>
      </c>
      <c r="I178" s="196" t="s">
        <v>295</v>
      </c>
      <c r="J178">
        <v>45.35</v>
      </c>
      <c r="K178" s="195">
        <f t="shared" si="16"/>
        <v>3.4207525655644222E-2</v>
      </c>
      <c r="M178" s="196" t="s">
        <v>295</v>
      </c>
      <c r="N178">
        <v>64.97</v>
      </c>
      <c r="O178" s="195">
        <f t="shared" si="17"/>
        <v>-7.6899415564435358E-4</v>
      </c>
      <c r="Q178" s="198">
        <v>44328</v>
      </c>
      <c r="R178">
        <v>158.69999999999999</v>
      </c>
      <c r="S178" s="195">
        <f t="shared" si="18"/>
        <v>-2.2662889518413665E-2</v>
      </c>
      <c r="U178" s="196">
        <v>44328</v>
      </c>
      <c r="V178" s="194">
        <v>5.87</v>
      </c>
      <c r="W178" s="195">
        <f t="shared" si="19"/>
        <v>-9.5531587057010814E-2</v>
      </c>
      <c r="Y178" s="196">
        <v>44328</v>
      </c>
      <c r="Z178" s="200">
        <v>4736</v>
      </c>
      <c r="AA178" s="195">
        <f t="shared" si="20"/>
        <v>4.2138849158323222E-2</v>
      </c>
    </row>
    <row r="179" spans="1:27" x14ac:dyDescent="0.25">
      <c r="A179" s="196" t="s">
        <v>296</v>
      </c>
      <c r="B179" s="194">
        <v>170.24</v>
      </c>
      <c r="C179" s="195">
        <f t="shared" si="14"/>
        <v>1.321271277228897E-2</v>
      </c>
      <c r="E179" s="196" t="s">
        <v>296</v>
      </c>
      <c r="F179" s="194">
        <v>285.72000000000003</v>
      </c>
      <c r="G179" s="195">
        <f t="shared" si="15"/>
        <v>-7.2272411396803182E-3</v>
      </c>
      <c r="I179" s="196" t="s">
        <v>294</v>
      </c>
      <c r="J179">
        <v>43.85</v>
      </c>
      <c r="K179" s="195">
        <f t="shared" si="16"/>
        <v>-4.6739130434782616E-2</v>
      </c>
      <c r="M179" s="196" t="s">
        <v>294</v>
      </c>
      <c r="N179">
        <v>65.02</v>
      </c>
      <c r="O179" s="195">
        <f t="shared" si="17"/>
        <v>-5.8908669850919249E-2</v>
      </c>
      <c r="Q179" s="197" t="s">
        <v>296</v>
      </c>
      <c r="R179">
        <v>162.38</v>
      </c>
      <c r="S179" s="195">
        <f t="shared" si="18"/>
        <v>-3.3682456557962426E-2</v>
      </c>
      <c r="U179" s="196" t="s">
        <v>296</v>
      </c>
      <c r="V179" s="194">
        <v>6.49</v>
      </c>
      <c r="W179" s="195">
        <f t="shared" si="19"/>
        <v>-1.963746223564955E-2</v>
      </c>
      <c r="Y179" s="196" t="s">
        <v>296</v>
      </c>
      <c r="Z179" s="200">
        <v>4544.5</v>
      </c>
      <c r="AA179" s="195">
        <f t="shared" si="20"/>
        <v>-1.3833884880377623E-2</v>
      </c>
    </row>
    <row r="180" spans="1:27" x14ac:dyDescent="0.25">
      <c r="A180" s="196" t="s">
        <v>295</v>
      </c>
      <c r="B180" s="194">
        <v>168.02</v>
      </c>
      <c r="C180" s="195">
        <f t="shared" si="14"/>
        <v>-3.9226898444647662E-2</v>
      </c>
      <c r="E180" s="196" t="s">
        <v>295</v>
      </c>
      <c r="F180" s="194">
        <v>287.8</v>
      </c>
      <c r="G180" s="195">
        <f t="shared" si="15"/>
        <v>-9.1253552257656967E-2</v>
      </c>
      <c r="I180" s="196">
        <v>44388</v>
      </c>
      <c r="J180">
        <v>46</v>
      </c>
      <c r="K180" s="195">
        <f t="shared" si="16"/>
        <v>-3.7455534630675857E-2</v>
      </c>
      <c r="M180" s="196">
        <v>44388</v>
      </c>
      <c r="N180">
        <v>69.09</v>
      </c>
      <c r="O180" s="195">
        <f t="shared" si="17"/>
        <v>-4.598177299088646E-2</v>
      </c>
      <c r="Q180" s="197" t="s">
        <v>295</v>
      </c>
      <c r="R180">
        <v>168.04</v>
      </c>
      <c r="S180" s="195">
        <f t="shared" si="18"/>
        <v>-4.2507122507122519E-2</v>
      </c>
      <c r="U180" s="196" t="s">
        <v>295</v>
      </c>
      <c r="V180" s="194">
        <v>6.62</v>
      </c>
      <c r="W180" s="195">
        <f t="shared" si="19"/>
        <v>4.2519685039370092E-2</v>
      </c>
      <c r="Y180" s="196" t="s">
        <v>295</v>
      </c>
      <c r="Z180" s="200">
        <v>4608.25</v>
      </c>
      <c r="AA180" s="195">
        <f t="shared" si="20"/>
        <v>-1.9208257954666408E-2</v>
      </c>
    </row>
    <row r="181" spans="1:27" x14ac:dyDescent="0.25">
      <c r="A181" s="196" t="s">
        <v>294</v>
      </c>
      <c r="B181" s="194">
        <v>174.88</v>
      </c>
      <c r="C181" s="195">
        <f t="shared" si="14"/>
        <v>3.4242119581288089E-2</v>
      </c>
      <c r="E181" s="196" t="s">
        <v>294</v>
      </c>
      <c r="F181" s="194">
        <v>316.7</v>
      </c>
      <c r="G181" s="195">
        <f t="shared" si="15"/>
        <v>-4.714016341923366E-3</v>
      </c>
      <c r="I181" s="196" t="s">
        <v>293</v>
      </c>
      <c r="J181">
        <v>47.79</v>
      </c>
      <c r="K181" s="195">
        <f t="shared" si="16"/>
        <v>2.0968756552737222E-3</v>
      </c>
      <c r="M181" s="196" t="s">
        <v>293</v>
      </c>
      <c r="N181">
        <v>72.42</v>
      </c>
      <c r="O181" s="195">
        <f t="shared" si="17"/>
        <v>1.6706443914081159E-2</v>
      </c>
      <c r="Q181" s="197" t="s">
        <v>294</v>
      </c>
      <c r="R181">
        <v>175.5</v>
      </c>
      <c r="S181" s="195">
        <f t="shared" si="18"/>
        <v>-2.8077753779697567E-2</v>
      </c>
      <c r="U181" s="196" t="s">
        <v>294</v>
      </c>
      <c r="V181" s="194">
        <v>6.35</v>
      </c>
      <c r="W181" s="195">
        <f t="shared" si="19"/>
        <v>-3.1397174254317317E-3</v>
      </c>
      <c r="Y181" s="196" t="s">
        <v>294</v>
      </c>
      <c r="Z181" s="200">
        <v>4698.5</v>
      </c>
      <c r="AA181" s="195">
        <f t="shared" si="20"/>
        <v>7.2890985100224626E-3</v>
      </c>
    </row>
    <row r="182" spans="1:27" x14ac:dyDescent="0.25">
      <c r="A182" s="196">
        <v>44388</v>
      </c>
      <c r="B182" s="194">
        <v>169.09</v>
      </c>
      <c r="C182" s="195">
        <f t="shared" si="14"/>
        <v>-4.7433947383245911E-2</v>
      </c>
      <c r="E182" s="196">
        <v>44388</v>
      </c>
      <c r="F182" s="194">
        <v>318.2</v>
      </c>
      <c r="G182" s="195">
        <f t="shared" si="15"/>
        <v>-8.1514836623946429E-2</v>
      </c>
      <c r="I182" s="196" t="s">
        <v>292</v>
      </c>
      <c r="J182">
        <v>47.69</v>
      </c>
      <c r="K182" s="195">
        <f t="shared" si="16"/>
        <v>-6.4583333333333437E-3</v>
      </c>
      <c r="M182" s="196" t="s">
        <v>292</v>
      </c>
      <c r="N182">
        <v>71.23</v>
      </c>
      <c r="O182" s="195">
        <f t="shared" si="17"/>
        <v>9.3524160408107182E-3</v>
      </c>
      <c r="Q182" s="198">
        <v>44388</v>
      </c>
      <c r="R182">
        <v>180.57</v>
      </c>
      <c r="S182" s="195">
        <f t="shared" si="18"/>
        <v>2.2201254370872725E-3</v>
      </c>
      <c r="U182" s="196">
        <v>44388</v>
      </c>
      <c r="V182" s="194">
        <v>6.37</v>
      </c>
      <c r="W182" s="195">
        <f t="shared" si="19"/>
        <v>-4.4977511244377766E-2</v>
      </c>
      <c r="Y182" s="196">
        <v>44388</v>
      </c>
      <c r="Z182" s="200">
        <v>4664.5</v>
      </c>
      <c r="AA182" s="195">
        <f t="shared" si="20"/>
        <v>-2.4593669803251172E-3</v>
      </c>
    </row>
    <row r="183" spans="1:27" x14ac:dyDescent="0.25">
      <c r="A183" s="196" t="s">
        <v>293</v>
      </c>
      <c r="B183" s="194">
        <v>177.51</v>
      </c>
      <c r="C183" s="195">
        <f t="shared" si="14"/>
        <v>6.109151772371324E-2</v>
      </c>
      <c r="E183" s="196" t="s">
        <v>293</v>
      </c>
      <c r="F183" s="194">
        <v>346.44</v>
      </c>
      <c r="G183" s="195">
        <f t="shared" si="15"/>
        <v>5.4611872146118623E-2</v>
      </c>
      <c r="I183" s="196" t="s">
        <v>291</v>
      </c>
      <c r="J183">
        <v>48</v>
      </c>
      <c r="K183" s="195">
        <f t="shared" si="16"/>
        <v>3.8736204284786746E-2</v>
      </c>
      <c r="M183" s="196" t="s">
        <v>291</v>
      </c>
      <c r="N183">
        <v>70.569999999999993</v>
      </c>
      <c r="O183" s="195">
        <f t="shared" si="17"/>
        <v>7.1027470025800454E-2</v>
      </c>
      <c r="Q183" s="197" t="s">
        <v>293</v>
      </c>
      <c r="R183">
        <v>180.17</v>
      </c>
      <c r="S183" s="195">
        <f t="shared" si="18"/>
        <v>0.11594921028182092</v>
      </c>
      <c r="U183" s="196" t="s">
        <v>293</v>
      </c>
      <c r="V183" s="194">
        <v>6.67</v>
      </c>
      <c r="W183" s="195">
        <f t="shared" si="19"/>
        <v>0.10613598673300162</v>
      </c>
      <c r="Y183" s="196" t="s">
        <v>293</v>
      </c>
      <c r="Z183" s="200">
        <v>4676</v>
      </c>
      <c r="AA183" s="195">
        <f t="shared" si="20"/>
        <v>1.9902939091553495E-2</v>
      </c>
    </row>
    <row r="184" spans="1:27" x14ac:dyDescent="0.25">
      <c r="A184" s="196" t="s">
        <v>292</v>
      </c>
      <c r="B184" s="194">
        <v>167.29</v>
      </c>
      <c r="C184" s="195">
        <f t="shared" si="14"/>
        <v>2.330560313188168E-2</v>
      </c>
      <c r="E184" s="196" t="s">
        <v>292</v>
      </c>
      <c r="F184" s="194">
        <v>328.5</v>
      </c>
      <c r="G184" s="195">
        <f t="shared" si="15"/>
        <v>1.2638717632552421E-2</v>
      </c>
      <c r="I184" s="196">
        <v>44479</v>
      </c>
      <c r="J184">
        <v>46.21</v>
      </c>
      <c r="K184" s="195">
        <f t="shared" si="16"/>
        <v>9.3927479248581136E-3</v>
      </c>
      <c r="M184" s="196">
        <v>44479</v>
      </c>
      <c r="N184">
        <v>65.89</v>
      </c>
      <c r="O184" s="195">
        <f t="shared" si="17"/>
        <v>4.2893320671098412E-2</v>
      </c>
      <c r="Q184" s="197" t="s">
        <v>292</v>
      </c>
      <c r="R184">
        <v>161.44999999999999</v>
      </c>
      <c r="S184" s="195">
        <f t="shared" si="18"/>
        <v>7.8058226495726579E-2</v>
      </c>
      <c r="U184" s="196" t="s">
        <v>292</v>
      </c>
      <c r="V184" s="194">
        <v>6.03</v>
      </c>
      <c r="W184" s="195">
        <f t="shared" si="19"/>
        <v>-3.5200000000000009E-2</v>
      </c>
      <c r="Y184" s="196" t="s">
        <v>292</v>
      </c>
      <c r="Z184" s="200">
        <v>4584.75</v>
      </c>
      <c r="AA184" s="195">
        <f t="shared" si="20"/>
        <v>1.3428381962864666E-2</v>
      </c>
    </row>
    <row r="185" spans="1:27" x14ac:dyDescent="0.25">
      <c r="A185" s="196" t="s">
        <v>291</v>
      </c>
      <c r="B185" s="194">
        <v>163.47999999999999</v>
      </c>
      <c r="C185" s="195">
        <f t="shared" si="14"/>
        <v>3.4618062147965256E-2</v>
      </c>
      <c r="E185" s="196" t="s">
        <v>291</v>
      </c>
      <c r="F185" s="194">
        <v>324.39999999999998</v>
      </c>
      <c r="G185" s="195">
        <f t="shared" si="15"/>
        <v>1.1694994542335913E-2</v>
      </c>
      <c r="I185" s="196">
        <v>44265</v>
      </c>
      <c r="J185">
        <v>45.78</v>
      </c>
      <c r="K185" s="195">
        <f t="shared" si="16"/>
        <v>2.6227303295225379E-2</v>
      </c>
      <c r="M185" s="196">
        <v>44265</v>
      </c>
      <c r="N185">
        <v>63.18</v>
      </c>
      <c r="O185" s="195">
        <f t="shared" si="17"/>
        <v>5.8114218723831934E-2</v>
      </c>
      <c r="Q185" s="197" t="s">
        <v>291</v>
      </c>
      <c r="R185">
        <v>149.76</v>
      </c>
      <c r="S185" s="195">
        <f t="shared" si="18"/>
        <v>9.162475399081571E-2</v>
      </c>
      <c r="U185" s="196" t="s">
        <v>291</v>
      </c>
      <c r="V185" s="194">
        <v>6.25</v>
      </c>
      <c r="W185" s="195">
        <f t="shared" si="19"/>
        <v>1.6260162601625883E-2</v>
      </c>
      <c r="Y185" s="196" t="s">
        <v>291</v>
      </c>
      <c r="Z185" s="200">
        <v>4524</v>
      </c>
      <c r="AA185" s="195">
        <f t="shared" si="20"/>
        <v>2.0470309592285574E-2</v>
      </c>
    </row>
    <row r="186" spans="1:27" x14ac:dyDescent="0.25">
      <c r="A186" s="196">
        <v>44479</v>
      </c>
      <c r="B186" s="194">
        <v>158.01</v>
      </c>
      <c r="C186" s="195">
        <f t="shared" si="14"/>
        <v>3.6267051416579266E-2</v>
      </c>
      <c r="E186" s="196">
        <v>44479</v>
      </c>
      <c r="F186" s="194">
        <v>320.64999999999998</v>
      </c>
      <c r="G186" s="195">
        <f t="shared" si="15"/>
        <v>4.5654655144301337E-2</v>
      </c>
      <c r="I186" s="196" t="s">
        <v>290</v>
      </c>
      <c r="J186">
        <v>44.61</v>
      </c>
      <c r="K186" s="195">
        <f t="shared" si="16"/>
        <v>6.2902072909220896E-2</v>
      </c>
      <c r="M186" s="196" t="s">
        <v>290</v>
      </c>
      <c r="N186">
        <v>59.71</v>
      </c>
      <c r="O186" s="195">
        <f t="shared" si="17"/>
        <v>-4.3355010838752595E-3</v>
      </c>
      <c r="Q186" s="198">
        <v>44479</v>
      </c>
      <c r="R186">
        <v>137.19</v>
      </c>
      <c r="S186" s="195">
        <f t="shared" si="18"/>
        <v>5.2070552147239102E-2</v>
      </c>
      <c r="U186" s="196">
        <v>44479</v>
      </c>
      <c r="V186" s="194">
        <v>6.15</v>
      </c>
      <c r="W186" s="195">
        <f t="shared" si="19"/>
        <v>0.12226277372262762</v>
      </c>
      <c r="Y186" s="196">
        <v>44479</v>
      </c>
      <c r="Z186" s="200">
        <v>4433.25</v>
      </c>
      <c r="AA186" s="195">
        <f t="shared" si="20"/>
        <v>2.2900323027226666E-2</v>
      </c>
    </row>
    <row r="187" spans="1:27" x14ac:dyDescent="0.25">
      <c r="A187" s="196">
        <v>44265</v>
      </c>
      <c r="B187" s="194">
        <v>152.47999999999999</v>
      </c>
      <c r="C187" s="195">
        <f t="shared" si="14"/>
        <v>3.6855705154358764E-2</v>
      </c>
      <c r="E187" s="196">
        <v>44265</v>
      </c>
      <c r="F187" s="194">
        <v>306.64999999999998</v>
      </c>
      <c r="G187" s="195">
        <f t="shared" si="15"/>
        <v>-1.7147435897435948E-2</v>
      </c>
      <c r="I187" s="196" t="s">
        <v>289</v>
      </c>
      <c r="J187">
        <v>41.97</v>
      </c>
      <c r="K187" s="195">
        <f t="shared" si="16"/>
        <v>-1.2238173687926679E-2</v>
      </c>
      <c r="M187" s="196" t="s">
        <v>289</v>
      </c>
      <c r="N187">
        <v>59.97</v>
      </c>
      <c r="O187" s="195">
        <f t="shared" si="17"/>
        <v>-1.5432605483500228E-2</v>
      </c>
      <c r="Q187" s="198">
        <v>44265</v>
      </c>
      <c r="R187">
        <v>130.4</v>
      </c>
      <c r="S187" s="195">
        <f t="shared" si="18"/>
        <v>-7.6029192942676849E-2</v>
      </c>
      <c r="U187" s="196">
        <v>44265</v>
      </c>
      <c r="V187" s="194">
        <v>5.48</v>
      </c>
      <c r="W187" s="195">
        <f t="shared" si="19"/>
        <v>-5.4446460980035472E-3</v>
      </c>
      <c r="Y187" s="196">
        <v>44265</v>
      </c>
      <c r="Z187" s="200">
        <v>4334</v>
      </c>
      <c r="AA187" s="195">
        <f t="shared" si="20"/>
        <v>8.9041494500379237E-3</v>
      </c>
    </row>
    <row r="188" spans="1:27" x14ac:dyDescent="0.25">
      <c r="A188" s="196" t="s">
        <v>290</v>
      </c>
      <c r="B188" s="194">
        <v>147.06</v>
      </c>
      <c r="C188" s="195">
        <f t="shared" si="14"/>
        <v>-1.6912895247008453E-2</v>
      </c>
      <c r="E188" s="196" t="s">
        <v>290</v>
      </c>
      <c r="F188" s="194">
        <v>312</v>
      </c>
      <c r="G188" s="195">
        <f t="shared" si="15"/>
        <v>-5.5575735561205986E-2</v>
      </c>
      <c r="I188" s="196">
        <v>44539</v>
      </c>
      <c r="J188">
        <v>42.49</v>
      </c>
      <c r="K188" s="195">
        <f t="shared" si="16"/>
        <v>-4.3233505967124386E-2</v>
      </c>
      <c r="M188" s="196">
        <v>44539</v>
      </c>
      <c r="N188">
        <v>60.91</v>
      </c>
      <c r="O188" s="195">
        <f t="shared" si="17"/>
        <v>-5.9885784843340173E-2</v>
      </c>
      <c r="Q188" s="197" t="s">
        <v>290</v>
      </c>
      <c r="R188">
        <v>141.13</v>
      </c>
      <c r="S188" s="195">
        <f t="shared" si="18"/>
        <v>-9.705694177863089E-2</v>
      </c>
      <c r="U188" s="196" t="s">
        <v>290</v>
      </c>
      <c r="V188" s="194">
        <v>5.51</v>
      </c>
      <c r="W188" s="195">
        <f t="shared" si="19"/>
        <v>-9.8199672667757865E-2</v>
      </c>
      <c r="Y188" s="196" t="s">
        <v>290</v>
      </c>
      <c r="Z188" s="200">
        <v>4295.75</v>
      </c>
      <c r="AA188" s="195">
        <f t="shared" si="20"/>
        <v>-2.2971513049411474E-2</v>
      </c>
    </row>
    <row r="189" spans="1:27" x14ac:dyDescent="0.25">
      <c r="A189" s="196" t="s">
        <v>289</v>
      </c>
      <c r="B189" s="194">
        <v>149.59</v>
      </c>
      <c r="C189" s="195">
        <f t="shared" si="14"/>
        <v>-4.3664493031581486E-2</v>
      </c>
      <c r="E189" s="196" t="s">
        <v>289</v>
      </c>
      <c r="F189" s="194">
        <v>330.36</v>
      </c>
      <c r="G189" s="195">
        <f t="shared" si="15"/>
        <v>-1.9636868976767863E-3</v>
      </c>
      <c r="I189" s="196">
        <v>44325</v>
      </c>
      <c r="J189">
        <v>44.41</v>
      </c>
      <c r="K189" s="195">
        <f t="shared" si="16"/>
        <v>-1.7912428129146396E-2</v>
      </c>
      <c r="M189" s="196">
        <v>44325</v>
      </c>
      <c r="N189">
        <v>64.790000000000006</v>
      </c>
      <c r="O189" s="195">
        <f t="shared" si="17"/>
        <v>-0.10634482758620678</v>
      </c>
      <c r="Q189" s="197" t="s">
        <v>289</v>
      </c>
      <c r="R189">
        <v>156.30000000000001</v>
      </c>
      <c r="S189" s="195">
        <f t="shared" si="18"/>
        <v>7.2174249258925016E-3</v>
      </c>
      <c r="U189" s="196" t="s">
        <v>289</v>
      </c>
      <c r="V189" s="194">
        <v>6.11</v>
      </c>
      <c r="W189" s="195">
        <f t="shared" si="19"/>
        <v>5.709342560553643E-2</v>
      </c>
      <c r="Y189" s="196" t="s">
        <v>289</v>
      </c>
      <c r="Z189" s="200">
        <v>4396.75</v>
      </c>
      <c r="AA189" s="195">
        <f t="shared" si="20"/>
        <v>7.2737686139747737E-3</v>
      </c>
    </row>
    <row r="190" spans="1:27" x14ac:dyDescent="0.25">
      <c r="A190" s="196">
        <v>44539</v>
      </c>
      <c r="B190" s="194">
        <v>156.41999999999999</v>
      </c>
      <c r="C190" s="195">
        <f t="shared" si="14"/>
        <v>-4.382908490739057E-2</v>
      </c>
      <c r="E190" s="196">
        <v>44539</v>
      </c>
      <c r="F190" s="194">
        <v>331.01</v>
      </c>
      <c r="G190" s="195">
        <f t="shared" si="15"/>
        <v>-8.6364890974330755E-2</v>
      </c>
      <c r="I190" s="196" t="s">
        <v>288</v>
      </c>
      <c r="J190">
        <v>45.22</v>
      </c>
      <c r="K190" s="195">
        <f t="shared" si="16"/>
        <v>-3.2520325203252098E-2</v>
      </c>
      <c r="M190" s="196" t="s">
        <v>288</v>
      </c>
      <c r="N190">
        <v>72.5</v>
      </c>
      <c r="O190" s="195">
        <f t="shared" si="17"/>
        <v>4.5874206578188303E-2</v>
      </c>
      <c r="Q190" s="198">
        <v>44539</v>
      </c>
      <c r="R190">
        <v>155.18</v>
      </c>
      <c r="S190" s="195">
        <f t="shared" si="18"/>
        <v>7.6816320866005094E-2</v>
      </c>
      <c r="U190" s="196">
        <v>44539</v>
      </c>
      <c r="V190" s="194">
        <v>5.78</v>
      </c>
      <c r="W190" s="195">
        <f t="shared" si="19"/>
        <v>-7.8149920255183303E-2</v>
      </c>
      <c r="Y190" s="196">
        <v>44539</v>
      </c>
      <c r="Z190" s="200">
        <v>4365</v>
      </c>
      <c r="AA190" s="195">
        <f t="shared" si="20"/>
        <v>-5.2415679124886427E-3</v>
      </c>
    </row>
    <row r="191" spans="1:27" x14ac:dyDescent="0.25">
      <c r="A191" s="196">
        <v>44325</v>
      </c>
      <c r="B191" s="194">
        <v>163.59</v>
      </c>
      <c r="C191" s="195">
        <f t="shared" si="14"/>
        <v>1.8372221201543582E-3</v>
      </c>
      <c r="E191" s="196">
        <v>44325</v>
      </c>
      <c r="F191" s="194">
        <v>362.3</v>
      </c>
      <c r="G191" s="195">
        <f t="shared" si="15"/>
        <v>1.9787767050412519E-2</v>
      </c>
      <c r="I191" s="196" t="s">
        <v>287</v>
      </c>
      <c r="J191">
        <v>46.74</v>
      </c>
      <c r="K191" s="195">
        <f t="shared" si="16"/>
        <v>-4.6706098307158883E-2</v>
      </c>
      <c r="M191" s="196" t="s">
        <v>287</v>
      </c>
      <c r="N191">
        <v>69.319999999999993</v>
      </c>
      <c r="O191" s="195">
        <f t="shared" si="17"/>
        <v>1.4191660570592513E-2</v>
      </c>
      <c r="Q191" s="198">
        <v>44325</v>
      </c>
      <c r="R191">
        <v>144.11000000000001</v>
      </c>
      <c r="S191" s="195">
        <f t="shared" si="18"/>
        <v>3.1641491874865979E-2</v>
      </c>
      <c r="U191" s="196">
        <v>44325</v>
      </c>
      <c r="V191" s="194">
        <v>6.27</v>
      </c>
      <c r="W191" s="195">
        <f t="shared" si="19"/>
        <v>0.17857142857142838</v>
      </c>
      <c r="Y191" s="196">
        <v>44325</v>
      </c>
      <c r="Z191" s="200">
        <v>4388</v>
      </c>
      <c r="AA191" s="195">
        <f t="shared" si="20"/>
        <v>-1.697003640436856E-2</v>
      </c>
    </row>
    <row r="192" spans="1:27" x14ac:dyDescent="0.25">
      <c r="A192" s="196" t="s">
        <v>288</v>
      </c>
      <c r="B192" s="194">
        <v>163.29</v>
      </c>
      <c r="C192" s="195">
        <f t="shared" si="14"/>
        <v>-2.5599713569638527E-2</v>
      </c>
      <c r="E192" s="196" t="s">
        <v>288</v>
      </c>
      <c r="F192" s="194">
        <v>355.27</v>
      </c>
      <c r="G192" s="195">
        <f t="shared" si="15"/>
        <v>-8.1797878280290837E-3</v>
      </c>
      <c r="I192" s="196" t="s">
        <v>286</v>
      </c>
      <c r="J192">
        <v>49.03</v>
      </c>
      <c r="K192" s="195">
        <f t="shared" si="16"/>
        <v>-3.730610642057719E-2</v>
      </c>
      <c r="M192" s="196" t="s">
        <v>286</v>
      </c>
      <c r="N192">
        <v>68.349999999999994</v>
      </c>
      <c r="O192" s="195">
        <f t="shared" si="17"/>
        <v>-3.132086167800463E-2</v>
      </c>
      <c r="Q192" s="197" t="s">
        <v>288</v>
      </c>
      <c r="R192">
        <v>139.69</v>
      </c>
      <c r="S192" s="195">
        <f t="shared" si="18"/>
        <v>-4.3808611130125352E-2</v>
      </c>
      <c r="U192" s="196" t="s">
        <v>288</v>
      </c>
      <c r="V192" s="194">
        <v>5.32</v>
      </c>
      <c r="W192" s="195">
        <f t="shared" si="19"/>
        <v>-1.1152416356877248E-2</v>
      </c>
      <c r="Y192" s="196" t="s">
        <v>288</v>
      </c>
      <c r="Z192" s="200">
        <v>4463.75</v>
      </c>
      <c r="AA192" s="195">
        <f t="shared" si="20"/>
        <v>6.5960085691734172E-3</v>
      </c>
    </row>
    <row r="193" spans="1:27" x14ac:dyDescent="0.25">
      <c r="A193" s="196" t="s">
        <v>287</v>
      </c>
      <c r="B193" s="194">
        <v>167.58</v>
      </c>
      <c r="C193" s="195">
        <f t="shared" si="14"/>
        <v>-1.2515644555692873E-3</v>
      </c>
      <c r="E193" s="196" t="s">
        <v>287</v>
      </c>
      <c r="F193" s="194">
        <v>358.2</v>
      </c>
      <c r="G193" s="195">
        <f t="shared" si="15"/>
        <v>1.993166287015935E-2</v>
      </c>
      <c r="I193" s="196">
        <v>44416</v>
      </c>
      <c r="J193">
        <v>50.93</v>
      </c>
      <c r="K193" s="195">
        <f t="shared" si="16"/>
        <v>1.0716411986505303E-2</v>
      </c>
      <c r="M193" s="196">
        <v>44416</v>
      </c>
      <c r="N193">
        <v>70.56</v>
      </c>
      <c r="O193" s="195">
        <f t="shared" si="17"/>
        <v>-2.5683512841756406E-2</v>
      </c>
      <c r="Q193" s="197" t="s">
        <v>287</v>
      </c>
      <c r="R193">
        <v>146.09</v>
      </c>
      <c r="S193" s="195">
        <f t="shared" si="18"/>
        <v>2.9310223349538589E-2</v>
      </c>
      <c r="U193" s="196" t="s">
        <v>287</v>
      </c>
      <c r="V193" s="194">
        <v>5.38</v>
      </c>
      <c r="W193" s="195">
        <f t="shared" si="19"/>
        <v>-7.40103270223752E-2</v>
      </c>
      <c r="Y193" s="196" t="s">
        <v>287</v>
      </c>
      <c r="Z193" s="200">
        <v>4434.5</v>
      </c>
      <c r="AA193" s="195">
        <f t="shared" si="20"/>
        <v>1.5689418231791041E-2</v>
      </c>
    </row>
    <row r="194" spans="1:27" x14ac:dyDescent="0.25">
      <c r="A194" s="196" t="s">
        <v>286</v>
      </c>
      <c r="B194" s="194">
        <v>167.79</v>
      </c>
      <c r="C194" s="195">
        <f t="shared" si="14"/>
        <v>-2.271535907740696E-2</v>
      </c>
      <c r="E194" s="196" t="s">
        <v>286</v>
      </c>
      <c r="F194" s="194">
        <v>351.2</v>
      </c>
      <c r="G194" s="195">
        <f t="shared" si="15"/>
        <v>-5.4566990604894117E-2</v>
      </c>
      <c r="I194" s="196">
        <v>44204</v>
      </c>
      <c r="J194">
        <v>50.39</v>
      </c>
      <c r="K194" s="195">
        <f t="shared" si="16"/>
        <v>-5.512844552784546E-2</v>
      </c>
      <c r="M194" s="196">
        <v>44204</v>
      </c>
      <c r="N194">
        <v>72.42</v>
      </c>
      <c r="O194" s="195">
        <f t="shared" si="17"/>
        <v>1.3810247203438486E-4</v>
      </c>
      <c r="Q194" s="197" t="s">
        <v>286</v>
      </c>
      <c r="R194">
        <v>141.93</v>
      </c>
      <c r="S194" s="195">
        <f t="shared" si="18"/>
        <v>-3.1789344430042998E-2</v>
      </c>
      <c r="U194" s="196" t="s">
        <v>286</v>
      </c>
      <c r="V194" s="194">
        <v>5.81</v>
      </c>
      <c r="W194" s="195">
        <f t="shared" si="19"/>
        <v>-7.6311605723370479E-2</v>
      </c>
      <c r="Y194" s="196" t="s">
        <v>286</v>
      </c>
      <c r="Z194" s="200">
        <v>4366</v>
      </c>
      <c r="AA194" s="195">
        <f t="shared" si="20"/>
        <v>-5.6368501964356721E-3</v>
      </c>
    </row>
    <row r="195" spans="1:27" x14ac:dyDescent="0.25">
      <c r="A195" s="196">
        <v>44416</v>
      </c>
      <c r="B195" s="194">
        <v>171.69</v>
      </c>
      <c r="C195" s="195">
        <f t="shared" si="14"/>
        <v>-6.4236111111112271E-3</v>
      </c>
      <c r="E195" s="196">
        <v>44416</v>
      </c>
      <c r="F195" s="194">
        <v>371.47</v>
      </c>
      <c r="G195" s="195">
        <f t="shared" si="15"/>
        <v>-6.6850282108190662E-3</v>
      </c>
      <c r="I195" s="196" t="s">
        <v>285</v>
      </c>
      <c r="J195">
        <v>53.33</v>
      </c>
      <c r="K195" s="195">
        <f t="shared" si="16"/>
        <v>-1.0942136498516386E-2</v>
      </c>
      <c r="M195" s="196" t="s">
        <v>285</v>
      </c>
      <c r="N195">
        <v>72.41</v>
      </c>
      <c r="O195" s="195">
        <f t="shared" si="17"/>
        <v>-5.5210489993107181E-4</v>
      </c>
      <c r="Q195" s="198">
        <v>44416</v>
      </c>
      <c r="R195">
        <v>146.59</v>
      </c>
      <c r="S195" s="195">
        <f t="shared" si="18"/>
        <v>4.104822100703065E-2</v>
      </c>
      <c r="U195" s="196">
        <v>44416</v>
      </c>
      <c r="V195" s="194">
        <v>6.29</v>
      </c>
      <c r="W195" s="195">
        <f t="shared" si="19"/>
        <v>0.14781021897810209</v>
      </c>
      <c r="Y195" s="196">
        <v>44416</v>
      </c>
      <c r="Z195" s="200">
        <v>4390.75</v>
      </c>
      <c r="AA195" s="195">
        <f t="shared" si="20"/>
        <v>9.5999080248332369E-3</v>
      </c>
    </row>
    <row r="196" spans="1:27" x14ac:dyDescent="0.25">
      <c r="A196" s="196">
        <v>44204</v>
      </c>
      <c r="B196" s="194">
        <v>172.8</v>
      </c>
      <c r="C196" s="195">
        <f t="shared" si="14"/>
        <v>3.1580204166915538E-2</v>
      </c>
      <c r="E196" s="196">
        <v>44204</v>
      </c>
      <c r="F196" s="194">
        <v>373.97</v>
      </c>
      <c r="G196" s="195">
        <f t="shared" si="15"/>
        <v>5.4684415364656846E-2</v>
      </c>
      <c r="I196" s="196" t="s">
        <v>284</v>
      </c>
      <c r="J196">
        <v>53.92</v>
      </c>
      <c r="K196" s="195">
        <f t="shared" si="16"/>
        <v>4.4709388971684305E-3</v>
      </c>
      <c r="M196" s="196" t="s">
        <v>284</v>
      </c>
      <c r="N196">
        <v>72.45</v>
      </c>
      <c r="O196" s="195">
        <f t="shared" si="17"/>
        <v>5.7973130841121545E-2</v>
      </c>
      <c r="Q196" s="198">
        <v>44204</v>
      </c>
      <c r="R196">
        <v>140.81</v>
      </c>
      <c r="S196" s="195">
        <f t="shared" si="18"/>
        <v>3.6816140195861768E-2</v>
      </c>
      <c r="U196" s="196" t="s">
        <v>285</v>
      </c>
      <c r="V196" s="194">
        <v>5.48</v>
      </c>
      <c r="W196" s="195">
        <f t="shared" si="19"/>
        <v>-1.0830324909747224E-2</v>
      </c>
      <c r="Y196" s="196">
        <v>44204</v>
      </c>
      <c r="Z196" s="200">
        <v>4349</v>
      </c>
      <c r="AA196" s="195">
        <f t="shared" si="20"/>
        <v>9.4585968780827034E-3</v>
      </c>
    </row>
    <row r="197" spans="1:27" x14ac:dyDescent="0.25">
      <c r="A197" s="196" t="s">
        <v>285</v>
      </c>
      <c r="B197" s="194">
        <v>167.51</v>
      </c>
      <c r="C197" s="195">
        <f t="shared" si="14"/>
        <v>6.9127194037026385E-3</v>
      </c>
      <c r="E197" s="196" t="s">
        <v>285</v>
      </c>
      <c r="F197" s="194">
        <v>354.58</v>
      </c>
      <c r="G197" s="195">
        <f t="shared" si="15"/>
        <v>-5.154473719406194E-2</v>
      </c>
      <c r="I197" s="196">
        <v>44507</v>
      </c>
      <c r="J197">
        <v>53.68</v>
      </c>
      <c r="K197" s="195">
        <f t="shared" si="16"/>
        <v>-9.9594245665806103E-3</v>
      </c>
      <c r="M197" s="196">
        <v>44507</v>
      </c>
      <c r="N197">
        <v>68.48</v>
      </c>
      <c r="O197" s="195">
        <f t="shared" si="17"/>
        <v>1.2269031781226847E-2</v>
      </c>
      <c r="Q197" s="197" t="s">
        <v>285</v>
      </c>
      <c r="R197">
        <v>135.81</v>
      </c>
      <c r="S197" s="195">
        <f t="shared" si="18"/>
        <v>3.4427603016223607E-2</v>
      </c>
      <c r="U197" s="196" t="s">
        <v>284</v>
      </c>
      <c r="V197" s="194">
        <v>5.54</v>
      </c>
      <c r="W197" s="195">
        <f t="shared" si="19"/>
        <v>-3.6521739130434772E-2</v>
      </c>
      <c r="Y197" s="196" t="s">
        <v>285</v>
      </c>
      <c r="Z197" s="200">
        <v>4308.25</v>
      </c>
      <c r="AA197" s="195">
        <f t="shared" si="20"/>
        <v>-3.4696119817266835E-3</v>
      </c>
    </row>
    <row r="198" spans="1:27" x14ac:dyDescent="0.25">
      <c r="A198" s="196" t="s">
        <v>284</v>
      </c>
      <c r="B198" s="194">
        <v>166.36</v>
      </c>
      <c r="C198" s="195">
        <f t="shared" si="14"/>
        <v>4.0725680325305103E-2</v>
      </c>
      <c r="E198" s="196" t="s">
        <v>284</v>
      </c>
      <c r="F198" s="194">
        <v>373.85</v>
      </c>
      <c r="G198" s="195">
        <f t="shared" si="15"/>
        <v>2.2788203753352221E-3</v>
      </c>
      <c r="I198" s="196">
        <v>44293</v>
      </c>
      <c r="J198">
        <v>54.22</v>
      </c>
      <c r="K198" s="195">
        <f t="shared" si="16"/>
        <v>0.1509233708342177</v>
      </c>
      <c r="M198" s="196">
        <v>44293</v>
      </c>
      <c r="N198">
        <v>67.650000000000006</v>
      </c>
      <c r="O198" s="195">
        <f t="shared" si="17"/>
        <v>8.2919801504722335E-2</v>
      </c>
      <c r="Q198" s="197" t="s">
        <v>284</v>
      </c>
      <c r="R198">
        <v>131.29</v>
      </c>
      <c r="S198" s="195">
        <f t="shared" si="18"/>
        <v>0.16951719223231776</v>
      </c>
      <c r="U198" s="196">
        <v>44507</v>
      </c>
      <c r="V198" s="194">
        <v>5.75</v>
      </c>
      <c r="W198" s="195">
        <f t="shared" si="19"/>
        <v>-2.8716216216216228E-2</v>
      </c>
      <c r="Y198" s="196" t="s">
        <v>284</v>
      </c>
      <c r="Z198" s="200">
        <v>4323.25</v>
      </c>
      <c r="AA198" s="195">
        <f t="shared" si="20"/>
        <v>1.915370108439407E-2</v>
      </c>
    </row>
    <row r="199" spans="1:27" x14ac:dyDescent="0.25">
      <c r="A199" s="196">
        <v>44507</v>
      </c>
      <c r="B199" s="194">
        <v>159.85</v>
      </c>
      <c r="C199" s="195">
        <f t="shared" si="14"/>
        <v>-7.1428571428572285E-3</v>
      </c>
      <c r="E199" s="196">
        <v>44507</v>
      </c>
      <c r="F199" s="194">
        <v>373</v>
      </c>
      <c r="G199" s="195">
        <f t="shared" si="15"/>
        <v>1.3752242213404431E-2</v>
      </c>
      <c r="I199" s="196" t="s">
        <v>283</v>
      </c>
      <c r="J199">
        <v>47.11</v>
      </c>
      <c r="K199" s="195">
        <f t="shared" si="16"/>
        <v>-4.9626790397417797E-2</v>
      </c>
      <c r="M199" s="196" t="s">
        <v>283</v>
      </c>
      <c r="N199">
        <v>62.47</v>
      </c>
      <c r="O199" s="195">
        <f t="shared" si="17"/>
        <v>-3.8923076923076949E-2</v>
      </c>
      <c r="Q199" s="198">
        <v>44507</v>
      </c>
      <c r="R199">
        <v>112.26</v>
      </c>
      <c r="S199" s="195">
        <f t="shared" si="18"/>
        <v>-4.0512820512820458E-2</v>
      </c>
      <c r="U199" s="196">
        <v>44293</v>
      </c>
      <c r="V199" s="194">
        <v>5.92</v>
      </c>
      <c r="W199" s="195">
        <f t="shared" si="19"/>
        <v>-6.0317460317460325E-2</v>
      </c>
      <c r="Y199" s="196">
        <v>44507</v>
      </c>
      <c r="Z199" s="200">
        <v>4242</v>
      </c>
      <c r="AA199" s="195">
        <f t="shared" si="20"/>
        <v>-9.4570928196147097E-3</v>
      </c>
    </row>
    <row r="200" spans="1:27" x14ac:dyDescent="0.25">
      <c r="A200" s="196">
        <v>44293</v>
      </c>
      <c r="B200" s="194">
        <v>161</v>
      </c>
      <c r="C200" s="195">
        <f t="shared" si="14"/>
        <v>7.8878177037686736E-3</v>
      </c>
      <c r="E200" s="196">
        <v>44293</v>
      </c>
      <c r="F200" s="194">
        <v>367.94</v>
      </c>
      <c r="G200" s="195">
        <f t="shared" si="15"/>
        <v>-2.325457924077512E-2</v>
      </c>
      <c r="I200" s="196" t="s">
        <v>282</v>
      </c>
      <c r="J200">
        <v>49.57</v>
      </c>
      <c r="K200" s="195">
        <f t="shared" si="16"/>
        <v>-2.1515988945913889E-2</v>
      </c>
      <c r="M200" s="196" t="s">
        <v>282</v>
      </c>
      <c r="N200">
        <v>65</v>
      </c>
      <c r="O200" s="195">
        <f t="shared" si="17"/>
        <v>-6.72371638141811E-3</v>
      </c>
      <c r="Q200" s="198">
        <v>44293</v>
      </c>
      <c r="R200">
        <v>117</v>
      </c>
      <c r="S200" s="195">
        <f t="shared" si="18"/>
        <v>1.712328767123239E-3</v>
      </c>
      <c r="U200" s="196" t="s">
        <v>283</v>
      </c>
      <c r="V200" s="194">
        <v>6.3</v>
      </c>
      <c r="W200" s="195">
        <f t="shared" si="19"/>
        <v>2.4390243902439046E-2</v>
      </c>
      <c r="Y200" s="196">
        <v>44293</v>
      </c>
      <c r="Z200" s="200">
        <v>4282.5</v>
      </c>
      <c r="AA200" s="195">
        <f t="shared" si="20"/>
        <v>1.1689070718878813E-3</v>
      </c>
    </row>
    <row r="201" spans="1:27" x14ac:dyDescent="0.25">
      <c r="A201" s="196" t="s">
        <v>283</v>
      </c>
      <c r="B201" s="194">
        <v>159.74</v>
      </c>
      <c r="C201" s="195">
        <f t="shared" si="14"/>
        <v>3.4920634920635019E-2</v>
      </c>
      <c r="E201" s="196" t="s">
        <v>283</v>
      </c>
      <c r="F201" s="194">
        <v>376.7</v>
      </c>
      <c r="G201" s="195">
        <f t="shared" si="15"/>
        <v>2.086720867208669E-2</v>
      </c>
      <c r="I201" s="196" t="s">
        <v>281</v>
      </c>
      <c r="J201">
        <v>50.66</v>
      </c>
      <c r="K201" s="195">
        <f t="shared" si="16"/>
        <v>8.3598726114648692E-3</v>
      </c>
      <c r="M201" s="196" t="s">
        <v>281</v>
      </c>
      <c r="N201">
        <v>65.44</v>
      </c>
      <c r="O201" s="195">
        <f t="shared" si="17"/>
        <v>3.1525851197982346E-2</v>
      </c>
      <c r="Q201" s="197" t="s">
        <v>283</v>
      </c>
      <c r="R201">
        <v>116.8</v>
      </c>
      <c r="S201" s="195">
        <f t="shared" si="18"/>
        <v>2.0889782361681597E-2</v>
      </c>
      <c r="U201" s="196" t="s">
        <v>282</v>
      </c>
      <c r="V201" s="194">
        <v>6.15</v>
      </c>
      <c r="W201" s="195">
        <f t="shared" si="19"/>
        <v>6.7708333333333481E-2</v>
      </c>
      <c r="Y201" s="196" t="s">
        <v>283</v>
      </c>
      <c r="Z201" s="200">
        <v>4277.5</v>
      </c>
      <c r="AA201" s="195">
        <f t="shared" si="20"/>
        <v>1.6757784644639839E-2</v>
      </c>
    </row>
    <row r="202" spans="1:27" x14ac:dyDescent="0.25">
      <c r="A202" s="196" t="s">
        <v>282</v>
      </c>
      <c r="B202" s="194">
        <v>154.35</v>
      </c>
      <c r="C202" s="195">
        <f t="shared" si="14"/>
        <v>0.20200918931547385</v>
      </c>
      <c r="E202" s="196" t="s">
        <v>282</v>
      </c>
      <c r="F202" s="194">
        <v>369</v>
      </c>
      <c r="G202" s="195">
        <f t="shared" si="15"/>
        <v>7.580174927113692E-2</v>
      </c>
      <c r="I202" s="196">
        <v>44353</v>
      </c>
      <c r="J202">
        <v>50.24</v>
      </c>
      <c r="K202" s="195">
        <f t="shared" si="16"/>
        <v>6.8481497235219013E-2</v>
      </c>
      <c r="M202" s="196">
        <v>44353</v>
      </c>
      <c r="N202">
        <v>63.44</v>
      </c>
      <c r="O202" s="195">
        <f t="shared" si="17"/>
        <v>0.16983219620136469</v>
      </c>
      <c r="Q202" s="197" t="s">
        <v>282</v>
      </c>
      <c r="R202">
        <v>114.41</v>
      </c>
      <c r="S202" s="195">
        <f t="shared" si="18"/>
        <v>9.4832535885167379E-2</v>
      </c>
      <c r="U202" s="196" t="s">
        <v>281</v>
      </c>
      <c r="V202" s="194">
        <v>5.76</v>
      </c>
      <c r="W202" s="195">
        <f t="shared" si="19"/>
        <v>-4.3189368770764069E-2</v>
      </c>
      <c r="Y202" s="196" t="s">
        <v>282</v>
      </c>
      <c r="Z202" s="200">
        <v>4207</v>
      </c>
      <c r="AA202" s="195">
        <f t="shared" si="20"/>
        <v>3.1949469552952747E-2</v>
      </c>
    </row>
    <row r="203" spans="1:27" x14ac:dyDescent="0.25">
      <c r="A203" s="196" t="s">
        <v>281</v>
      </c>
      <c r="B203" s="194">
        <v>128.41</v>
      </c>
      <c r="C203" s="195">
        <f t="shared" si="14"/>
        <v>-2.6754585417614107E-2</v>
      </c>
      <c r="E203" s="196" t="s">
        <v>281</v>
      </c>
      <c r="F203" s="194">
        <v>343</v>
      </c>
      <c r="G203" s="195">
        <f t="shared" si="15"/>
        <v>-6.0917180013689287E-2</v>
      </c>
      <c r="I203" s="196" t="s">
        <v>280</v>
      </c>
      <c r="J203">
        <v>47.02</v>
      </c>
      <c r="K203" s="195">
        <f t="shared" si="16"/>
        <v>-5.884707766212971E-2</v>
      </c>
      <c r="M203" s="196" t="s">
        <v>280</v>
      </c>
      <c r="N203">
        <v>54.23</v>
      </c>
      <c r="O203" s="195">
        <f t="shared" si="17"/>
        <v>-2.7090060997488452E-2</v>
      </c>
      <c r="Q203" s="197" t="s">
        <v>281</v>
      </c>
      <c r="R203">
        <v>104.5</v>
      </c>
      <c r="S203" s="195">
        <f t="shared" si="18"/>
        <v>-3.8107511045655351E-2</v>
      </c>
      <c r="U203" s="196">
        <v>44353</v>
      </c>
      <c r="V203" s="194">
        <v>6.02</v>
      </c>
      <c r="W203" s="195">
        <f t="shared" si="19"/>
        <v>-2.1138211382113914E-2</v>
      </c>
      <c r="Y203" s="196" t="s">
        <v>281</v>
      </c>
      <c r="Z203" s="200">
        <v>4076.75</v>
      </c>
      <c r="AA203" s="195">
        <f t="shared" si="20"/>
        <v>-1.8832731648616097E-2</v>
      </c>
    </row>
    <row r="204" spans="1:27" x14ac:dyDescent="0.25">
      <c r="A204" s="196">
        <v>44353</v>
      </c>
      <c r="B204" s="194">
        <v>131.94</v>
      </c>
      <c r="C204" s="195">
        <f t="shared" si="14"/>
        <v>-1.3458950201884368E-2</v>
      </c>
      <c r="E204" s="196">
        <v>44353</v>
      </c>
      <c r="F204" s="194">
        <v>365.25</v>
      </c>
      <c r="G204" s="195">
        <f t="shared" si="15"/>
        <v>-1.8989041684572383E-2</v>
      </c>
      <c r="I204" s="196" t="s">
        <v>279</v>
      </c>
      <c r="J204">
        <v>49.96</v>
      </c>
      <c r="K204" s="195">
        <f t="shared" si="16"/>
        <v>7.695624056908823E-2</v>
      </c>
      <c r="M204" s="196" t="s">
        <v>279</v>
      </c>
      <c r="N204">
        <v>55.74</v>
      </c>
      <c r="O204" s="195">
        <f t="shared" si="17"/>
        <v>3.2222222222222152E-2</v>
      </c>
      <c r="Q204" s="198">
        <v>44353</v>
      </c>
      <c r="R204">
        <v>108.64</v>
      </c>
      <c r="S204" s="195">
        <f t="shared" si="18"/>
        <v>5.4552514074936997E-2</v>
      </c>
      <c r="U204" s="196" t="s">
        <v>280</v>
      </c>
      <c r="V204" s="194">
        <v>6.15</v>
      </c>
      <c r="W204" s="195">
        <f t="shared" si="19"/>
        <v>2.6711185308848195E-2</v>
      </c>
      <c r="Y204" s="196">
        <v>44353</v>
      </c>
      <c r="Z204" s="200">
        <v>4155</v>
      </c>
      <c r="AA204" s="195">
        <f t="shared" si="20"/>
        <v>1.5519980447268766E-2</v>
      </c>
    </row>
    <row r="205" spans="1:27" x14ac:dyDescent="0.25">
      <c r="A205" s="196" t="s">
        <v>280</v>
      </c>
      <c r="B205" s="194">
        <v>133.74</v>
      </c>
      <c r="C205" s="195">
        <f t="shared" si="14"/>
        <v>-1.993258097611017E-2</v>
      </c>
      <c r="E205" s="196" t="s">
        <v>280</v>
      </c>
      <c r="F205" s="194">
        <v>372.32</v>
      </c>
      <c r="G205" s="195">
        <f t="shared" si="15"/>
        <v>1.9375672766415164E-3</v>
      </c>
      <c r="I205" s="196" t="s">
        <v>278</v>
      </c>
      <c r="J205">
        <v>46.39</v>
      </c>
      <c r="K205" s="195">
        <f t="shared" si="16"/>
        <v>-2.3368421052631594E-2</v>
      </c>
      <c r="M205" s="196" t="s">
        <v>278</v>
      </c>
      <c r="N205">
        <v>54</v>
      </c>
      <c r="O205" s="195">
        <f t="shared" si="17"/>
        <v>-3.4162046145591041E-2</v>
      </c>
      <c r="Q205" s="197" t="s">
        <v>280</v>
      </c>
      <c r="R205">
        <v>103.02</v>
      </c>
      <c r="S205" s="195">
        <f t="shared" si="18"/>
        <v>1.7581983405768442E-2</v>
      </c>
      <c r="U205" s="196" t="s">
        <v>279</v>
      </c>
      <c r="V205" s="194">
        <v>5.99</v>
      </c>
      <c r="W205" s="195">
        <f t="shared" si="19"/>
        <v>0.11753731343283569</v>
      </c>
      <c r="Y205" s="196" t="s">
        <v>280</v>
      </c>
      <c r="Z205" s="200">
        <v>4091.5</v>
      </c>
      <c r="AA205" s="195">
        <f t="shared" si="20"/>
        <v>-2.6412849494348634E-2</v>
      </c>
    </row>
    <row r="206" spans="1:27" x14ac:dyDescent="0.25">
      <c r="A206" s="196" t="s">
        <v>279</v>
      </c>
      <c r="B206" s="194">
        <v>136.46</v>
      </c>
      <c r="C206" s="195">
        <f t="shared" si="14"/>
        <v>2.8644655510327244E-2</v>
      </c>
      <c r="E206" s="196" t="s">
        <v>279</v>
      </c>
      <c r="F206" s="194">
        <v>371.6</v>
      </c>
      <c r="G206" s="195">
        <f t="shared" si="15"/>
        <v>4.3243243243242802E-3</v>
      </c>
      <c r="I206" s="196">
        <v>44444</v>
      </c>
      <c r="J206">
        <v>47.5</v>
      </c>
      <c r="K206" s="195">
        <f t="shared" si="16"/>
        <v>4.0753724802804481E-2</v>
      </c>
      <c r="M206" s="196">
        <v>44444</v>
      </c>
      <c r="N206">
        <v>55.91</v>
      </c>
      <c r="O206" s="195">
        <f t="shared" si="17"/>
        <v>-8.9349535382421408E-4</v>
      </c>
      <c r="Q206" s="197" t="s">
        <v>279</v>
      </c>
      <c r="R206">
        <v>101.24</v>
      </c>
      <c r="S206" s="195">
        <f t="shared" si="18"/>
        <v>2.7712922545934271E-2</v>
      </c>
      <c r="U206" s="196" t="s">
        <v>278</v>
      </c>
      <c r="V206" s="194">
        <v>5.36</v>
      </c>
      <c r="W206" s="195">
        <f t="shared" si="19"/>
        <v>9.1649694501018342E-2</v>
      </c>
      <c r="Y206" s="196" t="s">
        <v>279</v>
      </c>
      <c r="Z206" s="200">
        <v>4202.5</v>
      </c>
      <c r="AA206" s="195">
        <f t="shared" si="20"/>
        <v>1.2223761064611205E-2</v>
      </c>
    </row>
    <row r="207" spans="1:27" x14ac:dyDescent="0.25">
      <c r="A207" s="196" t="s">
        <v>278</v>
      </c>
      <c r="B207" s="194">
        <v>132.66</v>
      </c>
      <c r="C207" s="195">
        <f t="shared" ref="C207:C270" si="21">B207/B208-1</f>
        <v>-2.4056499668947295E-2</v>
      </c>
      <c r="E207" s="196" t="s">
        <v>278</v>
      </c>
      <c r="F207" s="194">
        <v>370</v>
      </c>
      <c r="G207" s="195">
        <f t="shared" ref="G207:G270" si="22">F207/F208-1</f>
        <v>4.4018058690745043E-2</v>
      </c>
      <c r="I207" s="196">
        <v>44232</v>
      </c>
      <c r="J207">
        <v>45.64</v>
      </c>
      <c r="K207" s="195">
        <f t="shared" ref="K207:K270" si="23">J207/J208-1</f>
        <v>-5.89690721649484E-2</v>
      </c>
      <c r="M207" s="196">
        <v>44232</v>
      </c>
      <c r="N207">
        <v>55.96</v>
      </c>
      <c r="O207" s="195">
        <f t="shared" ref="O207:O270" si="24">N207/N208-1</f>
        <v>0</v>
      </c>
      <c r="Q207" s="197" t="s">
        <v>278</v>
      </c>
      <c r="R207">
        <v>98.51</v>
      </c>
      <c r="S207" s="195">
        <f t="shared" ref="S207:S270" si="25">R207/R208-1</f>
        <v>-3.4026279662678904E-2</v>
      </c>
      <c r="U207" s="196">
        <v>44444</v>
      </c>
      <c r="V207" s="194">
        <v>4.91</v>
      </c>
      <c r="W207" s="195">
        <f t="shared" ref="W207:W270" si="26">V207/V208-1</f>
        <v>0.22750000000000004</v>
      </c>
      <c r="Y207" s="196" t="s">
        <v>278</v>
      </c>
      <c r="Z207" s="200">
        <v>4151.75</v>
      </c>
      <c r="AA207" s="195">
        <f t="shared" ref="AA207:AA270" si="27">Z207/Z208-1</f>
        <v>-4.1376828975773217E-3</v>
      </c>
    </row>
    <row r="208" spans="1:27" x14ac:dyDescent="0.25">
      <c r="A208" s="196">
        <v>44444</v>
      </c>
      <c r="B208" s="194">
        <v>135.93</v>
      </c>
      <c r="C208" s="195">
        <f t="shared" si="21"/>
        <v>-1.3641970829402772E-2</v>
      </c>
      <c r="E208" s="196">
        <v>44444</v>
      </c>
      <c r="F208" s="194">
        <v>354.4</v>
      </c>
      <c r="G208" s="195">
        <f t="shared" si="22"/>
        <v>3.5893838419267965E-2</v>
      </c>
      <c r="I208" s="196" t="s">
        <v>277</v>
      </c>
      <c r="J208">
        <v>48.5</v>
      </c>
      <c r="K208" s="195">
        <f t="shared" si="23"/>
        <v>-2.1980237951199855E-2</v>
      </c>
      <c r="M208" s="196" t="s">
        <v>277</v>
      </c>
      <c r="N208">
        <v>55.96</v>
      </c>
      <c r="O208" s="195">
        <f t="shared" si="24"/>
        <v>-1.6174402250351605E-2</v>
      </c>
      <c r="Q208" s="198">
        <v>44444</v>
      </c>
      <c r="R208">
        <v>101.98</v>
      </c>
      <c r="S208" s="195">
        <f t="shared" si="25"/>
        <v>-6.3716489166360635E-2</v>
      </c>
      <c r="U208" s="196">
        <v>44232</v>
      </c>
      <c r="V208" s="194">
        <v>4</v>
      </c>
      <c r="W208" s="195">
        <f t="shared" si="26"/>
        <v>-2.4390243902438935E-2</v>
      </c>
      <c r="Y208" s="196">
        <v>44444</v>
      </c>
      <c r="Z208" s="200">
        <v>4169</v>
      </c>
      <c r="AA208" s="195">
        <f t="shared" si="27"/>
        <v>-1.3312821726525037E-2</v>
      </c>
    </row>
    <row r="209" spans="1:27" x14ac:dyDescent="0.25">
      <c r="A209" s="196">
        <v>44232</v>
      </c>
      <c r="B209" s="194">
        <v>137.81</v>
      </c>
      <c r="C209" s="195">
        <f t="shared" si="21"/>
        <v>3.9134368873473102E-2</v>
      </c>
      <c r="E209" s="196">
        <v>44232</v>
      </c>
      <c r="F209" s="194">
        <v>342.12</v>
      </c>
      <c r="G209" s="195">
        <f t="shared" si="22"/>
        <v>9.7241821680564389E-2</v>
      </c>
      <c r="I209" s="196" t="s">
        <v>276</v>
      </c>
      <c r="J209">
        <v>49.59</v>
      </c>
      <c r="K209" s="195">
        <f t="shared" si="23"/>
        <v>2.2685089709218342E-2</v>
      </c>
      <c r="M209" s="196" t="s">
        <v>276</v>
      </c>
      <c r="N209">
        <v>56.88</v>
      </c>
      <c r="O209" s="195">
        <f t="shared" si="24"/>
        <v>9.0473656200107389E-3</v>
      </c>
      <c r="Q209" s="198">
        <v>44232</v>
      </c>
      <c r="R209">
        <v>108.92</v>
      </c>
      <c r="S209" s="195">
        <f t="shared" si="25"/>
        <v>8.7894526568118136E-2</v>
      </c>
      <c r="U209" s="196" t="s">
        <v>276</v>
      </c>
      <c r="V209" s="194">
        <v>4.0999999999999996</v>
      </c>
      <c r="W209" s="195">
        <f t="shared" si="26"/>
        <v>-2.147971360381884E-2</v>
      </c>
      <c r="Y209" s="196">
        <v>44232</v>
      </c>
      <c r="Z209" s="200">
        <v>4225.25</v>
      </c>
      <c r="AA209" s="195">
        <f t="shared" si="27"/>
        <v>1.215714456821182E-2</v>
      </c>
    </row>
    <row r="210" spans="1:27" x14ac:dyDescent="0.25">
      <c r="A210" s="196" t="s">
        <v>277</v>
      </c>
      <c r="B210" s="194">
        <v>132.62</v>
      </c>
      <c r="C210" s="195">
        <f t="shared" si="21"/>
        <v>1.8665028035947495E-2</v>
      </c>
      <c r="E210" s="196" t="s">
        <v>277</v>
      </c>
      <c r="F210" s="194">
        <v>311.8</v>
      </c>
      <c r="G210" s="195">
        <f t="shared" si="22"/>
        <v>-3.242823894491853E-2</v>
      </c>
      <c r="I210" s="196">
        <v>44504</v>
      </c>
      <c r="J210">
        <v>48.49</v>
      </c>
      <c r="K210" s="195">
        <f t="shared" si="23"/>
        <v>-6.5703275529865102E-2</v>
      </c>
      <c r="M210" s="196">
        <v>44504</v>
      </c>
      <c r="N210">
        <v>56.37</v>
      </c>
      <c r="O210" s="195">
        <f t="shared" si="24"/>
        <v>-1.6230366492146597E-2</v>
      </c>
      <c r="Q210" s="197" t="s">
        <v>277</v>
      </c>
      <c r="R210">
        <v>100.12</v>
      </c>
      <c r="S210" s="195">
        <f t="shared" si="25"/>
        <v>0.18978015448603691</v>
      </c>
      <c r="U210" s="196">
        <v>44504</v>
      </c>
      <c r="V210" s="194">
        <v>4.1900000000000004</v>
      </c>
      <c r="W210" s="195">
        <f t="shared" si="26"/>
        <v>1.6990291262136026E-2</v>
      </c>
      <c r="Y210" s="196" t="s">
        <v>277</v>
      </c>
      <c r="Z210" s="200">
        <v>4174.5</v>
      </c>
      <c r="AA210" s="195">
        <f t="shared" si="27"/>
        <v>7.1916576770947316E-4</v>
      </c>
    </row>
    <row r="211" spans="1:27" x14ac:dyDescent="0.25">
      <c r="A211" s="196" t="s">
        <v>276</v>
      </c>
      <c r="B211" s="194">
        <v>130.19</v>
      </c>
      <c r="C211" s="195">
        <f t="shared" si="21"/>
        <v>-3.0675303402576182E-2</v>
      </c>
      <c r="E211" s="196" t="s">
        <v>276</v>
      </c>
      <c r="F211" s="194">
        <v>322.25</v>
      </c>
      <c r="G211" s="195">
        <f t="shared" si="22"/>
        <v>-4.6033155713439911E-2</v>
      </c>
      <c r="I211" s="196">
        <v>44290</v>
      </c>
      <c r="J211">
        <v>51.9</v>
      </c>
      <c r="K211" s="195">
        <f t="shared" si="23"/>
        <v>0.15796519410977239</v>
      </c>
      <c r="M211" s="196">
        <v>44290</v>
      </c>
      <c r="N211">
        <v>57.3</v>
      </c>
      <c r="O211" s="195">
        <f t="shared" si="24"/>
        <v>8.0928923293455135E-3</v>
      </c>
      <c r="Q211" s="197" t="s">
        <v>276</v>
      </c>
      <c r="R211">
        <v>84.15</v>
      </c>
      <c r="S211" s="195">
        <f t="shared" si="25"/>
        <v>6.46508097165992E-2</v>
      </c>
      <c r="U211" s="196">
        <v>44290</v>
      </c>
      <c r="V211" s="194">
        <v>4.12</v>
      </c>
      <c r="W211" s="195">
        <f t="shared" si="26"/>
        <v>1.7283950617283939E-2</v>
      </c>
      <c r="Y211" s="196" t="s">
        <v>276</v>
      </c>
      <c r="Z211" s="200">
        <v>4171.5</v>
      </c>
      <c r="AA211" s="195">
        <f t="shared" si="27"/>
        <v>-1.1373840167614446E-3</v>
      </c>
    </row>
    <row r="212" spans="1:27" x14ac:dyDescent="0.25">
      <c r="A212" s="196">
        <v>44504</v>
      </c>
      <c r="B212" s="194">
        <v>134.31</v>
      </c>
      <c r="C212" s="195">
        <f t="shared" si="21"/>
        <v>-8.4163898117385338E-3</v>
      </c>
      <c r="E212" s="196">
        <v>44504</v>
      </c>
      <c r="F212" s="194">
        <v>337.8</v>
      </c>
      <c r="G212" s="195">
        <f t="shared" si="22"/>
        <v>2.5189681335356706E-2</v>
      </c>
      <c r="I212" s="196" t="s">
        <v>275</v>
      </c>
      <c r="J212">
        <v>44.82</v>
      </c>
      <c r="K212" s="195">
        <f t="shared" si="23"/>
        <v>3.8220986796386303E-2</v>
      </c>
      <c r="M212" s="196" t="s">
        <v>275</v>
      </c>
      <c r="N212">
        <v>56.84</v>
      </c>
      <c r="O212" s="195">
        <f t="shared" si="24"/>
        <v>-4.0301384264936901E-3</v>
      </c>
      <c r="Q212" s="198">
        <v>44504</v>
      </c>
      <c r="R212">
        <v>79.040000000000006</v>
      </c>
      <c r="S212" s="195">
        <f t="shared" si="25"/>
        <v>-3.0065038655049614E-2</v>
      </c>
      <c r="U212" s="196" t="s">
        <v>275</v>
      </c>
      <c r="V212" s="194">
        <v>4.05</v>
      </c>
      <c r="W212" s="195">
        <f t="shared" si="26"/>
        <v>-6.4665127020785307E-2</v>
      </c>
      <c r="Y212" s="196">
        <v>44504</v>
      </c>
      <c r="Z212" s="200">
        <v>4176.25</v>
      </c>
      <c r="AA212" s="195">
        <f t="shared" si="27"/>
        <v>1.3775943682485803E-2</v>
      </c>
    </row>
    <row r="213" spans="1:27" x14ac:dyDescent="0.25">
      <c r="A213" s="196">
        <v>44290</v>
      </c>
      <c r="B213" s="194">
        <v>135.44999999999999</v>
      </c>
      <c r="C213" s="195">
        <f t="shared" si="21"/>
        <v>2.2032747302497491E-2</v>
      </c>
      <c r="E213" s="196">
        <v>44290</v>
      </c>
      <c r="F213" s="194">
        <v>329.5</v>
      </c>
      <c r="G213" s="195">
        <f t="shared" si="22"/>
        <v>4.3712385175799895E-2</v>
      </c>
      <c r="I213" s="196" t="s">
        <v>274</v>
      </c>
      <c r="J213">
        <v>43.17</v>
      </c>
      <c r="K213" s="195">
        <f t="shared" si="23"/>
        <v>3.8239538239538406E-2</v>
      </c>
      <c r="M213" s="196" t="s">
        <v>274</v>
      </c>
      <c r="N213">
        <v>57.07</v>
      </c>
      <c r="O213" s="195">
        <f t="shared" si="24"/>
        <v>3.5941187148302634E-2</v>
      </c>
      <c r="Q213" s="198">
        <v>44290</v>
      </c>
      <c r="R213">
        <v>81.489999999999995</v>
      </c>
      <c r="S213" s="195">
        <f t="shared" si="25"/>
        <v>2.425842131724476E-2</v>
      </c>
      <c r="U213" s="196" t="s">
        <v>274</v>
      </c>
      <c r="V213" s="194">
        <v>4.33</v>
      </c>
      <c r="W213" s="195">
        <f t="shared" si="26"/>
        <v>-7.6759061833688746E-2</v>
      </c>
      <c r="Y213" s="196">
        <v>44290</v>
      </c>
      <c r="Z213" s="200">
        <v>4119.5</v>
      </c>
      <c r="AA213" s="195">
        <f t="shared" si="27"/>
        <v>2.7306733167082209E-2</v>
      </c>
    </row>
    <row r="214" spans="1:27" x14ac:dyDescent="0.25">
      <c r="A214" s="196" t="s">
        <v>275</v>
      </c>
      <c r="B214" s="194">
        <v>132.53</v>
      </c>
      <c r="C214" s="195">
        <f t="shared" si="21"/>
        <v>-3.4589066847131589E-3</v>
      </c>
      <c r="E214" s="196" t="s">
        <v>275</v>
      </c>
      <c r="F214" s="194">
        <v>315.7</v>
      </c>
      <c r="G214" s="195">
        <f t="shared" si="22"/>
        <v>6.0548119821541846E-3</v>
      </c>
      <c r="I214" s="196" t="s">
        <v>273</v>
      </c>
      <c r="J214">
        <v>41.58</v>
      </c>
      <c r="K214" s="195">
        <f t="shared" si="23"/>
        <v>-1.5857988165680514E-2</v>
      </c>
      <c r="M214" s="196" t="s">
        <v>273</v>
      </c>
      <c r="N214">
        <v>55.09</v>
      </c>
      <c r="O214" s="195">
        <f t="shared" si="24"/>
        <v>-9.8849748382457969E-3</v>
      </c>
      <c r="Q214" s="197" t="s">
        <v>275</v>
      </c>
      <c r="R214">
        <v>79.56</v>
      </c>
      <c r="S214" s="195">
        <f t="shared" si="25"/>
        <v>-1.2290502793296021E-2</v>
      </c>
      <c r="U214" s="196" t="s">
        <v>273</v>
      </c>
      <c r="V214" s="194">
        <v>4.6900000000000004</v>
      </c>
      <c r="W214" s="195">
        <f t="shared" si="26"/>
        <v>8.8167053364269332E-2</v>
      </c>
      <c r="Y214" s="196" t="s">
        <v>275</v>
      </c>
      <c r="Z214" s="200">
        <v>4010</v>
      </c>
      <c r="AA214" s="195">
        <f t="shared" si="27"/>
        <v>1.1413077747651101E-2</v>
      </c>
    </row>
    <row r="215" spans="1:27" x14ac:dyDescent="0.25">
      <c r="A215" s="196" t="s">
        <v>274</v>
      </c>
      <c r="B215" s="194">
        <v>132.99</v>
      </c>
      <c r="C215" s="195">
        <f t="shared" si="21"/>
        <v>-3.2729653065677544E-2</v>
      </c>
      <c r="E215" s="196" t="s">
        <v>274</v>
      </c>
      <c r="F215" s="194">
        <v>313.8</v>
      </c>
      <c r="G215" s="195">
        <f t="shared" si="22"/>
        <v>-7.9225352112676006E-2</v>
      </c>
      <c r="I215" s="196">
        <v>44380</v>
      </c>
      <c r="J215">
        <v>42.25</v>
      </c>
      <c r="K215" s="195">
        <f t="shared" si="23"/>
        <v>2.3002421307506182E-2</v>
      </c>
      <c r="M215" s="196">
        <v>44380</v>
      </c>
      <c r="N215">
        <v>55.64</v>
      </c>
      <c r="O215" s="195">
        <f t="shared" si="24"/>
        <v>-1.4348981399468608E-2</v>
      </c>
      <c r="Q215" s="197" t="s">
        <v>274</v>
      </c>
      <c r="R215">
        <v>80.55</v>
      </c>
      <c r="S215" s="195">
        <f t="shared" si="25"/>
        <v>4.3258645253205552E-2</v>
      </c>
      <c r="U215" s="196">
        <v>44380</v>
      </c>
      <c r="V215" s="194">
        <v>4.3099999999999996</v>
      </c>
      <c r="W215" s="195">
        <f t="shared" si="26"/>
        <v>2.1327014218009532E-2</v>
      </c>
      <c r="Y215" s="196" t="s">
        <v>274</v>
      </c>
      <c r="Z215" s="200">
        <v>3964.75</v>
      </c>
      <c r="AA215" s="195">
        <f t="shared" si="27"/>
        <v>1.3323553015626377E-2</v>
      </c>
    </row>
    <row r="216" spans="1:27" x14ac:dyDescent="0.25">
      <c r="A216" s="196" t="s">
        <v>273</v>
      </c>
      <c r="B216" s="194">
        <v>137.49</v>
      </c>
      <c r="C216" s="195">
        <f t="shared" si="21"/>
        <v>-2.1075115699537017E-2</v>
      </c>
      <c r="E216" s="196" t="s">
        <v>273</v>
      </c>
      <c r="F216" s="194">
        <v>340.8</v>
      </c>
      <c r="G216" s="195">
        <f t="shared" si="22"/>
        <v>-4.9955396966993804E-2</v>
      </c>
      <c r="I216" s="196" t="s">
        <v>272</v>
      </c>
      <c r="J216">
        <v>41.3</v>
      </c>
      <c r="K216" s="195">
        <f t="shared" si="23"/>
        <v>5.2229299363057313E-2</v>
      </c>
      <c r="M216" s="196" t="s">
        <v>272</v>
      </c>
      <c r="N216">
        <v>56.45</v>
      </c>
      <c r="O216" s="195">
        <f t="shared" si="24"/>
        <v>3.1804057759093451E-2</v>
      </c>
      <c r="Q216" s="197" t="s">
        <v>273</v>
      </c>
      <c r="R216">
        <v>77.209999999999994</v>
      </c>
      <c r="S216" s="195">
        <f t="shared" si="25"/>
        <v>-5.4146759769692521E-2</v>
      </c>
      <c r="U216" s="196" t="s">
        <v>272</v>
      </c>
      <c r="V216" s="194">
        <v>4.22</v>
      </c>
      <c r="W216" s="195">
        <f t="shared" si="26"/>
        <v>4.761904761904745E-3</v>
      </c>
      <c r="Y216" s="196" t="s">
        <v>273</v>
      </c>
      <c r="Z216" s="200">
        <v>3912.62</v>
      </c>
      <c r="AA216" s="195">
        <f t="shared" si="27"/>
        <v>-7.516012429450214E-3</v>
      </c>
    </row>
    <row r="217" spans="1:27" x14ac:dyDescent="0.25">
      <c r="A217" s="196">
        <v>44380</v>
      </c>
      <c r="B217" s="194">
        <v>140.44999999999999</v>
      </c>
      <c r="C217" s="195">
        <f t="shared" si="21"/>
        <v>5.3243344581927143E-2</v>
      </c>
      <c r="E217" s="196">
        <v>44380</v>
      </c>
      <c r="F217" s="194">
        <v>358.72</v>
      </c>
      <c r="G217" s="195">
        <f t="shared" si="22"/>
        <v>0.11055385282189412</v>
      </c>
      <c r="I217" s="196" t="s">
        <v>271</v>
      </c>
      <c r="J217">
        <v>39.25</v>
      </c>
      <c r="K217" s="195">
        <f t="shared" si="23"/>
        <v>6.1384532179556528E-2</v>
      </c>
      <c r="M217" s="196" t="s">
        <v>271</v>
      </c>
      <c r="N217">
        <v>54.71</v>
      </c>
      <c r="O217" s="195">
        <f t="shared" si="24"/>
        <v>3.7549781907832536E-2</v>
      </c>
      <c r="Q217" s="198">
        <v>44380</v>
      </c>
      <c r="R217">
        <v>81.63</v>
      </c>
      <c r="S217" s="195">
        <f t="shared" si="25"/>
        <v>8.40637450199202E-2</v>
      </c>
      <c r="U217" s="196" t="s">
        <v>271</v>
      </c>
      <c r="V217" s="194">
        <v>4.2</v>
      </c>
      <c r="W217" s="195">
        <f t="shared" si="26"/>
        <v>-2.0979020979020935E-2</v>
      </c>
      <c r="Y217" s="196">
        <v>44380</v>
      </c>
      <c r="Z217" s="200">
        <v>3942.25</v>
      </c>
      <c r="AA217" s="195">
        <f t="shared" si="27"/>
        <v>2.6895024746027563E-2</v>
      </c>
    </row>
    <row r="218" spans="1:27" x14ac:dyDescent="0.25">
      <c r="A218" s="196" t="s">
        <v>272</v>
      </c>
      <c r="B218" s="194">
        <v>133.35</v>
      </c>
      <c r="C218" s="195">
        <f t="shared" si="21"/>
        <v>-1.060988277192465E-2</v>
      </c>
      <c r="E218" s="196" t="s">
        <v>272</v>
      </c>
      <c r="F218" s="194">
        <v>323.01</v>
      </c>
      <c r="G218" s="195">
        <f t="shared" si="22"/>
        <v>-8.6225918696427151E-2</v>
      </c>
      <c r="I218" s="196" t="s">
        <v>270</v>
      </c>
      <c r="J218">
        <v>36.979999999999997</v>
      </c>
      <c r="K218" s="195">
        <f t="shared" si="23"/>
        <v>1.0382513661202131E-2</v>
      </c>
      <c r="M218" s="196" t="s">
        <v>270</v>
      </c>
      <c r="N218">
        <v>52.73</v>
      </c>
      <c r="O218" s="195">
        <f t="shared" si="24"/>
        <v>-2.9806807727690954E-2</v>
      </c>
      <c r="Q218" s="197" t="s">
        <v>272</v>
      </c>
      <c r="R218">
        <v>75.3</v>
      </c>
      <c r="S218" s="195">
        <f t="shared" si="25"/>
        <v>-1.8508863399374409E-2</v>
      </c>
      <c r="U218" s="196" t="s">
        <v>270</v>
      </c>
      <c r="V218" s="194">
        <v>4.29</v>
      </c>
      <c r="W218" s="195">
        <f t="shared" si="26"/>
        <v>-7.7419354838709764E-2</v>
      </c>
      <c r="Y218" s="196" t="s">
        <v>272</v>
      </c>
      <c r="Z218" s="200">
        <v>3839</v>
      </c>
      <c r="AA218" s="195">
        <f t="shared" si="27"/>
        <v>7.8099363391743726E-3</v>
      </c>
    </row>
    <row r="219" spans="1:27" x14ac:dyDescent="0.25">
      <c r="A219" s="196" t="s">
        <v>271</v>
      </c>
      <c r="B219" s="194">
        <v>134.78</v>
      </c>
      <c r="C219" s="195">
        <f t="shared" si="21"/>
        <v>-5.0978735389381802E-2</v>
      </c>
      <c r="E219" s="196" t="s">
        <v>271</v>
      </c>
      <c r="F219" s="194">
        <v>353.49</v>
      </c>
      <c r="G219" s="195">
        <f t="shared" si="22"/>
        <v>-2.0045172219084195E-3</v>
      </c>
      <c r="I219" s="196">
        <v>44379</v>
      </c>
      <c r="J219">
        <v>36.6</v>
      </c>
      <c r="K219" s="195">
        <f t="shared" si="23"/>
        <v>-2.7314941272871263E-4</v>
      </c>
      <c r="M219" s="196">
        <v>44379</v>
      </c>
      <c r="N219">
        <v>54.35</v>
      </c>
      <c r="O219" s="195">
        <f t="shared" si="24"/>
        <v>-1.5220148577640757E-2</v>
      </c>
      <c r="Q219" s="197" t="s">
        <v>271</v>
      </c>
      <c r="R219">
        <v>76.72</v>
      </c>
      <c r="S219" s="195">
        <f t="shared" si="25"/>
        <v>-6.8592934320747867E-2</v>
      </c>
      <c r="U219" s="196">
        <v>44379</v>
      </c>
      <c r="V219" s="194">
        <v>4.6500000000000004</v>
      </c>
      <c r="W219" s="195">
        <f t="shared" si="26"/>
        <v>4.4943820224719211E-2</v>
      </c>
      <c r="Y219" s="196" t="s">
        <v>271</v>
      </c>
      <c r="Z219" s="200">
        <v>3809.25</v>
      </c>
      <c r="AA219" s="195">
        <f t="shared" si="27"/>
        <v>-2.4019984627209889E-2</v>
      </c>
    </row>
    <row r="220" spans="1:27" x14ac:dyDescent="0.25">
      <c r="A220" s="196" t="s">
        <v>270</v>
      </c>
      <c r="B220" s="194">
        <v>142.02000000000001</v>
      </c>
      <c r="C220" s="195">
        <f t="shared" si="21"/>
        <v>-7.0363073459045467E-4</v>
      </c>
      <c r="E220" s="196" t="s">
        <v>270</v>
      </c>
      <c r="F220" s="194">
        <v>354.2</v>
      </c>
      <c r="G220" s="195">
        <f t="shared" si="22"/>
        <v>-9.2307692307692646E-3</v>
      </c>
      <c r="I220" s="196" t="s">
        <v>269</v>
      </c>
      <c r="J220">
        <v>36.61</v>
      </c>
      <c r="K220" s="195">
        <f t="shared" si="23"/>
        <v>-8.6650419712970272E-3</v>
      </c>
      <c r="M220" s="196" t="s">
        <v>269</v>
      </c>
      <c r="N220">
        <v>55.19</v>
      </c>
      <c r="O220" s="195">
        <f t="shared" si="24"/>
        <v>2.4123213954351463E-2</v>
      </c>
      <c r="Q220" s="197" t="s">
        <v>270</v>
      </c>
      <c r="R220">
        <v>82.37</v>
      </c>
      <c r="S220" s="195">
        <f t="shared" si="25"/>
        <v>8.0773467139885202E-3</v>
      </c>
      <c r="U220" s="196" t="s">
        <v>269</v>
      </c>
      <c r="V220" s="194">
        <v>4.45</v>
      </c>
      <c r="W220" s="195">
        <f t="shared" si="26"/>
        <v>-2.19780219780219E-2</v>
      </c>
      <c r="Y220" s="196" t="s">
        <v>270</v>
      </c>
      <c r="Z220" s="200">
        <v>3903</v>
      </c>
      <c r="AA220" s="195">
        <f t="shared" si="27"/>
        <v>-7.122869498855211E-3</v>
      </c>
    </row>
    <row r="221" spans="1:27" x14ac:dyDescent="0.25">
      <c r="A221" s="196">
        <v>44379</v>
      </c>
      <c r="B221" s="194">
        <v>142.12</v>
      </c>
      <c r="C221" s="195">
        <f t="shared" si="21"/>
        <v>-2.0605058231686346E-2</v>
      </c>
      <c r="E221" s="196">
        <v>44379</v>
      </c>
      <c r="F221" s="194">
        <v>357.5</v>
      </c>
      <c r="G221" s="195">
        <f t="shared" si="22"/>
        <v>5.460338063069714E-2</v>
      </c>
      <c r="I221" s="196" t="s">
        <v>302</v>
      </c>
      <c r="J221">
        <v>36.93</v>
      </c>
      <c r="K221" s="195">
        <f t="shared" si="23"/>
        <v>-8.5906040268456385E-3</v>
      </c>
      <c r="M221" s="196" t="s">
        <v>302</v>
      </c>
      <c r="N221">
        <v>53.89</v>
      </c>
      <c r="O221" s="195">
        <f t="shared" si="24"/>
        <v>2.083727978783867E-2</v>
      </c>
      <c r="Q221" s="198">
        <v>44379</v>
      </c>
      <c r="R221">
        <v>81.709999999999994</v>
      </c>
      <c r="S221" s="195">
        <f t="shared" si="25"/>
        <v>8.1965042372881269E-2</v>
      </c>
      <c r="U221" s="196" t="s">
        <v>302</v>
      </c>
      <c r="V221" s="194">
        <v>4.55</v>
      </c>
      <c r="W221" s="195">
        <f t="shared" si="26"/>
        <v>5.8139534883721034E-2</v>
      </c>
      <c r="Y221" s="196">
        <v>44379</v>
      </c>
      <c r="Z221" s="200">
        <v>3931</v>
      </c>
      <c r="AA221" s="195">
        <f t="shared" si="27"/>
        <v>1.3079054184653049E-2</v>
      </c>
    </row>
    <row r="222" spans="1:27" x14ac:dyDescent="0.25">
      <c r="A222" s="196" t="s">
        <v>269</v>
      </c>
      <c r="B222" s="194">
        <v>145.11000000000001</v>
      </c>
      <c r="C222" s="195">
        <f t="shared" si="21"/>
        <v>8.6233999550864748E-2</v>
      </c>
      <c r="E222" s="196" t="s">
        <v>269</v>
      </c>
      <c r="F222" s="194">
        <v>338.99</v>
      </c>
      <c r="G222" s="195">
        <f t="shared" si="22"/>
        <v>6.7685039370078748E-2</v>
      </c>
      <c r="I222" s="196" t="s">
        <v>301</v>
      </c>
      <c r="J222">
        <v>37.25</v>
      </c>
      <c r="K222" s="195">
        <f t="shared" si="23"/>
        <v>8.0336426914153325E-2</v>
      </c>
      <c r="M222" s="196" t="s">
        <v>301</v>
      </c>
      <c r="N222">
        <v>52.79</v>
      </c>
      <c r="O222" s="195">
        <f t="shared" si="24"/>
        <v>8.4874640361693343E-2</v>
      </c>
      <c r="Q222" s="197" t="s">
        <v>269</v>
      </c>
      <c r="R222">
        <v>75.52</v>
      </c>
      <c r="S222" s="195">
        <f t="shared" si="25"/>
        <v>7.8548986003998955E-2</v>
      </c>
      <c r="U222" s="196" t="s">
        <v>301</v>
      </c>
      <c r="V222" s="194">
        <v>4.3</v>
      </c>
      <c r="W222" s="195">
        <f t="shared" si="26"/>
        <v>-7.1274298056155483E-2</v>
      </c>
      <c r="Y222" s="196" t="s">
        <v>269</v>
      </c>
      <c r="Z222" s="200">
        <v>3880.25</v>
      </c>
      <c r="AA222" s="195">
        <f t="shared" si="27"/>
        <v>4.7230281357533155E-2</v>
      </c>
    </row>
    <row r="223" spans="1:27" x14ac:dyDescent="0.25">
      <c r="A223" s="196" t="s">
        <v>302</v>
      </c>
      <c r="B223" s="194">
        <v>133.59</v>
      </c>
      <c r="C223" s="195">
        <f t="shared" si="21"/>
        <v>-4.1334768568353053E-2</v>
      </c>
      <c r="E223" s="196" t="s">
        <v>302</v>
      </c>
      <c r="F223" s="194">
        <v>317.5</v>
      </c>
      <c r="G223" s="195">
        <f t="shared" si="22"/>
        <v>-7.0250959032475357E-2</v>
      </c>
      <c r="I223" s="196">
        <v>44470</v>
      </c>
      <c r="J223">
        <v>34.479999999999997</v>
      </c>
      <c r="K223" s="195">
        <f t="shared" si="23"/>
        <v>-5.6892778993435589E-2</v>
      </c>
      <c r="M223" s="196">
        <v>44470</v>
      </c>
      <c r="N223">
        <v>48.66</v>
      </c>
      <c r="O223" s="195">
        <f t="shared" si="24"/>
        <v>-8.7225661226786877E-2</v>
      </c>
      <c r="Q223" s="197" t="s">
        <v>302</v>
      </c>
      <c r="R223">
        <v>70.02</v>
      </c>
      <c r="S223" s="195">
        <f t="shared" si="25"/>
        <v>-4.526861194436882E-2</v>
      </c>
      <c r="U223" s="196">
        <v>44470</v>
      </c>
      <c r="V223" s="194">
        <v>4.63</v>
      </c>
      <c r="W223" s="195">
        <f t="shared" si="26"/>
        <v>-3.1380753138075423E-2</v>
      </c>
      <c r="Y223" s="196" t="s">
        <v>302</v>
      </c>
      <c r="Z223" s="200">
        <v>3705.25</v>
      </c>
      <c r="AA223" s="195">
        <f t="shared" si="27"/>
        <v>-3.364412857794874E-2</v>
      </c>
    </row>
    <row r="224" spans="1:27" x14ac:dyDescent="0.25">
      <c r="A224" s="196" t="s">
        <v>301</v>
      </c>
      <c r="B224" s="194">
        <v>139.35</v>
      </c>
      <c r="C224" s="195">
        <f t="shared" si="21"/>
        <v>-9.7356452529846482E-3</v>
      </c>
      <c r="E224" s="196" t="s">
        <v>301</v>
      </c>
      <c r="F224" s="194">
        <v>341.49</v>
      </c>
      <c r="G224" s="195">
        <f t="shared" si="22"/>
        <v>-6.7190226876090442E-3</v>
      </c>
      <c r="I224" s="196">
        <v>44256</v>
      </c>
      <c r="J224">
        <v>36.56</v>
      </c>
      <c r="K224" s="195">
        <f t="shared" si="23"/>
        <v>-2.7277686852152927E-3</v>
      </c>
      <c r="M224" s="196">
        <v>44256</v>
      </c>
      <c r="N224">
        <v>53.31</v>
      </c>
      <c r="O224" s="195">
        <f t="shared" si="24"/>
        <v>-1.8774157923798884E-2</v>
      </c>
      <c r="Q224" s="197" t="s">
        <v>301</v>
      </c>
      <c r="R224">
        <v>73.34</v>
      </c>
      <c r="S224" s="195">
        <f t="shared" si="25"/>
        <v>-2.4604335682936518E-2</v>
      </c>
      <c r="U224" s="196">
        <v>44256</v>
      </c>
      <c r="V224" s="194">
        <v>4.78</v>
      </c>
      <c r="W224" s="195">
        <f t="shared" si="26"/>
        <v>-2.4489795918367419E-2</v>
      </c>
      <c r="Y224" s="196" t="s">
        <v>301</v>
      </c>
      <c r="Z224" s="200">
        <v>3834.25</v>
      </c>
      <c r="AA224" s="195">
        <f t="shared" si="27"/>
        <v>1.9137484218220591E-2</v>
      </c>
    </row>
    <row r="225" spans="1:27" x14ac:dyDescent="0.25">
      <c r="A225" s="196">
        <v>44470</v>
      </c>
      <c r="B225" s="194">
        <v>140.72</v>
      </c>
      <c r="C225" s="195">
        <f t="shared" si="21"/>
        <v>-3.8469422617014026E-2</v>
      </c>
      <c r="E225" s="196">
        <v>44470</v>
      </c>
      <c r="F225" s="194">
        <v>343.8</v>
      </c>
      <c r="G225" s="195">
        <f t="shared" si="22"/>
        <v>-4.7909166435890382E-2</v>
      </c>
      <c r="I225" s="196" t="s">
        <v>306</v>
      </c>
      <c r="J225">
        <v>36.659999999999997</v>
      </c>
      <c r="K225" s="195">
        <f t="shared" si="23"/>
        <v>-2.727024815927237E-4</v>
      </c>
      <c r="M225" s="196" t="s">
        <v>306</v>
      </c>
      <c r="N225">
        <v>54.33</v>
      </c>
      <c r="O225" s="195">
        <f t="shared" si="24"/>
        <v>3.6634230108757881E-2</v>
      </c>
      <c r="Q225" s="198">
        <v>44470</v>
      </c>
      <c r="R225">
        <v>75.19</v>
      </c>
      <c r="S225" s="195">
        <f t="shared" si="25"/>
        <v>0.12593590895477691</v>
      </c>
      <c r="U225" s="196" t="s">
        <v>306</v>
      </c>
      <c r="V225" s="194">
        <v>4.9000000000000004</v>
      </c>
      <c r="W225" s="195">
        <f t="shared" si="26"/>
        <v>-2.0366598778003286E-3</v>
      </c>
      <c r="Y225" s="196">
        <v>44470</v>
      </c>
      <c r="Z225" s="200">
        <v>3762.25</v>
      </c>
      <c r="AA225" s="195">
        <f t="shared" si="27"/>
        <v>-1.447282252783233E-2</v>
      </c>
    </row>
    <row r="226" spans="1:27" x14ac:dyDescent="0.25">
      <c r="A226" s="196">
        <v>44256</v>
      </c>
      <c r="B226" s="194">
        <v>146.35</v>
      </c>
      <c r="C226" s="195">
        <f t="shared" si="21"/>
        <v>3.4494945924931075E-2</v>
      </c>
      <c r="E226" s="196">
        <v>44256</v>
      </c>
      <c r="F226" s="194">
        <v>361.1</v>
      </c>
      <c r="G226" s="195">
        <f t="shared" si="22"/>
        <v>-1.2038303693570396E-2</v>
      </c>
      <c r="I226" s="196" t="s">
        <v>307</v>
      </c>
      <c r="J226">
        <v>36.67</v>
      </c>
      <c r="K226" s="195">
        <f t="shared" si="23"/>
        <v>2.0311630495269961E-2</v>
      </c>
      <c r="M226" s="196" t="s">
        <v>307</v>
      </c>
      <c r="N226">
        <v>52.41</v>
      </c>
      <c r="O226" s="195">
        <f t="shared" si="24"/>
        <v>9.6443514644351414E-2</v>
      </c>
      <c r="Q226" s="198">
        <v>44256</v>
      </c>
      <c r="R226">
        <v>66.78</v>
      </c>
      <c r="S226" s="195">
        <f t="shared" si="25"/>
        <v>6.5751675710181923E-2</v>
      </c>
      <c r="U226" s="196" t="s">
        <v>307</v>
      </c>
      <c r="V226" s="194">
        <v>4.91</v>
      </c>
      <c r="W226" s="195">
        <f t="shared" si="26"/>
        <v>6.147540983606703E-3</v>
      </c>
      <c r="Y226" s="196">
        <v>44256</v>
      </c>
      <c r="Z226" s="200">
        <v>3817.5</v>
      </c>
      <c r="AA226" s="195">
        <f t="shared" si="27"/>
        <v>1.8339446482160682E-2</v>
      </c>
    </row>
    <row r="227" spans="1:27" x14ac:dyDescent="0.25">
      <c r="A227" s="196" t="s">
        <v>306</v>
      </c>
      <c r="B227" s="194">
        <v>141.47</v>
      </c>
      <c r="C227" s="195">
        <f t="shared" si="21"/>
        <v>-9.1807909604513238E-4</v>
      </c>
      <c r="E227" s="196" t="s">
        <v>306</v>
      </c>
      <c r="F227" s="194">
        <v>365.5</v>
      </c>
      <c r="G227" s="195">
        <f t="shared" si="22"/>
        <v>5.4986289507865438E-2</v>
      </c>
      <c r="I227" s="196" t="s">
        <v>308</v>
      </c>
      <c r="J227">
        <v>35.94</v>
      </c>
      <c r="K227" s="195">
        <f t="shared" si="23"/>
        <v>-4.983388704318914E-3</v>
      </c>
      <c r="M227" s="196" t="s">
        <v>308</v>
      </c>
      <c r="N227">
        <v>47.8</v>
      </c>
      <c r="O227" s="195">
        <f t="shared" si="24"/>
        <v>-2.0291043246566942E-2</v>
      </c>
      <c r="Q227" s="197" t="s">
        <v>306</v>
      </c>
      <c r="R227">
        <v>62.66</v>
      </c>
      <c r="S227" s="195">
        <f t="shared" si="25"/>
        <v>-4.7854522252355203E-4</v>
      </c>
      <c r="U227" s="196" t="s">
        <v>308</v>
      </c>
      <c r="V227" s="194">
        <v>4.88</v>
      </c>
      <c r="W227" s="195">
        <f t="shared" si="26"/>
        <v>-7.4003795066413636E-2</v>
      </c>
      <c r="Y227" s="196" t="s">
        <v>306</v>
      </c>
      <c r="Z227" s="200">
        <v>3748.75</v>
      </c>
      <c r="AA227" s="195">
        <f t="shared" si="27"/>
        <v>1.4546684709066282E-2</v>
      </c>
    </row>
    <row r="228" spans="1:27" x14ac:dyDescent="0.25">
      <c r="A228" s="196" t="s">
        <v>307</v>
      </c>
      <c r="B228" s="194">
        <v>141.6</v>
      </c>
      <c r="C228" s="195">
        <f t="shared" si="21"/>
        <v>3.1468531468531458E-2</v>
      </c>
      <c r="E228" s="196" t="s">
        <v>307</v>
      </c>
      <c r="F228" s="194">
        <v>346.45</v>
      </c>
      <c r="G228" s="195">
        <f t="shared" si="22"/>
        <v>-3.7879419034130279E-2</v>
      </c>
      <c r="I228" s="196">
        <v>43994</v>
      </c>
      <c r="J228">
        <v>36.119999999999997</v>
      </c>
      <c r="K228" s="195">
        <f t="shared" si="23"/>
        <v>-1.1223651793046963E-2</v>
      </c>
      <c r="M228" s="196">
        <v>43994</v>
      </c>
      <c r="N228">
        <v>48.79</v>
      </c>
      <c r="O228" s="195">
        <f t="shared" si="24"/>
        <v>-6.7182410423451966E-3</v>
      </c>
      <c r="Q228" s="197" t="s">
        <v>307</v>
      </c>
      <c r="R228">
        <v>62.69</v>
      </c>
      <c r="S228" s="195">
        <f t="shared" si="25"/>
        <v>-2.6250388319353779E-2</v>
      </c>
      <c r="U228" s="196">
        <v>43994</v>
      </c>
      <c r="V228" s="194">
        <v>5.27</v>
      </c>
      <c r="W228" s="195">
        <f t="shared" si="26"/>
        <v>9.5634095634095528E-2</v>
      </c>
      <c r="Y228" s="196" t="s">
        <v>307</v>
      </c>
      <c r="Z228" s="200">
        <v>3695</v>
      </c>
      <c r="AA228" s="195">
        <f t="shared" si="27"/>
        <v>-8.3864475008386119E-3</v>
      </c>
    </row>
    <row r="229" spans="1:27" x14ac:dyDescent="0.25">
      <c r="A229" s="196" t="s">
        <v>308</v>
      </c>
      <c r="B229" s="194">
        <v>137.28</v>
      </c>
      <c r="C229" s="195">
        <f t="shared" si="21"/>
        <v>-9.4607379375588607E-4</v>
      </c>
      <c r="E229" s="196" t="s">
        <v>308</v>
      </c>
      <c r="F229" s="194">
        <v>360.09</v>
      </c>
      <c r="G229" s="195">
        <f t="shared" si="22"/>
        <v>4.7686936281641001E-2</v>
      </c>
      <c r="I229" s="196" t="s">
        <v>309</v>
      </c>
      <c r="J229">
        <v>36.53</v>
      </c>
      <c r="K229" s="195">
        <f t="shared" si="23"/>
        <v>3.7489349616586232E-2</v>
      </c>
      <c r="M229" s="196" t="s">
        <v>309</v>
      </c>
      <c r="N229">
        <v>49.12</v>
      </c>
      <c r="O229" s="195">
        <f t="shared" si="24"/>
        <v>9.6608427543678488E-3</v>
      </c>
      <c r="Q229" s="197" t="s">
        <v>308</v>
      </c>
      <c r="R229">
        <v>64.38</v>
      </c>
      <c r="S229" s="195">
        <f t="shared" si="25"/>
        <v>3.1565454254125935E-2</v>
      </c>
      <c r="U229" s="196" t="s">
        <v>309</v>
      </c>
      <c r="V229" s="194">
        <v>4.8099999999999996</v>
      </c>
      <c r="W229" s="195">
        <f t="shared" si="26"/>
        <v>5.4824561403508776E-2</v>
      </c>
      <c r="Y229" s="196" t="s">
        <v>308</v>
      </c>
      <c r="Z229" s="200">
        <v>3726.25</v>
      </c>
      <c r="AA229" s="195">
        <f t="shared" si="27"/>
        <v>1.7753499487879854E-2</v>
      </c>
    </row>
    <row r="230" spans="1:27" x14ac:dyDescent="0.25">
      <c r="A230" s="196">
        <v>43994</v>
      </c>
      <c r="B230" s="194">
        <v>137.41</v>
      </c>
      <c r="C230" s="195">
        <f t="shared" si="21"/>
        <v>1.6036154238647793E-3</v>
      </c>
      <c r="E230" s="196">
        <v>43994</v>
      </c>
      <c r="F230" s="194">
        <v>343.7</v>
      </c>
      <c r="G230" s="195">
        <f t="shared" si="22"/>
        <v>3.7929576614120997E-2</v>
      </c>
      <c r="I230" s="196" t="s">
        <v>310</v>
      </c>
      <c r="J230">
        <v>35.21</v>
      </c>
      <c r="K230" s="195">
        <f t="shared" si="23"/>
        <v>-4.0599455040872034E-2</v>
      </c>
      <c r="M230" s="196" t="s">
        <v>310</v>
      </c>
      <c r="N230">
        <v>48.65</v>
      </c>
      <c r="O230" s="195">
        <f t="shared" si="24"/>
        <v>1.1434511434511352E-2</v>
      </c>
      <c r="Q230" s="198">
        <v>43994</v>
      </c>
      <c r="R230">
        <v>62.41</v>
      </c>
      <c r="S230" s="195">
        <f t="shared" si="25"/>
        <v>-2.4233896185115733E-2</v>
      </c>
      <c r="U230" s="196" t="s">
        <v>310</v>
      </c>
      <c r="V230" s="194">
        <v>4.5599999999999996</v>
      </c>
      <c r="W230" s="195">
        <f t="shared" si="26"/>
        <v>4.8275862068965614E-2</v>
      </c>
      <c r="Y230" s="196">
        <v>43994</v>
      </c>
      <c r="Z230" s="200">
        <v>3661.25</v>
      </c>
      <c r="AA230" s="195">
        <f t="shared" si="27"/>
        <v>-9.9378042184964377E-3</v>
      </c>
    </row>
    <row r="231" spans="1:27" x14ac:dyDescent="0.25">
      <c r="A231" s="196" t="s">
        <v>309</v>
      </c>
      <c r="B231" s="194">
        <v>137.19</v>
      </c>
      <c r="C231" s="195">
        <f t="shared" si="21"/>
        <v>2.1899441340782033E-2</v>
      </c>
      <c r="E231" s="196" t="s">
        <v>309</v>
      </c>
      <c r="F231" s="194">
        <v>331.14</v>
      </c>
      <c r="G231" s="195">
        <f t="shared" si="22"/>
        <v>1.5922687528762136E-2</v>
      </c>
      <c r="I231" s="196" t="s">
        <v>311</v>
      </c>
      <c r="J231">
        <v>36.700000000000003</v>
      </c>
      <c r="K231" s="195">
        <f t="shared" si="23"/>
        <v>6.4076543925775553E-2</v>
      </c>
      <c r="M231" s="196" t="s">
        <v>311</v>
      </c>
      <c r="N231">
        <v>48.1</v>
      </c>
      <c r="O231" s="195">
        <f t="shared" si="24"/>
        <v>0.10931734317343178</v>
      </c>
      <c r="Q231" s="197" t="s">
        <v>309</v>
      </c>
      <c r="R231">
        <v>63.96</v>
      </c>
      <c r="S231" s="195">
        <f t="shared" si="25"/>
        <v>7.5681130171543876E-2</v>
      </c>
      <c r="U231" s="196" t="s">
        <v>311</v>
      </c>
      <c r="V231" s="194">
        <v>4.3499999999999996</v>
      </c>
      <c r="W231" s="195">
        <f t="shared" si="26"/>
        <v>4.0669856459330189E-2</v>
      </c>
      <c r="Y231" s="196" t="s">
        <v>309</v>
      </c>
      <c r="Z231" s="200">
        <v>3698</v>
      </c>
      <c r="AA231" s="195">
        <f t="shared" si="27"/>
        <v>1.6911865805032233E-2</v>
      </c>
    </row>
    <row r="232" spans="1:27" x14ac:dyDescent="0.25">
      <c r="A232" s="196" t="s">
        <v>310</v>
      </c>
      <c r="B232" s="194">
        <v>134.25</v>
      </c>
      <c r="C232" s="195">
        <f t="shared" si="21"/>
        <v>9.5503083170402903E-3</v>
      </c>
      <c r="E232" s="196" t="s">
        <v>310</v>
      </c>
      <c r="F232" s="194">
        <v>325.95</v>
      </c>
      <c r="G232" s="195">
        <f t="shared" si="22"/>
        <v>-2.05240699561271E-2</v>
      </c>
      <c r="I232" s="196">
        <v>44054</v>
      </c>
      <c r="J232">
        <v>34.49</v>
      </c>
      <c r="K232" s="195">
        <f t="shared" si="23"/>
        <v>4.4834898515601518E-2</v>
      </c>
      <c r="M232" s="196">
        <v>44054</v>
      </c>
      <c r="N232">
        <v>43.36</v>
      </c>
      <c r="O232" s="195">
        <f t="shared" si="24"/>
        <v>5.242718446601935E-2</v>
      </c>
      <c r="Q232" s="197" t="s">
        <v>310</v>
      </c>
      <c r="R232">
        <v>59.46</v>
      </c>
      <c r="S232" s="195">
        <f t="shared" si="25"/>
        <v>-2.9541374245144469E-2</v>
      </c>
      <c r="U232" s="196">
        <v>44054</v>
      </c>
      <c r="V232" s="194">
        <v>4.18</v>
      </c>
      <c r="W232" s="195">
        <f t="shared" si="26"/>
        <v>0.19088319088319095</v>
      </c>
      <c r="Y232" s="196" t="s">
        <v>310</v>
      </c>
      <c r="Z232" s="200">
        <v>3636.5</v>
      </c>
      <c r="AA232" s="195">
        <f t="shared" si="27"/>
        <v>2.3141309699655332E-2</v>
      </c>
    </row>
    <row r="233" spans="1:27" x14ac:dyDescent="0.25">
      <c r="A233" s="196" t="s">
        <v>311</v>
      </c>
      <c r="B233" s="194">
        <v>132.97999999999999</v>
      </c>
      <c r="C233" s="195">
        <f t="shared" si="21"/>
        <v>3.6638603055815233E-2</v>
      </c>
      <c r="E233" s="196" t="s">
        <v>311</v>
      </c>
      <c r="F233" s="194">
        <v>332.78</v>
      </c>
      <c r="G233" s="195">
        <f t="shared" si="22"/>
        <v>4.2119437572417207E-2</v>
      </c>
      <c r="I233" s="196">
        <v>43841</v>
      </c>
      <c r="J233">
        <v>33.01</v>
      </c>
      <c r="K233" s="195">
        <f t="shared" si="23"/>
        <v>3.5445420326223331E-2</v>
      </c>
      <c r="M233" s="196">
        <v>43841</v>
      </c>
      <c r="N233">
        <v>41.2</v>
      </c>
      <c r="O233" s="195">
        <f t="shared" si="24"/>
        <v>-1.5531660692950977E-2</v>
      </c>
      <c r="Q233" s="197" t="s">
        <v>311</v>
      </c>
      <c r="R233">
        <v>61.27</v>
      </c>
      <c r="S233" s="195">
        <f t="shared" si="25"/>
        <v>7.6990683775707502E-2</v>
      </c>
      <c r="U233" s="196">
        <v>43841</v>
      </c>
      <c r="V233" s="194">
        <v>3.51</v>
      </c>
      <c r="W233" s="195">
        <f t="shared" si="26"/>
        <v>0.11428571428571432</v>
      </c>
      <c r="Y233" s="196" t="s">
        <v>311</v>
      </c>
      <c r="Z233" s="200">
        <v>3554.25</v>
      </c>
      <c r="AA233" s="195">
        <f t="shared" si="27"/>
        <v>-7.7470686767169283E-3</v>
      </c>
    </row>
    <row r="234" spans="1:27" x14ac:dyDescent="0.25">
      <c r="A234" s="196">
        <v>44054</v>
      </c>
      <c r="B234" s="194">
        <v>128.28</v>
      </c>
      <c r="C234" s="195">
        <f t="shared" si="21"/>
        <v>-4.8099301784328974E-3</v>
      </c>
      <c r="E234" s="196">
        <v>44054</v>
      </c>
      <c r="F234" s="194">
        <v>319.33</v>
      </c>
      <c r="G234" s="195">
        <f t="shared" si="22"/>
        <v>-4.360717601605324E-2</v>
      </c>
      <c r="I234" s="196" t="s">
        <v>312</v>
      </c>
      <c r="J234">
        <v>31.88</v>
      </c>
      <c r="K234" s="195">
        <f t="shared" si="23"/>
        <v>5.7029177718832758E-2</v>
      </c>
      <c r="M234" s="196" t="s">
        <v>312</v>
      </c>
      <c r="N234">
        <v>41.85</v>
      </c>
      <c r="O234" s="195">
        <f t="shared" si="24"/>
        <v>-7.1032186459489388E-2</v>
      </c>
      <c r="Q234" s="198">
        <v>44054</v>
      </c>
      <c r="R234">
        <v>56.89</v>
      </c>
      <c r="S234" s="195">
        <f t="shared" si="25"/>
        <v>-2.4687124978570174E-2</v>
      </c>
      <c r="U234" s="196" t="s">
        <v>312</v>
      </c>
      <c r="V234" s="194">
        <v>3.15</v>
      </c>
      <c r="W234" s="195">
        <f t="shared" si="26"/>
        <v>-0.1076487252124646</v>
      </c>
      <c r="Y234" s="196">
        <v>44054</v>
      </c>
      <c r="Z234" s="200">
        <v>3582</v>
      </c>
      <c r="AA234" s="195">
        <f t="shared" si="27"/>
        <v>2.3209312290223494E-2</v>
      </c>
    </row>
    <row r="235" spans="1:27" x14ac:dyDescent="0.25">
      <c r="A235" s="196">
        <v>43841</v>
      </c>
      <c r="B235" s="194">
        <v>128.9</v>
      </c>
      <c r="C235" s="195">
        <f t="shared" si="21"/>
        <v>7.345103264490338E-2</v>
      </c>
      <c r="E235" s="196">
        <v>43841</v>
      </c>
      <c r="F235" s="194">
        <v>333.89</v>
      </c>
      <c r="G235" s="195">
        <f t="shared" si="22"/>
        <v>0.10563263684227953</v>
      </c>
      <c r="I235" s="196" t="s">
        <v>313</v>
      </c>
      <c r="J235">
        <v>30.16</v>
      </c>
      <c r="K235" s="195">
        <f t="shared" si="23"/>
        <v>-4.8880479344055483E-2</v>
      </c>
      <c r="M235" s="196" t="s">
        <v>313</v>
      </c>
      <c r="N235">
        <v>45.05</v>
      </c>
      <c r="O235" s="195">
        <f t="shared" si="24"/>
        <v>6.6777172626095282E-2</v>
      </c>
      <c r="Q235" s="198">
        <v>43841</v>
      </c>
      <c r="R235">
        <v>58.33</v>
      </c>
      <c r="S235" s="195">
        <f t="shared" si="25"/>
        <v>0.11465698452130701</v>
      </c>
      <c r="U235" s="196" t="s">
        <v>313</v>
      </c>
      <c r="V235" s="194">
        <v>3.53</v>
      </c>
      <c r="W235" s="195">
        <f t="shared" si="26"/>
        <v>0.10658307210031337</v>
      </c>
      <c r="Y235" s="196">
        <v>43841</v>
      </c>
      <c r="Z235" s="200">
        <v>3500.75</v>
      </c>
      <c r="AA235" s="195">
        <f t="shared" si="27"/>
        <v>7.2287311432728485E-2</v>
      </c>
    </row>
    <row r="236" spans="1:27" x14ac:dyDescent="0.25">
      <c r="A236" s="196" t="s">
        <v>312</v>
      </c>
      <c r="B236" s="194">
        <v>120.08</v>
      </c>
      <c r="C236" s="195">
        <f t="shared" si="21"/>
        <v>-7.6236633587199121E-2</v>
      </c>
      <c r="E236" s="196" t="s">
        <v>312</v>
      </c>
      <c r="F236" s="194">
        <v>301.99</v>
      </c>
      <c r="G236" s="195">
        <f t="shared" si="22"/>
        <v>-9.4211157768446241E-2</v>
      </c>
      <c r="I236" s="196">
        <v>44145</v>
      </c>
      <c r="J236">
        <v>31.71</v>
      </c>
      <c r="K236" s="195">
        <f t="shared" si="23"/>
        <v>-7.3348918760958393E-2</v>
      </c>
      <c r="M236" s="196">
        <v>44145</v>
      </c>
      <c r="N236">
        <v>42.23</v>
      </c>
      <c r="O236" s="195">
        <f t="shared" si="24"/>
        <v>-7.2872590503056944E-3</v>
      </c>
      <c r="Q236" s="197" t="s">
        <v>312</v>
      </c>
      <c r="R236">
        <v>52.33</v>
      </c>
      <c r="S236" s="195">
        <f t="shared" si="25"/>
        <v>-4.1864890580399772E-3</v>
      </c>
      <c r="U236" s="196">
        <v>44145</v>
      </c>
      <c r="V236" s="194">
        <v>3.19</v>
      </c>
      <c r="W236" s="195">
        <f t="shared" si="26"/>
        <v>-9.375E-2</v>
      </c>
      <c r="Y236" s="196" t="s">
        <v>312</v>
      </c>
      <c r="Z236" s="200">
        <v>3264.75</v>
      </c>
      <c r="AA236" s="195">
        <f t="shared" si="27"/>
        <v>-5.4175418266096953E-2</v>
      </c>
    </row>
    <row r="237" spans="1:27" x14ac:dyDescent="0.25">
      <c r="A237" s="196" t="s">
        <v>313</v>
      </c>
      <c r="B237" s="194">
        <v>129.99</v>
      </c>
      <c r="C237" s="195">
        <f t="shared" si="21"/>
        <v>1.5546875000000071E-2</v>
      </c>
      <c r="E237" s="196" t="s">
        <v>313</v>
      </c>
      <c r="F237" s="194">
        <v>333.4</v>
      </c>
      <c r="G237" s="195">
        <f t="shared" si="22"/>
        <v>4.6124882334483752E-2</v>
      </c>
      <c r="I237" s="196">
        <v>43931</v>
      </c>
      <c r="J237">
        <v>34.22</v>
      </c>
      <c r="K237" s="195">
        <f t="shared" si="23"/>
        <v>3.3836858006042192E-2</v>
      </c>
      <c r="M237" s="196">
        <v>43931</v>
      </c>
      <c r="N237">
        <v>42.54</v>
      </c>
      <c r="O237" s="195">
        <f t="shared" si="24"/>
        <v>-2.6989935956084121E-2</v>
      </c>
      <c r="Q237" s="197" t="s">
        <v>313</v>
      </c>
      <c r="R237">
        <v>52.55</v>
      </c>
      <c r="S237" s="195">
        <f t="shared" si="25"/>
        <v>2.8778386844166004E-2</v>
      </c>
      <c r="U237" s="196">
        <v>43931</v>
      </c>
      <c r="V237" s="194">
        <v>3.52</v>
      </c>
      <c r="W237" s="195">
        <f t="shared" si="26"/>
        <v>2.3255813953488413E-2</v>
      </c>
      <c r="Y237" s="196" t="s">
        <v>313</v>
      </c>
      <c r="Z237" s="200">
        <v>3451.75</v>
      </c>
      <c r="AA237" s="195">
        <f t="shared" si="27"/>
        <v>-3.0327099429561244E-3</v>
      </c>
    </row>
    <row r="238" spans="1:27" x14ac:dyDescent="0.25">
      <c r="A238" s="196">
        <v>44145</v>
      </c>
      <c r="B238" s="194">
        <v>128</v>
      </c>
      <c r="C238" s="195">
        <f t="shared" si="21"/>
        <v>-2.2751565124446427E-2</v>
      </c>
      <c r="E238" s="196">
        <v>44145</v>
      </c>
      <c r="F238" s="194">
        <v>318.7</v>
      </c>
      <c r="G238" s="195">
        <f t="shared" si="22"/>
        <v>-2.8057334553217461E-2</v>
      </c>
      <c r="I238" s="196" t="s">
        <v>314</v>
      </c>
      <c r="J238">
        <v>33.1</v>
      </c>
      <c r="K238" s="195">
        <f t="shared" si="23"/>
        <v>3.6385688295939023E-3</v>
      </c>
      <c r="M238" s="196" t="s">
        <v>314</v>
      </c>
      <c r="N238">
        <v>43.72</v>
      </c>
      <c r="O238" s="195">
        <f t="shared" si="24"/>
        <v>4.4184380224504549E-2</v>
      </c>
      <c r="Q238" s="198">
        <v>44145</v>
      </c>
      <c r="R238">
        <v>51.08</v>
      </c>
      <c r="S238" s="195">
        <f t="shared" si="25"/>
        <v>7.2208228379512907E-2</v>
      </c>
      <c r="U238" s="196" t="s">
        <v>314</v>
      </c>
      <c r="V238" s="194">
        <v>3.44</v>
      </c>
      <c r="W238" s="195">
        <f t="shared" si="26"/>
        <v>1.4749262536873031E-2</v>
      </c>
      <c r="Y238" s="196">
        <v>44145</v>
      </c>
      <c r="Z238" s="200">
        <v>3462.25</v>
      </c>
      <c r="AA238" s="195">
        <f t="shared" si="27"/>
        <v>-3.1670625494853999E-3</v>
      </c>
    </row>
    <row r="239" spans="1:27" x14ac:dyDescent="0.25">
      <c r="A239" s="196">
        <v>43931</v>
      </c>
      <c r="B239" s="194">
        <v>130.97999999999999</v>
      </c>
      <c r="C239" s="195">
        <f t="shared" si="21"/>
        <v>3.4270372710044184E-2</v>
      </c>
      <c r="E239" s="196">
        <v>43931</v>
      </c>
      <c r="F239" s="194">
        <v>327.9</v>
      </c>
      <c r="G239" s="195">
        <f t="shared" si="22"/>
        <v>9.109374038283935E-3</v>
      </c>
      <c r="I239" s="196" t="s">
        <v>315</v>
      </c>
      <c r="J239">
        <v>32.979999999999997</v>
      </c>
      <c r="K239" s="195">
        <f t="shared" si="23"/>
        <v>2.2635658914728518E-2</v>
      </c>
      <c r="M239" s="196" t="s">
        <v>315</v>
      </c>
      <c r="N239">
        <v>41.87</v>
      </c>
      <c r="O239" s="195">
        <f t="shared" si="24"/>
        <v>5.8392315470171763E-2</v>
      </c>
      <c r="Q239" s="198">
        <v>43931</v>
      </c>
      <c r="R239">
        <v>47.64</v>
      </c>
      <c r="S239" s="195">
        <f t="shared" si="25"/>
        <v>3.6102653327533707E-2</v>
      </c>
      <c r="U239" s="196" t="s">
        <v>315</v>
      </c>
      <c r="V239" s="194">
        <v>3.39</v>
      </c>
      <c r="W239" s="195">
        <f t="shared" si="26"/>
        <v>-2.0231213872832332E-2</v>
      </c>
      <c r="Y239" s="196">
        <v>43931</v>
      </c>
      <c r="Z239" s="200">
        <v>3473.25</v>
      </c>
      <c r="AA239" s="195">
        <f t="shared" si="27"/>
        <v>4.0128771430710586E-2</v>
      </c>
    </row>
    <row r="240" spans="1:27" x14ac:dyDescent="0.25">
      <c r="A240" s="196" t="s">
        <v>314</v>
      </c>
      <c r="B240" s="194">
        <v>126.64</v>
      </c>
      <c r="C240" s="195">
        <f t="shared" si="21"/>
        <v>1.9399500925702196E-2</v>
      </c>
      <c r="E240" s="196" t="s">
        <v>314</v>
      </c>
      <c r="F240" s="194">
        <v>324.94</v>
      </c>
      <c r="G240" s="195">
        <f t="shared" si="22"/>
        <v>-8.7248322147651658E-3</v>
      </c>
      <c r="I240" s="196" t="s">
        <v>316</v>
      </c>
      <c r="J240">
        <v>32.25</v>
      </c>
      <c r="K240" s="195">
        <f t="shared" si="23"/>
        <v>6.8234514739980101E-2</v>
      </c>
      <c r="M240" s="196" t="s">
        <v>316</v>
      </c>
      <c r="N240">
        <v>39.56</v>
      </c>
      <c r="O240" s="195">
        <f t="shared" si="24"/>
        <v>0.10287148034569293</v>
      </c>
      <c r="Q240" s="197" t="s">
        <v>314</v>
      </c>
      <c r="R240">
        <v>45.98</v>
      </c>
      <c r="S240" s="195">
        <f t="shared" si="25"/>
        <v>7.8836227123416203E-2</v>
      </c>
      <c r="U240" s="196" t="s">
        <v>316</v>
      </c>
      <c r="V240" s="194">
        <v>3.46</v>
      </c>
      <c r="W240" s="195">
        <f t="shared" si="26"/>
        <v>-2.2598870056497189E-2</v>
      </c>
      <c r="Y240" s="196" t="s">
        <v>314</v>
      </c>
      <c r="Z240" s="200">
        <v>3339.25</v>
      </c>
      <c r="AA240" s="195">
        <f t="shared" si="27"/>
        <v>1.5818693436763231E-2</v>
      </c>
    </row>
    <row r="241" spans="1:27" x14ac:dyDescent="0.25">
      <c r="A241" s="196" t="s">
        <v>315</v>
      </c>
      <c r="B241" s="194">
        <v>124.23</v>
      </c>
      <c r="C241" s="195">
        <f t="shared" si="21"/>
        <v>8.3464154892726405E-2</v>
      </c>
      <c r="E241" s="196" t="s">
        <v>315</v>
      </c>
      <c r="F241" s="194">
        <v>327.8</v>
      </c>
      <c r="G241" s="195">
        <f t="shared" si="22"/>
        <v>-2.8625614887690332E-2</v>
      </c>
      <c r="I241" s="196">
        <v>43991</v>
      </c>
      <c r="J241">
        <v>30.19</v>
      </c>
      <c r="K241" s="195">
        <f t="shared" si="23"/>
        <v>-1.9486846378694356E-2</v>
      </c>
      <c r="M241" s="196">
        <v>43991</v>
      </c>
      <c r="N241">
        <v>35.869999999999997</v>
      </c>
      <c r="O241" s="195">
        <f t="shared" si="24"/>
        <v>3.015508328546801E-2</v>
      </c>
      <c r="Q241" s="197" t="s">
        <v>315</v>
      </c>
      <c r="R241">
        <v>42.62</v>
      </c>
      <c r="S241" s="195">
        <f t="shared" si="25"/>
        <v>2.0349533157768551E-2</v>
      </c>
      <c r="U241" s="196">
        <v>43991</v>
      </c>
      <c r="V241" s="194">
        <v>3.54</v>
      </c>
      <c r="W241" s="195">
        <f t="shared" si="26"/>
        <v>4.4247787610619538E-2</v>
      </c>
      <c r="Y241" s="196" t="s">
        <v>315</v>
      </c>
      <c r="Z241" s="200">
        <v>3287.25</v>
      </c>
      <c r="AA241" s="195">
        <f t="shared" si="27"/>
        <v>-1.9784708969465603E-2</v>
      </c>
    </row>
    <row r="242" spans="1:27" x14ac:dyDescent="0.25">
      <c r="A242" s="196" t="s">
        <v>316</v>
      </c>
      <c r="B242" s="194">
        <v>114.66</v>
      </c>
      <c r="C242" s="195">
        <f t="shared" si="21"/>
        <v>-2.8305084745762765E-2</v>
      </c>
      <c r="E242" s="196" t="s">
        <v>316</v>
      </c>
      <c r="F242" s="194">
        <v>337.46</v>
      </c>
      <c r="G242" s="195">
        <f t="shared" si="22"/>
        <v>6.0194784794219247E-2</v>
      </c>
      <c r="I242" s="196" t="s">
        <v>317</v>
      </c>
      <c r="J242">
        <v>30.79</v>
      </c>
      <c r="K242" s="195">
        <f t="shared" si="23"/>
        <v>-6.4536947402387135E-3</v>
      </c>
      <c r="M242" s="196" t="s">
        <v>317</v>
      </c>
      <c r="N242">
        <v>34.82</v>
      </c>
      <c r="O242" s="195">
        <f t="shared" si="24"/>
        <v>2.8048420431060039E-2</v>
      </c>
      <c r="Q242" s="197" t="s">
        <v>316</v>
      </c>
      <c r="R242">
        <v>41.77</v>
      </c>
      <c r="S242" s="195">
        <f t="shared" si="25"/>
        <v>-5.2393427006429683E-3</v>
      </c>
      <c r="U242" s="196" t="s">
        <v>317</v>
      </c>
      <c r="V242" s="194">
        <v>3.39</v>
      </c>
      <c r="W242" s="195">
        <f t="shared" si="26"/>
        <v>2.9585798816569309E-3</v>
      </c>
      <c r="Y242" s="196" t="s">
        <v>316</v>
      </c>
      <c r="Z242" s="200">
        <v>3353.6</v>
      </c>
      <c r="AA242" s="195">
        <f t="shared" si="27"/>
        <v>5.9542557180352063E-3</v>
      </c>
    </row>
    <row r="243" spans="1:27" x14ac:dyDescent="0.25">
      <c r="A243" s="196">
        <v>43991</v>
      </c>
      <c r="B243" s="194">
        <v>118</v>
      </c>
      <c r="C243" s="195">
        <f t="shared" si="21"/>
        <v>4.9822064056939341E-2</v>
      </c>
      <c r="E243" s="196">
        <v>43991</v>
      </c>
      <c r="F243" s="194">
        <v>318.3</v>
      </c>
      <c r="G243" s="195">
        <f t="shared" si="22"/>
        <v>4.1009463722396777E-3</v>
      </c>
      <c r="I243" s="196" t="s">
        <v>318</v>
      </c>
      <c r="J243">
        <v>30.99</v>
      </c>
      <c r="K243" s="195">
        <f t="shared" si="23"/>
        <v>4.2732166890982581E-2</v>
      </c>
      <c r="M243" s="196" t="s">
        <v>318</v>
      </c>
      <c r="N243">
        <v>33.869999999999997</v>
      </c>
      <c r="O243" s="195">
        <f t="shared" si="24"/>
        <v>3.1050228310502082E-2</v>
      </c>
      <c r="Q243" s="198">
        <v>43991</v>
      </c>
      <c r="R243">
        <v>41.99</v>
      </c>
      <c r="S243" s="195">
        <f t="shared" si="25"/>
        <v>8.3612903225806612E-2</v>
      </c>
      <c r="U243" s="196" t="s">
        <v>318</v>
      </c>
      <c r="V243" s="194">
        <v>3.38</v>
      </c>
      <c r="W243" s="195">
        <f t="shared" si="26"/>
        <v>5.9523809523809312E-3</v>
      </c>
      <c r="Y243" s="196">
        <v>43991</v>
      </c>
      <c r="Z243" s="200">
        <v>3333.75</v>
      </c>
      <c r="AA243" s="195">
        <f t="shared" si="27"/>
        <v>-2.4506217995610813E-2</v>
      </c>
    </row>
    <row r="244" spans="1:27" x14ac:dyDescent="0.25">
      <c r="A244" s="196" t="s">
        <v>317</v>
      </c>
      <c r="B244" s="194">
        <v>112.4</v>
      </c>
      <c r="C244" s="195">
        <f t="shared" si="21"/>
        <v>9.7960637634697534E-4</v>
      </c>
      <c r="E244" s="196" t="s">
        <v>317</v>
      </c>
      <c r="F244" s="194">
        <v>317</v>
      </c>
      <c r="G244" s="195">
        <f t="shared" si="22"/>
        <v>4.3621399176954734E-2</v>
      </c>
      <c r="I244" s="196" t="s">
        <v>319</v>
      </c>
      <c r="J244">
        <v>29.72</v>
      </c>
      <c r="K244" s="195">
        <f t="shared" si="23"/>
        <v>-4.221720915243321E-2</v>
      </c>
      <c r="M244" s="196" t="s">
        <v>319</v>
      </c>
      <c r="N244">
        <v>32.85</v>
      </c>
      <c r="O244" s="195">
        <f t="shared" si="24"/>
        <v>-6.3301967493584188E-2</v>
      </c>
      <c r="Q244" s="197" t="s">
        <v>317</v>
      </c>
      <c r="R244">
        <v>38.75</v>
      </c>
      <c r="S244" s="195">
        <f t="shared" si="25"/>
        <v>-5.8094312105007262E-2</v>
      </c>
      <c r="U244" s="196" t="s">
        <v>319</v>
      </c>
      <c r="V244" s="194">
        <v>3.36</v>
      </c>
      <c r="W244" s="195">
        <f t="shared" si="26"/>
        <v>-5.9171597633136397E-3</v>
      </c>
      <c r="Y244" s="196" t="s">
        <v>317</v>
      </c>
      <c r="Z244" s="200">
        <v>3417.5</v>
      </c>
      <c r="AA244" s="195">
        <f t="shared" si="27"/>
        <v>-2.4825224711085725E-2</v>
      </c>
    </row>
    <row r="245" spans="1:27" x14ac:dyDescent="0.25">
      <c r="A245" s="196" t="s">
        <v>318</v>
      </c>
      <c r="B245" s="194">
        <v>112.29</v>
      </c>
      <c r="C245" s="195">
        <f t="shared" si="21"/>
        <v>2.3143507972665178E-2</v>
      </c>
      <c r="E245" s="196" t="s">
        <v>318</v>
      </c>
      <c r="F245" s="194">
        <v>303.75</v>
      </c>
      <c r="G245" s="195">
        <f t="shared" si="22"/>
        <v>1.9756989034869221E-4</v>
      </c>
      <c r="I245" s="196">
        <v>44082</v>
      </c>
      <c r="J245">
        <v>31.03</v>
      </c>
      <c r="K245" s="195">
        <f t="shared" si="23"/>
        <v>7.4445983379501479E-2</v>
      </c>
      <c r="M245" s="196">
        <v>44082</v>
      </c>
      <c r="N245">
        <v>35.07</v>
      </c>
      <c r="O245" s="195">
        <f t="shared" si="24"/>
        <v>4.8710601719197388E-3</v>
      </c>
      <c r="Q245" s="197" t="s">
        <v>318</v>
      </c>
      <c r="R245">
        <v>41.14</v>
      </c>
      <c r="S245" s="195">
        <f t="shared" si="25"/>
        <v>7.8940466824023003E-2</v>
      </c>
      <c r="U245" s="196">
        <v>44082</v>
      </c>
      <c r="V245" s="194">
        <v>3.38</v>
      </c>
      <c r="W245" s="195">
        <f t="shared" si="26"/>
        <v>5.2959501557632294E-2</v>
      </c>
      <c r="Y245" s="196" t="s">
        <v>318</v>
      </c>
      <c r="Z245" s="200">
        <v>3504.5</v>
      </c>
      <c r="AA245" s="195">
        <f t="shared" si="27"/>
        <v>3.3014001473839372E-2</v>
      </c>
    </row>
    <row r="246" spans="1:27" x14ac:dyDescent="0.25">
      <c r="A246" s="196" t="s">
        <v>319</v>
      </c>
      <c r="B246" s="194">
        <v>109.75</v>
      </c>
      <c r="C246" s="195">
        <f t="shared" si="21"/>
        <v>3.1194212158226042E-2</v>
      </c>
      <c r="E246" s="196" t="s">
        <v>319</v>
      </c>
      <c r="F246" s="194">
        <v>303.69</v>
      </c>
      <c r="G246" s="195">
        <f t="shared" si="22"/>
        <v>-3.360381861575179E-2</v>
      </c>
      <c r="I246" s="196">
        <v>43869</v>
      </c>
      <c r="J246">
        <v>28.88</v>
      </c>
      <c r="K246" s="195">
        <f t="shared" si="23"/>
        <v>-2.9895868323815966E-2</v>
      </c>
      <c r="M246" s="196">
        <v>43869</v>
      </c>
      <c r="N246">
        <v>34.9</v>
      </c>
      <c r="O246" s="195">
        <f t="shared" si="24"/>
        <v>-2.9207232267037697E-2</v>
      </c>
      <c r="Q246" s="197" t="s">
        <v>319</v>
      </c>
      <c r="R246">
        <v>38.130000000000003</v>
      </c>
      <c r="S246" s="195">
        <f t="shared" si="25"/>
        <v>-3.4439098505950838E-2</v>
      </c>
      <c r="U246" s="196">
        <v>43869</v>
      </c>
      <c r="V246" s="194">
        <v>3.21</v>
      </c>
      <c r="W246" s="195">
        <f t="shared" si="26"/>
        <v>0.17153284671532831</v>
      </c>
      <c r="Y246" s="196" t="s">
        <v>319</v>
      </c>
      <c r="Z246" s="200">
        <v>3392.5</v>
      </c>
      <c r="AA246" s="195">
        <f t="shared" si="27"/>
        <v>9.2220734791015335E-3</v>
      </c>
    </row>
    <row r="247" spans="1:27" x14ac:dyDescent="0.25">
      <c r="A247" s="196">
        <v>44082</v>
      </c>
      <c r="B247" s="194">
        <v>106.43</v>
      </c>
      <c r="C247" s="195">
        <f t="shared" si="21"/>
        <v>4.4865501668957419E-2</v>
      </c>
      <c r="E247" s="196">
        <v>44082</v>
      </c>
      <c r="F247" s="194">
        <v>314.25</v>
      </c>
      <c r="G247" s="195">
        <f t="shared" si="22"/>
        <v>6.8877551020408267E-2</v>
      </c>
      <c r="I247" s="196" t="s">
        <v>320</v>
      </c>
      <c r="J247">
        <v>29.77</v>
      </c>
      <c r="K247" s="195">
        <f t="shared" si="23"/>
        <v>1.9171516603902816E-2</v>
      </c>
      <c r="M247" s="196" t="s">
        <v>320</v>
      </c>
      <c r="N247">
        <v>35.950000000000003</v>
      </c>
      <c r="O247" s="195">
        <f t="shared" si="24"/>
        <v>2.4508406953547945E-2</v>
      </c>
      <c r="Q247" s="198">
        <v>44082</v>
      </c>
      <c r="R247">
        <v>39.49</v>
      </c>
      <c r="S247" s="195">
        <f t="shared" si="25"/>
        <v>2.3322104172065261E-2</v>
      </c>
      <c r="U247" s="196" t="s">
        <v>320</v>
      </c>
      <c r="V247" s="194">
        <v>2.74</v>
      </c>
      <c r="W247" s="195">
        <f t="shared" si="26"/>
        <v>-8.3612040133779209E-2</v>
      </c>
      <c r="Y247" s="196">
        <v>44082</v>
      </c>
      <c r="Z247" s="200">
        <v>3361.5</v>
      </c>
      <c r="AA247" s="195">
        <f t="shared" si="27"/>
        <v>5.0078481201882852E-3</v>
      </c>
    </row>
    <row r="248" spans="1:27" x14ac:dyDescent="0.25">
      <c r="A248" s="196">
        <v>43869</v>
      </c>
      <c r="B248" s="194">
        <v>101.86</v>
      </c>
      <c r="C248" s="195">
        <f t="shared" si="21"/>
        <v>4.3540620838028898E-2</v>
      </c>
      <c r="E248" s="196">
        <v>43869</v>
      </c>
      <c r="F248" s="194">
        <v>294</v>
      </c>
      <c r="G248" s="195">
        <f t="shared" si="22"/>
        <v>7.3149364870784161E-2</v>
      </c>
      <c r="I248" s="196" t="s">
        <v>321</v>
      </c>
      <c r="J248">
        <v>29.21</v>
      </c>
      <c r="K248" s="195">
        <f t="shared" si="23"/>
        <v>-2.3907103825137055E-3</v>
      </c>
      <c r="M248" s="196" t="s">
        <v>321</v>
      </c>
      <c r="N248">
        <v>35.090000000000003</v>
      </c>
      <c r="O248" s="195">
        <f t="shared" si="24"/>
        <v>6.0206422018349581E-3</v>
      </c>
      <c r="Q248" s="198">
        <v>43869</v>
      </c>
      <c r="R248">
        <v>38.590000000000003</v>
      </c>
      <c r="S248" s="195">
        <f t="shared" si="25"/>
        <v>7.373400111296613E-2</v>
      </c>
      <c r="U248" s="196" t="s">
        <v>321</v>
      </c>
      <c r="V248" s="194">
        <v>2.99</v>
      </c>
      <c r="W248" s="195">
        <f t="shared" si="26"/>
        <v>5.6537102473498191E-2</v>
      </c>
      <c r="Y248" s="196">
        <v>43869</v>
      </c>
      <c r="Z248" s="200">
        <v>3344.75</v>
      </c>
      <c r="AA248" s="195">
        <f t="shared" si="27"/>
        <v>2.4896583422705731E-2</v>
      </c>
    </row>
    <row r="249" spans="1:27" x14ac:dyDescent="0.25">
      <c r="A249" s="196" t="s">
        <v>320</v>
      </c>
      <c r="B249" s="194">
        <v>97.61</v>
      </c>
      <c r="C249" s="195">
        <f t="shared" si="21"/>
        <v>-8.330793457279384E-3</v>
      </c>
      <c r="E249" s="196" t="s">
        <v>320</v>
      </c>
      <c r="F249" s="194">
        <v>273.95999999999998</v>
      </c>
      <c r="G249" s="195">
        <f t="shared" si="22"/>
        <v>-2.851063829787237E-2</v>
      </c>
      <c r="I249" s="196">
        <v>44172</v>
      </c>
      <c r="J249">
        <v>29.28</v>
      </c>
      <c r="K249" s="195">
        <f t="shared" si="23"/>
        <v>-3.1746031746031633E-2</v>
      </c>
      <c r="M249" s="196">
        <v>44172</v>
      </c>
      <c r="N249">
        <v>34.880000000000003</v>
      </c>
      <c r="O249" s="195">
        <f t="shared" si="24"/>
        <v>1.6909620991253815E-2</v>
      </c>
      <c r="Q249" s="197" t="s">
        <v>320</v>
      </c>
      <c r="R249">
        <v>35.94</v>
      </c>
      <c r="S249" s="195">
        <f t="shared" si="25"/>
        <v>8.700533258489962E-3</v>
      </c>
      <c r="U249" s="196">
        <v>44172</v>
      </c>
      <c r="V249" s="194">
        <v>2.83</v>
      </c>
      <c r="W249" s="195">
        <f t="shared" si="26"/>
        <v>1.0714285714285898E-2</v>
      </c>
      <c r="Y249" s="196" t="s">
        <v>320</v>
      </c>
      <c r="Z249" s="200">
        <v>3263.5</v>
      </c>
      <c r="AA249" s="195">
        <f t="shared" si="27"/>
        <v>1.8570536828963702E-2</v>
      </c>
    </row>
    <row r="250" spans="1:27" x14ac:dyDescent="0.25">
      <c r="A250" s="196" t="s">
        <v>321</v>
      </c>
      <c r="B250" s="194">
        <v>98.43</v>
      </c>
      <c r="C250" s="195">
        <f t="shared" si="21"/>
        <v>2.2330702118820156E-2</v>
      </c>
      <c r="E250" s="196" t="s">
        <v>321</v>
      </c>
      <c r="F250" s="194">
        <v>282</v>
      </c>
      <c r="G250" s="195">
        <f t="shared" si="22"/>
        <v>4.7353760445682402E-2</v>
      </c>
      <c r="I250" s="196">
        <v>43958</v>
      </c>
      <c r="J250">
        <v>30.24</v>
      </c>
      <c r="K250" s="195">
        <f t="shared" si="23"/>
        <v>6.8173790180148242E-2</v>
      </c>
      <c r="M250" s="196">
        <v>43958</v>
      </c>
      <c r="N250">
        <v>34.299999999999997</v>
      </c>
      <c r="O250" s="195">
        <f t="shared" si="24"/>
        <v>2.2050059594755478E-2</v>
      </c>
      <c r="Q250" s="197" t="s">
        <v>321</v>
      </c>
      <c r="R250">
        <v>35.630000000000003</v>
      </c>
      <c r="S250" s="195">
        <f t="shared" si="25"/>
        <v>2.5028768699654869E-2</v>
      </c>
      <c r="U250" s="196">
        <v>43958</v>
      </c>
      <c r="V250" s="194">
        <v>2.8</v>
      </c>
      <c r="W250" s="195">
        <f t="shared" si="26"/>
        <v>-2.0979020979021046E-2</v>
      </c>
      <c r="Y250" s="196" t="s">
        <v>321</v>
      </c>
      <c r="Z250" s="200">
        <v>3204</v>
      </c>
      <c r="AA250" s="195">
        <f t="shared" si="27"/>
        <v>-3.1113876789048422E-3</v>
      </c>
    </row>
    <row r="251" spans="1:27" x14ac:dyDescent="0.25">
      <c r="A251" s="196">
        <v>44172</v>
      </c>
      <c r="B251" s="194">
        <v>96.28</v>
      </c>
      <c r="C251" s="195">
        <f t="shared" si="21"/>
        <v>-1.745076028166137E-2</v>
      </c>
      <c r="E251" s="196">
        <v>44172</v>
      </c>
      <c r="F251" s="194">
        <v>269.25</v>
      </c>
      <c r="G251" s="195">
        <f t="shared" si="22"/>
        <v>2.182163187855779E-2</v>
      </c>
      <c r="I251" s="196" t="s">
        <v>322</v>
      </c>
      <c r="J251">
        <v>28.31</v>
      </c>
      <c r="K251" s="195">
        <f t="shared" si="23"/>
        <v>-2.075406433759952E-2</v>
      </c>
      <c r="M251" s="196" t="s">
        <v>322</v>
      </c>
      <c r="N251">
        <v>33.56</v>
      </c>
      <c r="O251" s="195">
        <f t="shared" si="24"/>
        <v>2.7242118151209027E-2</v>
      </c>
      <c r="Q251" s="198">
        <v>44172</v>
      </c>
      <c r="R251">
        <v>34.76</v>
      </c>
      <c r="S251" s="195">
        <f t="shared" si="25"/>
        <v>-2.1947101857062501E-2</v>
      </c>
      <c r="U251" s="196" t="s">
        <v>322</v>
      </c>
      <c r="V251" s="194">
        <v>2.86</v>
      </c>
      <c r="W251" s="195">
        <f t="shared" si="26"/>
        <v>1.7793594306049654E-2</v>
      </c>
      <c r="Y251" s="196">
        <v>44172</v>
      </c>
      <c r="Z251" s="200">
        <v>3214</v>
      </c>
      <c r="AA251" s="195">
        <f t="shared" si="27"/>
        <v>1.1168790309894705E-2</v>
      </c>
    </row>
    <row r="252" spans="1:27" x14ac:dyDescent="0.25">
      <c r="A252" s="196">
        <v>43958</v>
      </c>
      <c r="B252" s="194">
        <v>97.99</v>
      </c>
      <c r="C252" s="195">
        <f t="shared" si="21"/>
        <v>-4.470181855125599E-3</v>
      </c>
      <c r="E252" s="196">
        <v>43958</v>
      </c>
      <c r="F252" s="194">
        <v>263.5</v>
      </c>
      <c r="G252" s="195">
        <f t="shared" si="22"/>
        <v>-4.3557168784029043E-2</v>
      </c>
      <c r="I252" s="196" t="s">
        <v>323</v>
      </c>
      <c r="J252">
        <v>28.91</v>
      </c>
      <c r="K252" s="195">
        <f t="shared" si="23"/>
        <v>-4.3981481481481399E-2</v>
      </c>
      <c r="M252" s="196" t="s">
        <v>323</v>
      </c>
      <c r="N252">
        <v>32.67</v>
      </c>
      <c r="O252" s="195">
        <f t="shared" si="24"/>
        <v>9.2678405931418961E-3</v>
      </c>
      <c r="Q252" s="198">
        <v>43958</v>
      </c>
      <c r="R252">
        <v>35.54</v>
      </c>
      <c r="S252" s="195">
        <f t="shared" si="25"/>
        <v>-1.0027855153203369E-2</v>
      </c>
      <c r="U252" s="196" t="s">
        <v>323</v>
      </c>
      <c r="V252" s="194">
        <v>2.81</v>
      </c>
      <c r="W252" s="195">
        <f t="shared" si="26"/>
        <v>-7.0671378091873294E-3</v>
      </c>
      <c r="Y252" s="196">
        <v>43958</v>
      </c>
      <c r="Z252" s="200">
        <v>3178.5</v>
      </c>
      <c r="AA252" s="195">
        <f t="shared" si="27"/>
        <v>1.5819750719079595E-2</v>
      </c>
    </row>
    <row r="253" spans="1:27" x14ac:dyDescent="0.25">
      <c r="A253" s="196" t="s">
        <v>322</v>
      </c>
      <c r="B253" s="194">
        <v>98.43</v>
      </c>
      <c r="C253" s="195">
        <f t="shared" si="21"/>
        <v>5.0816696914700588E-2</v>
      </c>
      <c r="E253" s="196" t="s">
        <v>322</v>
      </c>
      <c r="F253" s="194">
        <v>275.5</v>
      </c>
      <c r="G253" s="195">
        <f t="shared" si="22"/>
        <v>3.6298664660522784E-2</v>
      </c>
      <c r="I253" s="196" t="s">
        <v>324</v>
      </c>
      <c r="J253">
        <v>30.24</v>
      </c>
      <c r="K253" s="195">
        <f t="shared" si="23"/>
        <v>3.2434277910549758E-2</v>
      </c>
      <c r="M253" s="196" t="s">
        <v>324</v>
      </c>
      <c r="N253">
        <v>32.369999999999997</v>
      </c>
      <c r="O253" s="195">
        <f t="shared" si="24"/>
        <v>4.3520309477756314E-2</v>
      </c>
      <c r="Q253" s="197" t="s">
        <v>322</v>
      </c>
      <c r="R253">
        <v>35.9</v>
      </c>
      <c r="S253" s="195">
        <f t="shared" si="25"/>
        <v>9.1517178473700111E-2</v>
      </c>
      <c r="U253" s="196" t="s">
        <v>324</v>
      </c>
      <c r="V253" s="194">
        <v>2.83</v>
      </c>
      <c r="W253" s="195">
        <f t="shared" si="26"/>
        <v>-6.9078947368421018E-2</v>
      </c>
      <c r="Y253" s="196" t="s">
        <v>322</v>
      </c>
      <c r="Z253" s="200">
        <v>3129</v>
      </c>
      <c r="AA253" s="195">
        <f t="shared" si="27"/>
        <v>4.057199866977057E-2</v>
      </c>
    </row>
    <row r="254" spans="1:27" x14ac:dyDescent="0.25">
      <c r="A254" s="196" t="s">
        <v>323</v>
      </c>
      <c r="B254" s="194">
        <v>93.67</v>
      </c>
      <c r="C254" s="195">
        <f t="shared" si="21"/>
        <v>-2.2029651284192986E-2</v>
      </c>
      <c r="E254" s="196" t="s">
        <v>323</v>
      </c>
      <c r="F254" s="194">
        <v>265.85000000000002</v>
      </c>
      <c r="G254" s="195">
        <f t="shared" si="22"/>
        <v>-2.2574359351446693E-2</v>
      </c>
      <c r="I254" s="196">
        <v>44018</v>
      </c>
      <c r="J254">
        <v>29.29</v>
      </c>
      <c r="K254" s="195">
        <f t="shared" si="23"/>
        <v>-5.8502089360334297E-2</v>
      </c>
      <c r="M254" s="196">
        <v>44018</v>
      </c>
      <c r="N254">
        <v>31.02</v>
      </c>
      <c r="O254" s="195">
        <f t="shared" si="24"/>
        <v>-5.0505050505050608E-2</v>
      </c>
      <c r="Q254" s="197" t="s">
        <v>323</v>
      </c>
      <c r="R254">
        <v>32.89</v>
      </c>
      <c r="S254" s="195">
        <f t="shared" si="25"/>
        <v>1.1688711165795285E-2</v>
      </c>
      <c r="U254" s="196">
        <v>44018</v>
      </c>
      <c r="V254" s="194">
        <v>3.04</v>
      </c>
      <c r="W254" s="195">
        <f t="shared" si="26"/>
        <v>-4.1009463722397443E-2</v>
      </c>
      <c r="Y254" s="196" t="s">
        <v>323</v>
      </c>
      <c r="Z254" s="200">
        <v>3007</v>
      </c>
      <c r="AA254" s="195">
        <f t="shared" si="27"/>
        <v>-4.8796998665089353E-2</v>
      </c>
    </row>
    <row r="255" spans="1:27" x14ac:dyDescent="0.25">
      <c r="A255" s="196" t="s">
        <v>324</v>
      </c>
      <c r="B255" s="194">
        <v>95.78</v>
      </c>
      <c r="C255" s="195">
        <f t="shared" si="21"/>
        <v>-6.7406408793944106E-3</v>
      </c>
      <c r="E255" s="196" t="s">
        <v>324</v>
      </c>
      <c r="F255" s="194">
        <v>271.99</v>
      </c>
      <c r="G255" s="195">
        <f t="shared" si="22"/>
        <v>4.3106423777564684E-2</v>
      </c>
      <c r="I255" s="196" t="s">
        <v>325</v>
      </c>
      <c r="J255">
        <v>31.11</v>
      </c>
      <c r="K255" s="195">
        <f t="shared" si="23"/>
        <v>-2.2313010685103718E-2</v>
      </c>
      <c r="M255" s="196" t="s">
        <v>325</v>
      </c>
      <c r="N255">
        <v>32.67</v>
      </c>
      <c r="O255" s="195">
        <f t="shared" si="24"/>
        <v>-3.0599755201954348E-4</v>
      </c>
      <c r="Q255" s="197" t="s">
        <v>324</v>
      </c>
      <c r="R255">
        <v>32.51</v>
      </c>
      <c r="S255" s="195">
        <f t="shared" si="25"/>
        <v>6.0339204174820527E-2</v>
      </c>
      <c r="U255" s="196" t="s">
        <v>325</v>
      </c>
      <c r="V255" s="194">
        <v>3.17</v>
      </c>
      <c r="W255" s="195">
        <f t="shared" si="26"/>
        <v>0.18726591760299627</v>
      </c>
      <c r="Y255" s="196" t="s">
        <v>324</v>
      </c>
      <c r="Z255" s="200">
        <v>3161.26</v>
      </c>
      <c r="AA255" s="195">
        <f t="shared" si="27"/>
        <v>4.1687124145316723E-2</v>
      </c>
    </row>
    <row r="256" spans="1:27" x14ac:dyDescent="0.25">
      <c r="A256" s="196">
        <v>44018</v>
      </c>
      <c r="B256" s="194">
        <v>96.43</v>
      </c>
      <c r="C256" s="195">
        <f t="shared" si="21"/>
        <v>-6.1143024048291195E-2</v>
      </c>
      <c r="E256" s="196">
        <v>44018</v>
      </c>
      <c r="F256" s="194">
        <v>260.75</v>
      </c>
      <c r="G256" s="195">
        <f t="shared" si="22"/>
        <v>-0.13083333333333336</v>
      </c>
      <c r="I256" s="196" t="s">
        <v>326</v>
      </c>
      <c r="J256">
        <v>31.82</v>
      </c>
      <c r="K256" s="195">
        <f t="shared" si="23"/>
        <v>-0.10416666666666674</v>
      </c>
      <c r="M256" s="196" t="s">
        <v>326</v>
      </c>
      <c r="N256">
        <v>32.68</v>
      </c>
      <c r="O256" s="195">
        <f t="shared" si="24"/>
        <v>-4.3885313048566466E-2</v>
      </c>
      <c r="Q256" s="198">
        <v>44018</v>
      </c>
      <c r="R256">
        <v>30.66</v>
      </c>
      <c r="S256" s="195">
        <f t="shared" si="25"/>
        <v>-9.2630955904113632E-2</v>
      </c>
      <c r="U256" s="196" t="s">
        <v>326</v>
      </c>
      <c r="V256" s="194">
        <v>2.67</v>
      </c>
      <c r="W256" s="195">
        <f t="shared" si="26"/>
        <v>0.11250000000000004</v>
      </c>
      <c r="Y256" s="196">
        <v>44018</v>
      </c>
      <c r="Z256" s="200">
        <v>3034.75</v>
      </c>
      <c r="AA256" s="195">
        <f t="shared" si="27"/>
        <v>-4.7697497450380433E-2</v>
      </c>
    </row>
    <row r="257" spans="1:27" x14ac:dyDescent="0.25">
      <c r="A257" s="196" t="s">
        <v>325</v>
      </c>
      <c r="B257" s="194">
        <v>102.71</v>
      </c>
      <c r="C257" s="195">
        <f t="shared" si="21"/>
        <v>4.1894907689186356E-2</v>
      </c>
      <c r="E257" s="196" t="s">
        <v>325</v>
      </c>
      <c r="F257" s="194">
        <v>300</v>
      </c>
      <c r="G257" s="195">
        <f t="shared" si="22"/>
        <v>0.14416475972540055</v>
      </c>
      <c r="I257" s="196" t="s">
        <v>327</v>
      </c>
      <c r="J257">
        <v>35.520000000000003</v>
      </c>
      <c r="K257" s="195">
        <f t="shared" si="23"/>
        <v>0.13409961685823757</v>
      </c>
      <c r="M257" s="196" t="s">
        <v>327</v>
      </c>
      <c r="N257">
        <v>34.18</v>
      </c>
      <c r="O257" s="195">
        <f t="shared" si="24"/>
        <v>0.12360289283366188</v>
      </c>
      <c r="Q257" s="197" t="s">
        <v>325</v>
      </c>
      <c r="R257">
        <v>33.79</v>
      </c>
      <c r="S257" s="195">
        <f t="shared" si="25"/>
        <v>0.17940663176265281</v>
      </c>
      <c r="U257" s="196" t="s">
        <v>327</v>
      </c>
      <c r="V257" s="194">
        <v>2.4</v>
      </c>
      <c r="W257" s="195">
        <f t="shared" si="26"/>
        <v>3.8961038961038863E-2</v>
      </c>
      <c r="Y257" s="196" t="s">
        <v>325</v>
      </c>
      <c r="Z257" s="200">
        <v>3186.75</v>
      </c>
      <c r="AA257" s="195">
        <f t="shared" si="27"/>
        <v>4.758382642998038E-2</v>
      </c>
    </row>
    <row r="258" spans="1:27" x14ac:dyDescent="0.25">
      <c r="A258" s="196" t="s">
        <v>326</v>
      </c>
      <c r="B258" s="194">
        <v>98.58</v>
      </c>
      <c r="C258" s="195">
        <f t="shared" si="21"/>
        <v>5.152000000000001E-2</v>
      </c>
      <c r="E258" s="196" t="s">
        <v>326</v>
      </c>
      <c r="F258" s="194">
        <v>262.2</v>
      </c>
      <c r="G258" s="195">
        <f t="shared" si="22"/>
        <v>9.5649993731979466E-2</v>
      </c>
      <c r="I258" s="196">
        <v>44109</v>
      </c>
      <c r="J258">
        <v>31.32</v>
      </c>
      <c r="K258" s="195">
        <f t="shared" si="23"/>
        <v>7.0037581141100036E-2</v>
      </c>
      <c r="M258" s="196">
        <v>44109</v>
      </c>
      <c r="N258">
        <v>30.42</v>
      </c>
      <c r="O258" s="195">
        <f t="shared" si="24"/>
        <v>1.8413123535319764E-2</v>
      </c>
      <c r="Q258" s="197" t="s">
        <v>326</v>
      </c>
      <c r="R258">
        <v>28.65</v>
      </c>
      <c r="S258" s="195">
        <f t="shared" si="25"/>
        <v>7.2631973043803644E-2</v>
      </c>
      <c r="U258" s="196">
        <v>44109</v>
      </c>
      <c r="V258" s="194">
        <v>2.31</v>
      </c>
      <c r="W258" s="195">
        <f t="shared" si="26"/>
        <v>-2.5316455696202556E-2</v>
      </c>
      <c r="Y258" s="196" t="s">
        <v>326</v>
      </c>
      <c r="Z258" s="200">
        <v>3042</v>
      </c>
      <c r="AA258" s="195">
        <f t="shared" si="27"/>
        <v>3.0138841855740006E-2</v>
      </c>
    </row>
    <row r="259" spans="1:27" x14ac:dyDescent="0.25">
      <c r="A259" s="196" t="s">
        <v>327</v>
      </c>
      <c r="B259" s="194">
        <v>93.75</v>
      </c>
      <c r="C259" s="195">
        <f t="shared" si="21"/>
        <v>7.7710081618576954E-2</v>
      </c>
      <c r="E259" s="196" t="s">
        <v>327</v>
      </c>
      <c r="F259" s="194">
        <v>239.31</v>
      </c>
      <c r="G259" s="195">
        <f t="shared" si="22"/>
        <v>0.12083743150203752</v>
      </c>
      <c r="I259" s="196">
        <v>43895</v>
      </c>
      <c r="J259">
        <v>29.27</v>
      </c>
      <c r="K259" s="195">
        <f t="shared" si="23"/>
        <v>0.17503010839020461</v>
      </c>
      <c r="M259" s="196">
        <v>43895</v>
      </c>
      <c r="N259">
        <v>29.87</v>
      </c>
      <c r="O259" s="195">
        <f t="shared" si="24"/>
        <v>0.27268853855986386</v>
      </c>
      <c r="Q259" s="197" t="s">
        <v>327</v>
      </c>
      <c r="R259">
        <v>26.71</v>
      </c>
      <c r="S259" s="195">
        <f t="shared" si="25"/>
        <v>0.11291666666666678</v>
      </c>
      <c r="U259" s="196">
        <v>43895</v>
      </c>
      <c r="V259" s="194">
        <v>2.37</v>
      </c>
      <c r="W259" s="195">
        <f t="shared" si="26"/>
        <v>3.4934497816593968E-2</v>
      </c>
      <c r="Y259" s="196" t="s">
        <v>327</v>
      </c>
      <c r="Z259" s="200">
        <v>2953</v>
      </c>
      <c r="AA259" s="195">
        <f t="shared" si="27"/>
        <v>3.7414368522747266E-2</v>
      </c>
    </row>
    <row r="260" spans="1:27" x14ac:dyDescent="0.25">
      <c r="A260" s="196">
        <v>44109</v>
      </c>
      <c r="B260" s="194">
        <v>86.99</v>
      </c>
      <c r="C260" s="195">
        <f t="shared" si="21"/>
        <v>-3.8359495909794372E-2</v>
      </c>
      <c r="E260" s="196">
        <v>44109</v>
      </c>
      <c r="F260" s="194">
        <v>213.51</v>
      </c>
      <c r="G260" s="195">
        <f t="shared" si="22"/>
        <v>-7.1695652173913049E-2</v>
      </c>
      <c r="I260" s="196" t="s">
        <v>328</v>
      </c>
      <c r="J260">
        <v>24.91</v>
      </c>
      <c r="K260" s="195">
        <f t="shared" si="23"/>
        <v>-0.11035714285714282</v>
      </c>
      <c r="M260" s="196" t="s">
        <v>328</v>
      </c>
      <c r="N260">
        <v>23.47</v>
      </c>
      <c r="O260" s="195">
        <f t="shared" si="24"/>
        <v>-5.5913113435237305E-2</v>
      </c>
      <c r="Q260" s="198">
        <v>44109</v>
      </c>
      <c r="R260">
        <v>24</v>
      </c>
      <c r="S260" s="195">
        <f t="shared" si="25"/>
        <v>-4.0383846461415462E-2</v>
      </c>
      <c r="U260" s="196" t="s">
        <v>328</v>
      </c>
      <c r="V260" s="194">
        <v>2.29</v>
      </c>
      <c r="W260" s="195">
        <f t="shared" si="26"/>
        <v>-1.2931034482758563E-2</v>
      </c>
      <c r="Y260" s="196">
        <v>44109</v>
      </c>
      <c r="Z260" s="200">
        <v>2846.5</v>
      </c>
      <c r="AA260" s="195">
        <f t="shared" si="27"/>
        <v>-2.8000682943486455E-2</v>
      </c>
    </row>
    <row r="261" spans="1:27" x14ac:dyDescent="0.25">
      <c r="A261" s="196">
        <v>43895</v>
      </c>
      <c r="B261" s="194">
        <v>90.46</v>
      </c>
      <c r="C261" s="195">
        <f t="shared" si="21"/>
        <v>5.751695113397215E-2</v>
      </c>
      <c r="E261" s="196">
        <v>43895</v>
      </c>
      <c r="F261" s="194">
        <v>230</v>
      </c>
      <c r="G261" s="195">
        <f t="shared" si="22"/>
        <v>-2.0234291799786974E-2</v>
      </c>
      <c r="I261" s="196" t="s">
        <v>329</v>
      </c>
      <c r="J261">
        <v>28</v>
      </c>
      <c r="K261" s="195">
        <f t="shared" si="23"/>
        <v>2.6016855991205512E-2</v>
      </c>
      <c r="M261" s="196" t="s">
        <v>329</v>
      </c>
      <c r="N261">
        <v>24.86</v>
      </c>
      <c r="O261" s="195">
        <f t="shared" si="24"/>
        <v>4.1038525963149164E-2</v>
      </c>
      <c r="Q261" s="198">
        <v>43895</v>
      </c>
      <c r="R261">
        <v>25.01</v>
      </c>
      <c r="S261" s="195">
        <f t="shared" si="25"/>
        <v>0.13321250566379716</v>
      </c>
      <c r="U261" s="196" t="s">
        <v>329</v>
      </c>
      <c r="V261" s="194">
        <v>2.3199999999999998</v>
      </c>
      <c r="W261" s="195">
        <f t="shared" si="26"/>
        <v>3.5714285714285587E-2</v>
      </c>
      <c r="Y261" s="196">
        <v>43895</v>
      </c>
      <c r="Z261" s="200">
        <v>2928.5</v>
      </c>
      <c r="AA261" s="195">
        <f t="shared" si="27"/>
        <v>3.7831133162044894E-2</v>
      </c>
    </row>
    <row r="262" spans="1:27" x14ac:dyDescent="0.25">
      <c r="A262" s="196" t="s">
        <v>328</v>
      </c>
      <c r="B262" s="194">
        <v>85.54</v>
      </c>
      <c r="C262" s="195">
        <f t="shared" si="21"/>
        <v>-3.2024442684168819E-2</v>
      </c>
      <c r="E262" s="196" t="s">
        <v>328</v>
      </c>
      <c r="F262" s="194">
        <v>234.75</v>
      </c>
      <c r="G262" s="195">
        <f t="shared" si="22"/>
        <v>4.8178246115377688E-2</v>
      </c>
      <c r="I262" s="196">
        <v>44169</v>
      </c>
      <c r="J262">
        <v>27.29</v>
      </c>
      <c r="K262" s="195">
        <f t="shared" si="23"/>
        <v>6.6015624999999911E-2</v>
      </c>
      <c r="M262" s="196">
        <v>44169</v>
      </c>
      <c r="N262">
        <v>23.88</v>
      </c>
      <c r="O262" s="195">
        <f t="shared" si="24"/>
        <v>4.2794759825327544E-2</v>
      </c>
      <c r="Q262" s="197" t="s">
        <v>328</v>
      </c>
      <c r="R262">
        <v>22.07</v>
      </c>
      <c r="S262" s="195">
        <f t="shared" si="25"/>
        <v>2.6034402603440254E-2</v>
      </c>
      <c r="U262" s="196">
        <v>44169</v>
      </c>
      <c r="V262" s="194">
        <v>2.2400000000000002</v>
      </c>
      <c r="W262" s="195">
        <f t="shared" si="26"/>
        <v>4.6728971962616939E-2</v>
      </c>
      <c r="Y262" s="196" t="s">
        <v>328</v>
      </c>
      <c r="Z262" s="200">
        <v>2821.75</v>
      </c>
      <c r="AA262" s="195">
        <f t="shared" si="27"/>
        <v>-2.738999823290289E-3</v>
      </c>
    </row>
    <row r="263" spans="1:27" x14ac:dyDescent="0.25">
      <c r="A263" s="196" t="s">
        <v>329</v>
      </c>
      <c r="B263" s="194">
        <v>88.37</v>
      </c>
      <c r="C263" s="195">
        <f t="shared" si="21"/>
        <v>-1.7128239350461483E-2</v>
      </c>
      <c r="E263" s="196" t="s">
        <v>329</v>
      </c>
      <c r="F263" s="194">
        <v>223.96</v>
      </c>
      <c r="G263" s="195">
        <f t="shared" si="22"/>
        <v>-4.904250350303585E-2</v>
      </c>
      <c r="I263" s="196">
        <v>43955</v>
      </c>
      <c r="J263">
        <v>25.6</v>
      </c>
      <c r="K263" s="195">
        <f t="shared" si="23"/>
        <v>-3.1403707907680656E-2</v>
      </c>
      <c r="M263" s="196">
        <v>43955</v>
      </c>
      <c r="N263">
        <v>22.9</v>
      </c>
      <c r="O263" s="195">
        <f t="shared" si="24"/>
        <v>-5.6836902800659117E-2</v>
      </c>
      <c r="Q263" s="197" t="s">
        <v>329</v>
      </c>
      <c r="R263">
        <v>21.51</v>
      </c>
      <c r="S263" s="195">
        <f t="shared" si="25"/>
        <v>-7.3643410852713087E-2</v>
      </c>
      <c r="U263" s="196">
        <v>43955</v>
      </c>
      <c r="V263" s="194">
        <v>2.14</v>
      </c>
      <c r="W263" s="195">
        <f t="shared" si="26"/>
        <v>-4.6511627906975495E-3</v>
      </c>
      <c r="Y263" s="196" t="s">
        <v>329</v>
      </c>
      <c r="Z263" s="200">
        <v>2829.5</v>
      </c>
      <c r="AA263" s="195">
        <f t="shared" si="27"/>
        <v>-1.411149825783975E-2</v>
      </c>
    </row>
    <row r="264" spans="1:27" x14ac:dyDescent="0.25">
      <c r="A264" s="196">
        <v>44169</v>
      </c>
      <c r="B264" s="194">
        <v>89.91</v>
      </c>
      <c r="C264" s="195">
        <f t="shared" si="21"/>
        <v>3.5948842032492045E-2</v>
      </c>
      <c r="E264" s="196">
        <v>44169</v>
      </c>
      <c r="F264" s="194">
        <v>235.51</v>
      </c>
      <c r="G264" s="195">
        <f t="shared" si="22"/>
        <v>-5.3226130653266424E-2</v>
      </c>
      <c r="I264" s="196" t="s">
        <v>330</v>
      </c>
      <c r="J264">
        <v>26.43</v>
      </c>
      <c r="K264" s="195">
        <f t="shared" si="23"/>
        <v>1.1363636363637131E-3</v>
      </c>
      <c r="M264" s="196" t="s">
        <v>330</v>
      </c>
      <c r="N264">
        <v>24.28</v>
      </c>
      <c r="O264" s="195">
        <f t="shared" si="24"/>
        <v>-2.1362353889560537E-2</v>
      </c>
      <c r="Q264" s="198">
        <v>44169</v>
      </c>
      <c r="R264">
        <v>23.22</v>
      </c>
      <c r="S264" s="195">
        <f t="shared" si="25"/>
        <v>0.11420345489443373</v>
      </c>
      <c r="U264" s="196" t="s">
        <v>330</v>
      </c>
      <c r="V264" s="194">
        <v>2.15</v>
      </c>
      <c r="W264" s="195">
        <f t="shared" si="26"/>
        <v>-4.0178571428571508E-2</v>
      </c>
      <c r="Y264" s="196">
        <v>44169</v>
      </c>
      <c r="Z264" s="200">
        <v>2870</v>
      </c>
      <c r="AA264" s="195">
        <f t="shared" si="27"/>
        <v>3.2466948466588708E-2</v>
      </c>
    </row>
    <row r="265" spans="1:27" x14ac:dyDescent="0.25">
      <c r="A265" s="196">
        <v>43955</v>
      </c>
      <c r="B265" s="194">
        <v>86.79</v>
      </c>
      <c r="C265" s="195">
        <f t="shared" si="21"/>
        <v>0.10055795079888408</v>
      </c>
      <c r="E265" s="196">
        <v>43955</v>
      </c>
      <c r="F265" s="194">
        <v>248.75</v>
      </c>
      <c r="G265" s="195">
        <f t="shared" si="22"/>
        <v>0.24374999999999991</v>
      </c>
      <c r="I265" s="196" t="s">
        <v>331</v>
      </c>
      <c r="J265">
        <v>26.4</v>
      </c>
      <c r="K265" s="195">
        <f t="shared" si="23"/>
        <v>0.2199630314232901</v>
      </c>
      <c r="M265" s="196" t="s">
        <v>331</v>
      </c>
      <c r="N265">
        <v>24.81</v>
      </c>
      <c r="O265" s="195">
        <f t="shared" si="24"/>
        <v>0.21916461916461905</v>
      </c>
      <c r="Q265" s="198">
        <v>43955</v>
      </c>
      <c r="R265">
        <v>20.84</v>
      </c>
      <c r="S265" s="195">
        <f t="shared" si="25"/>
        <v>0.41672331747110802</v>
      </c>
      <c r="U265" s="196" t="s">
        <v>331</v>
      </c>
      <c r="V265" s="194">
        <v>2.2400000000000002</v>
      </c>
      <c r="W265" s="195">
        <f t="shared" si="26"/>
        <v>0.24444444444444446</v>
      </c>
      <c r="Y265" s="196">
        <v>43955</v>
      </c>
      <c r="Z265" s="200">
        <v>2779.75</v>
      </c>
      <c r="AA265" s="195">
        <f t="shared" si="27"/>
        <v>0.11962541536602567</v>
      </c>
    </row>
    <row r="266" spans="1:27" x14ac:dyDescent="0.25">
      <c r="A266" s="196" t="s">
        <v>330</v>
      </c>
      <c r="B266" s="194">
        <v>78.86</v>
      </c>
      <c r="C266" s="195">
        <f t="shared" si="21"/>
        <v>-5.250510633185157E-2</v>
      </c>
      <c r="E266" s="196" t="s">
        <v>330</v>
      </c>
      <c r="F266" s="194">
        <v>200</v>
      </c>
      <c r="G266" s="195">
        <f t="shared" si="22"/>
        <v>-0.13606911447084236</v>
      </c>
      <c r="I266" s="196" t="s">
        <v>332</v>
      </c>
      <c r="J266">
        <v>21.64</v>
      </c>
      <c r="K266" s="195">
        <f t="shared" si="23"/>
        <v>-0.1274193548387097</v>
      </c>
      <c r="M266" s="196" t="s">
        <v>332</v>
      </c>
      <c r="N266">
        <v>20.350000000000001</v>
      </c>
      <c r="O266" s="195">
        <f t="shared" si="24"/>
        <v>-8.2506762849413828E-2</v>
      </c>
      <c r="Q266" s="197" t="s">
        <v>330</v>
      </c>
      <c r="R266">
        <v>14.71</v>
      </c>
      <c r="S266" s="195">
        <f t="shared" si="25"/>
        <v>-0.18413754853022746</v>
      </c>
      <c r="U266" s="196" t="s">
        <v>332</v>
      </c>
      <c r="V266" s="194">
        <v>1.8</v>
      </c>
      <c r="W266" s="195">
        <f t="shared" si="26"/>
        <v>-0.14691943127962082</v>
      </c>
      <c r="Y266" s="196" t="s">
        <v>330</v>
      </c>
      <c r="Z266" s="200">
        <v>2482.75</v>
      </c>
      <c r="AA266" s="195">
        <f t="shared" si="27"/>
        <v>-1.634310618066559E-2</v>
      </c>
    </row>
    <row r="267" spans="1:27" x14ac:dyDescent="0.25">
      <c r="A267" s="196" t="s">
        <v>331</v>
      </c>
      <c r="B267" s="194">
        <v>83.23</v>
      </c>
      <c r="C267" s="195">
        <f t="shared" si="21"/>
        <v>0.23395107487027422</v>
      </c>
      <c r="E267" s="196" t="s">
        <v>331</v>
      </c>
      <c r="F267" s="194">
        <v>231.5</v>
      </c>
      <c r="G267" s="195">
        <f t="shared" si="22"/>
        <v>0.17961783439490442</v>
      </c>
      <c r="I267" s="196">
        <v>44046</v>
      </c>
      <c r="J267">
        <v>24.8</v>
      </c>
      <c r="K267" s="195">
        <f t="shared" si="23"/>
        <v>0.17479867361440071</v>
      </c>
      <c r="M267" s="196">
        <v>44046</v>
      </c>
      <c r="N267">
        <v>22.18</v>
      </c>
      <c r="O267" s="195">
        <f t="shared" si="24"/>
        <v>0.28060046189376431</v>
      </c>
      <c r="Q267" s="197" t="s">
        <v>331</v>
      </c>
      <c r="R267">
        <v>18.03</v>
      </c>
      <c r="S267" s="195">
        <f t="shared" si="25"/>
        <v>0.67409470752089162</v>
      </c>
      <c r="U267" s="196">
        <v>44046</v>
      </c>
      <c r="V267" s="194">
        <v>2.11</v>
      </c>
      <c r="W267" s="195">
        <f t="shared" si="26"/>
        <v>-0.18532818532818529</v>
      </c>
      <c r="Y267" s="196" t="s">
        <v>331</v>
      </c>
      <c r="Z267" s="200">
        <v>2524</v>
      </c>
      <c r="AA267" s="195">
        <f t="shared" si="27"/>
        <v>3.5283308312619388E-2</v>
      </c>
    </row>
    <row r="268" spans="1:27" x14ac:dyDescent="0.25">
      <c r="A268" s="196" t="s">
        <v>332</v>
      </c>
      <c r="B268" s="194">
        <v>67.45</v>
      </c>
      <c r="C268" s="195">
        <f t="shared" si="21"/>
        <v>-0.10756813971950241</v>
      </c>
      <c r="E268" s="196" t="s">
        <v>332</v>
      </c>
      <c r="F268" s="194">
        <v>196.25</v>
      </c>
      <c r="G268" s="195">
        <f t="shared" si="22"/>
        <v>3.040008400714056E-2</v>
      </c>
      <c r="I268" s="196">
        <v>43833</v>
      </c>
      <c r="J268">
        <v>21.11</v>
      </c>
      <c r="K268" s="195">
        <f t="shared" si="23"/>
        <v>-0.20128641695043514</v>
      </c>
      <c r="M268" s="196">
        <v>43833</v>
      </c>
      <c r="N268">
        <v>17.32</v>
      </c>
      <c r="O268" s="195">
        <f t="shared" si="24"/>
        <v>-0.19851920407218882</v>
      </c>
      <c r="Q268" s="197" t="s">
        <v>332</v>
      </c>
      <c r="R268">
        <v>10.77</v>
      </c>
      <c r="S268" s="195">
        <f t="shared" si="25"/>
        <v>-0.44312306101344368</v>
      </c>
      <c r="U268" s="196">
        <v>43833</v>
      </c>
      <c r="V268" s="194">
        <v>2.59</v>
      </c>
      <c r="W268" s="195">
        <f t="shared" si="26"/>
        <v>-5.1282051282051322E-2</v>
      </c>
      <c r="Y268" s="196" t="s">
        <v>332</v>
      </c>
      <c r="Z268" s="200">
        <v>2437.98</v>
      </c>
      <c r="AA268" s="195">
        <f t="shared" si="27"/>
        <v>-9.5704747774480681E-2</v>
      </c>
    </row>
    <row r="269" spans="1:27" x14ac:dyDescent="0.25">
      <c r="A269" s="196">
        <v>44046</v>
      </c>
      <c r="B269" s="194">
        <v>75.58</v>
      </c>
      <c r="C269" s="195">
        <f t="shared" si="21"/>
        <v>-0.14463558171118152</v>
      </c>
      <c r="E269" s="196">
        <v>44046</v>
      </c>
      <c r="F269" s="194">
        <v>190.46</v>
      </c>
      <c r="G269" s="195">
        <f t="shared" si="22"/>
        <v>-0.28879761015683347</v>
      </c>
      <c r="I269" s="196" t="s">
        <v>333</v>
      </c>
      <c r="J269">
        <v>26.43</v>
      </c>
      <c r="K269" s="195">
        <f t="shared" si="23"/>
        <v>-0.14961389961389959</v>
      </c>
      <c r="M269" s="196" t="s">
        <v>333</v>
      </c>
      <c r="N269">
        <v>21.61</v>
      </c>
      <c r="O269" s="195">
        <f t="shared" si="24"/>
        <v>-0.24887035106013211</v>
      </c>
      <c r="Q269" s="198">
        <v>44046</v>
      </c>
      <c r="R269">
        <v>19.34</v>
      </c>
      <c r="S269" s="195">
        <f t="shared" si="25"/>
        <v>-0.20181593066446557</v>
      </c>
      <c r="U269" s="196" t="s">
        <v>333</v>
      </c>
      <c r="V269" s="194">
        <v>2.73</v>
      </c>
      <c r="W269" s="195">
        <f t="shared" si="26"/>
        <v>-8.3892617449664475E-2</v>
      </c>
      <c r="Y269" s="196">
        <v>44046</v>
      </c>
      <c r="Z269" s="200">
        <v>2696</v>
      </c>
      <c r="AA269" s="195">
        <f t="shared" si="27"/>
        <v>-9.0418353576248278E-2</v>
      </c>
    </row>
    <row r="270" spans="1:27" x14ac:dyDescent="0.25">
      <c r="A270" s="196">
        <v>43833</v>
      </c>
      <c r="B270" s="194">
        <v>88.36</v>
      </c>
      <c r="C270" s="195">
        <f t="shared" si="21"/>
        <v>-1.1411948981875142E-2</v>
      </c>
      <c r="E270" s="196">
        <v>43833</v>
      </c>
      <c r="F270" s="194">
        <v>267.8</v>
      </c>
      <c r="G270" s="195">
        <f t="shared" si="22"/>
        <v>-1.904761904761898E-2</v>
      </c>
      <c r="I270" s="196" t="s">
        <v>334</v>
      </c>
      <c r="J270">
        <v>31.08</v>
      </c>
      <c r="K270" s="195">
        <f t="shared" si="23"/>
        <v>-6.0459492140266025E-2</v>
      </c>
      <c r="M270" s="196" t="s">
        <v>334</v>
      </c>
      <c r="N270">
        <v>28.77</v>
      </c>
      <c r="O270" s="195">
        <f t="shared" si="24"/>
        <v>-6.9036934760096091E-3</v>
      </c>
      <c r="Q270" s="198">
        <v>43833</v>
      </c>
      <c r="R270">
        <v>24.23</v>
      </c>
      <c r="S270" s="195">
        <f t="shared" si="25"/>
        <v>-7.4130683989300783E-2</v>
      </c>
      <c r="U270" s="196" t="s">
        <v>334</v>
      </c>
      <c r="V270" s="194">
        <v>2.98</v>
      </c>
      <c r="W270" s="195">
        <f t="shared" si="26"/>
        <v>-0.12352941176470589</v>
      </c>
      <c r="Y270" s="196">
        <v>43833</v>
      </c>
      <c r="Z270" s="200">
        <v>2964</v>
      </c>
      <c r="AA270" s="195">
        <f t="shared" si="27"/>
        <v>4.405286343612369E-3</v>
      </c>
    </row>
    <row r="271" spans="1:27" x14ac:dyDescent="0.25">
      <c r="A271" s="196" t="s">
        <v>333</v>
      </c>
      <c r="B271" s="194">
        <v>89.38</v>
      </c>
      <c r="C271" s="195">
        <f t="shared" ref="C271" si="28">B271/B272-1</f>
        <v>-0.10842892768079804</v>
      </c>
      <c r="E271" s="196" t="s">
        <v>333</v>
      </c>
      <c r="F271" s="194">
        <v>273</v>
      </c>
      <c r="G271" s="195">
        <f t="shared" ref="G271" si="29">F271/F272-1</f>
        <v>-0.10465383227837732</v>
      </c>
      <c r="I271" s="196">
        <v>44076</v>
      </c>
      <c r="J271">
        <v>33.08</v>
      </c>
      <c r="K271" s="195">
        <f t="shared" ref="K271" si="30">J271/J272-1</f>
        <v>-0.10352303523035233</v>
      </c>
      <c r="M271" s="196">
        <v>44076</v>
      </c>
      <c r="N271">
        <v>28.97</v>
      </c>
      <c r="O271" s="195">
        <f t="shared" ref="O271" si="31">N271/N272-1</f>
        <v>-0.10669133518347207</v>
      </c>
      <c r="Q271" s="197" t="s">
        <v>333</v>
      </c>
      <c r="R271">
        <v>26.17</v>
      </c>
      <c r="S271" s="195">
        <f t="shared" ref="S271" si="32">R271/R272-1</f>
        <v>-0.28692098092643048</v>
      </c>
      <c r="U271" s="196">
        <v>44076</v>
      </c>
      <c r="V271" s="194">
        <v>3.4</v>
      </c>
      <c r="W271" s="195">
        <f t="shared" ref="W271" si="33">V271/V272-1</f>
        <v>-8.8471849865951802E-2</v>
      </c>
      <c r="Y271" s="196" t="s">
        <v>333</v>
      </c>
      <c r="Z271" s="200">
        <v>2951</v>
      </c>
      <c r="AA271" s="195">
        <f t="shared" ref="AA271" si="34">Z271/Z272-1</f>
        <v>-0.11626862319383091</v>
      </c>
    </row>
    <row r="272" spans="1:27" x14ac:dyDescent="0.25">
      <c r="A272" s="196" t="s">
        <v>334</v>
      </c>
      <c r="B272" s="194">
        <v>100.25</v>
      </c>
      <c r="E272" s="196" t="s">
        <v>334</v>
      </c>
      <c r="F272" s="194">
        <v>304.91000000000003</v>
      </c>
      <c r="I272" s="196">
        <v>43863</v>
      </c>
      <c r="J272">
        <v>36.9</v>
      </c>
      <c r="M272" s="196">
        <v>43863</v>
      </c>
      <c r="N272">
        <v>32.43</v>
      </c>
      <c r="Q272" s="197" t="s">
        <v>334</v>
      </c>
      <c r="R272">
        <v>36.700000000000003</v>
      </c>
      <c r="U272" s="196">
        <v>43863</v>
      </c>
      <c r="V272" s="194">
        <v>3.73</v>
      </c>
      <c r="Y272" s="196" t="s">
        <v>334</v>
      </c>
      <c r="Z272" s="200">
        <v>3339.25</v>
      </c>
    </row>
    <row r="273" spans="1:26" x14ac:dyDescent="0.25">
      <c r="A273" s="192" t="s">
        <v>166</v>
      </c>
      <c r="B273" s="193">
        <f>SLOPE(C14:C271,AA14:AA271)</f>
        <v>1.0813493987999467</v>
      </c>
      <c r="E273" s="199" t="s">
        <v>166</v>
      </c>
      <c r="F273" s="193">
        <f>SLOPE(G14:G271,AA14:AA271)</f>
        <v>1.1249930180369794</v>
      </c>
      <c r="I273" s="199" t="s">
        <v>166</v>
      </c>
      <c r="J273" s="193">
        <f>SLOPE(K14:K271,AA14:AA271)</f>
        <v>1.228818610710273</v>
      </c>
      <c r="M273" s="199" t="s">
        <v>166</v>
      </c>
      <c r="N273" s="193">
        <f>SLOPE(O14:O271,AA14:AA271)</f>
        <v>1.2795355687316441</v>
      </c>
      <c r="Q273" s="192" t="s">
        <v>166</v>
      </c>
      <c r="R273" s="193">
        <f>SLOPE(S14:S271,AA14:AA271)</f>
        <v>2.1004793262607548</v>
      </c>
      <c r="U273" s="192" t="s">
        <v>166</v>
      </c>
      <c r="V273" s="193">
        <f>SLOPE(W14:W271,AA14:AA271)</f>
        <v>0.78779981440444746</v>
      </c>
      <c r="Y273" s="192" t="s">
        <v>166</v>
      </c>
      <c r="Z273" s="193">
        <f>SLOPE(AA14:AA271,AA14:AA271)</f>
        <v>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3"/>
  <sheetViews>
    <sheetView showGridLines="0" zoomScale="61" workbookViewId="0">
      <pane xSplit="1" topLeftCell="B1" activePane="topRight" state="frozen"/>
      <selection pane="topRight" activeCell="M31" sqref="M31"/>
    </sheetView>
  </sheetViews>
  <sheetFormatPr defaultRowHeight="15" x14ac:dyDescent="0.25"/>
  <cols>
    <col min="1" max="1" width="33.140625" customWidth="1"/>
    <col min="2" max="2" width="26.42578125" customWidth="1"/>
    <col min="3" max="3" width="21.5703125" customWidth="1"/>
    <col min="11" max="11" width="18.5703125" customWidth="1"/>
    <col min="13" max="13" width="21.28515625" customWidth="1"/>
  </cols>
  <sheetData>
    <row r="1" spans="1:6" x14ac:dyDescent="0.25">
      <c r="A1" s="413" t="s">
        <v>351</v>
      </c>
      <c r="B1" s="414"/>
      <c r="C1" s="415"/>
    </row>
    <row r="2" spans="1:6" x14ac:dyDescent="0.25">
      <c r="A2" s="446" t="s">
        <v>352</v>
      </c>
      <c r="B2" s="207"/>
      <c r="C2" s="345">
        <v>4.48E-2</v>
      </c>
      <c r="D2" t="s">
        <v>525</v>
      </c>
    </row>
    <row r="3" spans="1:6" x14ac:dyDescent="0.25">
      <c r="A3" s="446" t="s">
        <v>353</v>
      </c>
      <c r="B3" s="207"/>
      <c r="C3" s="346" t="s">
        <v>524</v>
      </c>
      <c r="D3" s="342" t="s">
        <v>170</v>
      </c>
      <c r="E3" s="343" t="s">
        <v>523</v>
      </c>
      <c r="F3" s="342"/>
    </row>
    <row r="4" spans="1:6" x14ac:dyDescent="0.25">
      <c r="A4" s="446" t="s">
        <v>354</v>
      </c>
      <c r="B4" s="207"/>
      <c r="C4" s="431">
        <v>8.5000000000000006E-3</v>
      </c>
    </row>
    <row r="5" spans="1:6" x14ac:dyDescent="0.25">
      <c r="A5" s="447" t="s">
        <v>355</v>
      </c>
      <c r="B5" s="208"/>
      <c r="C5" s="431">
        <f>C2+C4</f>
        <v>5.33E-2</v>
      </c>
    </row>
    <row r="6" spans="1:6" ht="15.75" thickBot="1" x14ac:dyDescent="0.3">
      <c r="A6" s="421" t="s">
        <v>356</v>
      </c>
      <c r="B6" s="422" t="s">
        <v>357</v>
      </c>
      <c r="C6" s="423">
        <f>C9/SUM(C10:C11)</f>
        <v>3.424076932810325E-2</v>
      </c>
    </row>
    <row r="7" spans="1:6" x14ac:dyDescent="0.25">
      <c r="A7" s="208"/>
      <c r="B7" s="208"/>
      <c r="C7" s="149"/>
    </row>
    <row r="8" spans="1:6" x14ac:dyDescent="0.25">
      <c r="A8" s="208" t="s">
        <v>358</v>
      </c>
      <c r="B8" s="207"/>
    </row>
    <row r="9" spans="1:6" x14ac:dyDescent="0.25">
      <c r="A9" s="207"/>
      <c r="B9" s="425" t="s">
        <v>359</v>
      </c>
      <c r="C9" s="437">
        <f>'Debt Schedule'!C14</f>
        <v>270.60480000000001</v>
      </c>
    </row>
    <row r="10" spans="1:6" x14ac:dyDescent="0.25">
      <c r="A10" s="207"/>
      <c r="B10" s="425" t="s">
        <v>360</v>
      </c>
      <c r="C10" s="438">
        <f>'NIKE - BS'!H37</f>
        <v>6903</v>
      </c>
    </row>
    <row r="11" spans="1:6" x14ac:dyDescent="0.25">
      <c r="A11" s="207"/>
      <c r="B11" s="425" t="s">
        <v>361</v>
      </c>
      <c r="C11" s="439">
        <f>'NIKE - BS'!H28</f>
        <v>1000</v>
      </c>
    </row>
    <row r="14" spans="1:6" x14ac:dyDescent="0.25">
      <c r="A14" s="413" t="s">
        <v>362</v>
      </c>
      <c r="B14" s="416"/>
      <c r="C14" s="415"/>
    </row>
    <row r="15" spans="1:6" x14ac:dyDescent="0.25">
      <c r="A15" s="446" t="s">
        <v>352</v>
      </c>
      <c r="B15" s="432"/>
      <c r="C15" s="431">
        <f>C2</f>
        <v>4.48E-2</v>
      </c>
    </row>
    <row r="16" spans="1:6" x14ac:dyDescent="0.25">
      <c r="A16" s="446" t="s">
        <v>363</v>
      </c>
      <c r="B16" s="432"/>
      <c r="C16" s="433">
        <f>'REGRESSION BETA'!B4</f>
        <v>1.0813493987999467</v>
      </c>
    </row>
    <row r="17" spans="1:14" x14ac:dyDescent="0.25">
      <c r="A17" s="446" t="s">
        <v>364</v>
      </c>
      <c r="B17" s="432"/>
      <c r="C17" s="434">
        <v>4.5999999999999999E-2</v>
      </c>
    </row>
    <row r="18" spans="1:14" ht="15.75" thickBot="1" x14ac:dyDescent="0.3">
      <c r="A18" s="448" t="s">
        <v>365</v>
      </c>
      <c r="B18" s="435"/>
      <c r="C18" s="436">
        <f>C15+C16*C17</f>
        <v>9.4542072344797556E-2</v>
      </c>
    </row>
    <row r="20" spans="1:14" x14ac:dyDescent="0.25">
      <c r="A20" s="417" t="s">
        <v>366</v>
      </c>
      <c r="B20" s="416"/>
      <c r="C20" s="415"/>
    </row>
    <row r="21" spans="1:14" x14ac:dyDescent="0.25">
      <c r="A21" s="449" t="s">
        <v>367</v>
      </c>
      <c r="B21" s="428"/>
      <c r="C21" s="429">
        <f>_xlfn.RRI(5,'REGRESSION BETA'!Z272,'REGRESSION BETA'!Z14)</f>
        <v>0.12819051722330954</v>
      </c>
    </row>
    <row r="22" spans="1:14" x14ac:dyDescent="0.25">
      <c r="A22" s="449" t="s">
        <v>368</v>
      </c>
      <c r="B22" s="430"/>
      <c r="C22" s="431">
        <f>C15</f>
        <v>4.48E-2</v>
      </c>
    </row>
    <row r="23" spans="1:14" ht="15.75" thickBot="1" x14ac:dyDescent="0.3">
      <c r="A23" s="418" t="s">
        <v>369</v>
      </c>
      <c r="B23" s="419"/>
      <c r="C23" s="420">
        <f>C21-C22</f>
        <v>8.3390517223309535E-2</v>
      </c>
    </row>
    <row r="25" spans="1:14" x14ac:dyDescent="0.25">
      <c r="A25" s="212" t="s">
        <v>370</v>
      </c>
    </row>
    <row r="27" spans="1:14" x14ac:dyDescent="0.25">
      <c r="A27" s="424" t="s">
        <v>371</v>
      </c>
      <c r="B27" s="412">
        <f>B29*C5*(1-B28)+B30*C18</f>
        <v>9.1902007743221492E-2</v>
      </c>
      <c r="C27" t="s">
        <v>372</v>
      </c>
      <c r="K27" s="41">
        <v>45443</v>
      </c>
      <c r="M27">
        <v>2024</v>
      </c>
    </row>
    <row r="28" spans="1:14" x14ac:dyDescent="0.25">
      <c r="A28" s="424" t="s">
        <v>373</v>
      </c>
      <c r="B28" s="426">
        <f>DCF!C7</f>
        <v>0.14069446771365593</v>
      </c>
      <c r="J28" s="222" t="s">
        <v>379</v>
      </c>
      <c r="K28" s="467">
        <v>93.3</v>
      </c>
      <c r="L28" s="222" t="s">
        <v>543</v>
      </c>
      <c r="M28" s="70">
        <v>1479.13</v>
      </c>
      <c r="N28" t="s">
        <v>526</v>
      </c>
    </row>
    <row r="29" spans="1:14" x14ac:dyDescent="0.25">
      <c r="A29" s="424" t="s">
        <v>374</v>
      </c>
      <c r="B29" s="427">
        <f>WACC!K32</f>
        <v>5.4165073829915325E-2</v>
      </c>
    </row>
    <row r="30" spans="1:14" x14ac:dyDescent="0.25">
      <c r="A30" s="424" t="s">
        <v>375</v>
      </c>
      <c r="B30" s="427">
        <f>WACC!K33</f>
        <v>0.94583492617008469</v>
      </c>
      <c r="I30" s="222" t="s">
        <v>381</v>
      </c>
      <c r="K30" s="222">
        <f>K28*M28</f>
        <v>138002.829</v>
      </c>
    </row>
    <row r="31" spans="1:14" x14ac:dyDescent="0.25">
      <c r="I31" s="222" t="s">
        <v>383</v>
      </c>
      <c r="K31" s="224">
        <f>WACC!C10+WACC!C11</f>
        <v>7903</v>
      </c>
    </row>
    <row r="32" spans="1:14" x14ac:dyDescent="0.25">
      <c r="I32" s="222" t="s">
        <v>374</v>
      </c>
      <c r="K32" s="325">
        <f>K31/SUM(K30:K31)</f>
        <v>5.4165073829915325E-2</v>
      </c>
    </row>
    <row r="33" spans="9:11" x14ac:dyDescent="0.25">
      <c r="I33" s="222" t="s">
        <v>375</v>
      </c>
      <c r="K33" s="225">
        <f>1-K32</f>
        <v>0.94583492617008469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Y49"/>
  <sheetViews>
    <sheetView showGridLines="0" zoomScale="86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34.28515625" customWidth="1"/>
    <col min="2" max="2" width="12" customWidth="1"/>
    <col min="3" max="3" width="11.7109375" bestFit="1" customWidth="1"/>
    <col min="6" max="6" width="12.5703125" bestFit="1" customWidth="1"/>
    <col min="12" max="12" width="18.5703125" customWidth="1"/>
    <col min="14" max="14" width="12" bestFit="1" customWidth="1"/>
    <col min="16" max="16" width="15.28515625" bestFit="1" customWidth="1"/>
  </cols>
  <sheetData>
    <row r="2" spans="1:8" x14ac:dyDescent="0.25">
      <c r="A2" s="213" t="s">
        <v>376</v>
      </c>
      <c r="B2" s="214" t="s">
        <v>48</v>
      </c>
      <c r="C2" s="215">
        <v>1</v>
      </c>
      <c r="D2" s="215">
        <v>2</v>
      </c>
      <c r="E2" s="215">
        <v>3</v>
      </c>
      <c r="F2" s="215">
        <v>4</v>
      </c>
      <c r="G2" s="215">
        <v>5</v>
      </c>
    </row>
    <row r="3" spans="1:8" x14ac:dyDescent="0.25">
      <c r="A3" s="216" t="s">
        <v>377</v>
      </c>
      <c r="B3" s="217"/>
      <c r="C3" s="218" t="s">
        <v>378</v>
      </c>
      <c r="D3" s="218" t="s">
        <v>378</v>
      </c>
      <c r="E3" s="218" t="s">
        <v>378</v>
      </c>
      <c r="F3" s="218" t="s">
        <v>378</v>
      </c>
      <c r="G3" s="364" t="s">
        <v>378</v>
      </c>
    </row>
    <row r="4" spans="1:8" x14ac:dyDescent="0.25">
      <c r="A4" s="219" t="s">
        <v>48</v>
      </c>
      <c r="B4" s="220"/>
      <c r="C4" s="221">
        <v>2025</v>
      </c>
      <c r="D4" s="221">
        <v>2026</v>
      </c>
      <c r="E4" s="221">
        <v>2027</v>
      </c>
      <c r="F4" s="221">
        <v>2028</v>
      </c>
      <c r="G4" s="221">
        <v>2029</v>
      </c>
    </row>
    <row r="5" spans="1:8" x14ac:dyDescent="0.25">
      <c r="A5" s="129"/>
      <c r="G5" s="129"/>
    </row>
    <row r="6" spans="1:8" x14ac:dyDescent="0.25">
      <c r="A6" s="129" t="s">
        <v>380</v>
      </c>
      <c r="C6" s="62">
        <f>'NIKE-IS'!H16</f>
        <v>6192.7195260389781</v>
      </c>
      <c r="D6" s="62">
        <f>'NIKE-IS'!I16</f>
        <v>6039.330697047435</v>
      </c>
      <c r="E6" s="62">
        <f>'NIKE-IS'!J16</f>
        <v>5928.7304540014811</v>
      </c>
      <c r="F6" s="62">
        <f>'NIKE-IS'!K16</f>
        <v>5827.6811479580811</v>
      </c>
      <c r="G6" s="365">
        <f>'NIKE-IS'!L16</f>
        <v>5764.3727194422208</v>
      </c>
      <c r="H6" t="s">
        <v>529</v>
      </c>
    </row>
    <row r="7" spans="1:8" x14ac:dyDescent="0.25">
      <c r="A7" s="129" t="s">
        <v>382</v>
      </c>
      <c r="C7" s="223">
        <f>'NIKE-IS'!H30</f>
        <v>0.14069446771365593</v>
      </c>
      <c r="D7" s="223">
        <f>'NIKE-IS'!I30</f>
        <v>0.14069446771365593</v>
      </c>
      <c r="E7" s="223">
        <f>'NIKE-IS'!J30</f>
        <v>0.14069446771365593</v>
      </c>
      <c r="F7" s="223">
        <f>'NIKE-IS'!K30</f>
        <v>0.14069446771365593</v>
      </c>
      <c r="G7" s="366">
        <f>'NIKE-IS'!L30</f>
        <v>0.14069446771365593</v>
      </c>
      <c r="H7" t="s">
        <v>529</v>
      </c>
    </row>
    <row r="8" spans="1:8" x14ac:dyDescent="0.25">
      <c r="A8" s="129" t="s">
        <v>384</v>
      </c>
      <c r="C8" s="62">
        <f>C6*(1-C7)</f>
        <v>5321.4381486229604</v>
      </c>
      <c r="D8" s="62">
        <f t="shared" ref="D8:G8" si="0">D6*(1-D7)</f>
        <v>5189.6302792796041</v>
      </c>
      <c r="E8" s="62">
        <f t="shared" si="0"/>
        <v>5094.5908785580014</v>
      </c>
      <c r="F8" s="62">
        <f t="shared" si="0"/>
        <v>5007.7586508412114</v>
      </c>
      <c r="G8" s="365">
        <f t="shared" si="0"/>
        <v>4953.357367977178</v>
      </c>
    </row>
    <row r="9" spans="1:8" x14ac:dyDescent="0.25">
      <c r="A9" s="129" t="s">
        <v>531</v>
      </c>
      <c r="C9" s="62">
        <f>'NIKE-IS'!H15</f>
        <v>883.56927075078988</v>
      </c>
      <c r="D9" s="62">
        <f>'NIKE-IS'!I15</f>
        <v>844.87318621628242</v>
      </c>
      <c r="E9" s="62">
        <f>'NIKE-IS'!J15</f>
        <v>817.35645098983753</v>
      </c>
      <c r="F9" s="62">
        <f>'NIKE-IS'!K15</f>
        <v>792.34495882842737</v>
      </c>
      <c r="G9" s="365">
        <f>'NIKE-IS'!L15</f>
        <v>776.32328904397548</v>
      </c>
      <c r="H9" t="s">
        <v>529</v>
      </c>
    </row>
    <row r="10" spans="1:8" x14ac:dyDescent="0.25">
      <c r="A10" s="129" t="s">
        <v>385</v>
      </c>
      <c r="C10" s="62">
        <f>SUM('NIKE-CFS'!B14:B17)</f>
        <v>-802.58424416214848</v>
      </c>
      <c r="D10" s="62">
        <f>SUM('NIKE-CFS'!C14:C17)</f>
        <v>291.07756914036395</v>
      </c>
      <c r="E10" s="62">
        <f>SUM('NIKE-CFS'!D14:D17)</f>
        <v>209.88001605987279</v>
      </c>
      <c r="F10" s="62">
        <f>SUM('NIKE-CFS'!E14:E17)</f>
        <v>191.75572667065398</v>
      </c>
      <c r="G10" s="365">
        <f>SUM('NIKE-CFS'!F14:F17)</f>
        <v>120.1369330455625</v>
      </c>
      <c r="H10" t="s">
        <v>530</v>
      </c>
    </row>
    <row r="11" spans="1:8" x14ac:dyDescent="0.25">
      <c r="A11" s="129" t="s">
        <v>386</v>
      </c>
      <c r="C11" s="62">
        <f>SUM('NIKE-CFS'!B14:B17)</f>
        <v>-802.58424416214848</v>
      </c>
      <c r="D11" s="62">
        <f>SUM('NIKE-CFS'!C14:C17)</f>
        <v>291.07756914036395</v>
      </c>
      <c r="E11" s="62">
        <f>SUM('NIKE-CFS'!D14:D17)</f>
        <v>209.88001605987279</v>
      </c>
      <c r="F11" s="62">
        <f>SUM('NIKE-CFS'!E14:E17)</f>
        <v>191.75572667065398</v>
      </c>
      <c r="G11" s="365">
        <f>SUM('NIKE-CFS'!F14:F17)</f>
        <v>120.1369330455625</v>
      </c>
      <c r="H11" t="s">
        <v>530</v>
      </c>
    </row>
    <row r="12" spans="1:8" ht="15.75" thickBot="1" x14ac:dyDescent="0.3">
      <c r="A12" s="226" t="s">
        <v>387</v>
      </c>
      <c r="B12" s="210"/>
      <c r="C12" s="227">
        <f>SUM(C8:C11)</f>
        <v>4599.8389310494531</v>
      </c>
      <c r="D12" s="227">
        <f>SUM(D8:D11)</f>
        <v>6616.6586037766147</v>
      </c>
      <c r="E12" s="227">
        <f>SUM(E8:E11)</f>
        <v>6331.7073616675852</v>
      </c>
      <c r="F12" s="227">
        <f>SUM(F8:F11)</f>
        <v>6183.615063010946</v>
      </c>
      <c r="G12" s="367">
        <f>SUM(G8:G11)</f>
        <v>5969.9545231122793</v>
      </c>
    </row>
    <row r="13" spans="1:8" ht="15.75" thickTop="1" x14ac:dyDescent="0.25"/>
    <row r="14" spans="1:8" x14ac:dyDescent="0.25">
      <c r="A14" t="s">
        <v>388</v>
      </c>
      <c r="B14" s="351">
        <f>WACC!B27</f>
        <v>9.1902007743221492E-2</v>
      </c>
    </row>
    <row r="15" spans="1:8" x14ac:dyDescent="0.25">
      <c r="A15" t="s">
        <v>389</v>
      </c>
      <c r="B15" s="352">
        <v>2.12E-2</v>
      </c>
    </row>
    <row r="17" spans="1:25" x14ac:dyDescent="0.25">
      <c r="A17" s="228" t="s">
        <v>390</v>
      </c>
      <c r="B17" s="135"/>
      <c r="C17" s="229">
        <f>-PV($B$14,C2,0,C12,0)</f>
        <v>4212.6847449951565</v>
      </c>
      <c r="D17" s="229">
        <f>-PV($B$14,D2,0,D12,0)</f>
        <v>5549.7241637443385</v>
      </c>
      <c r="E17" s="229">
        <f>-PV($B$14,E2,0,E12,0)</f>
        <v>4863.7342874875158</v>
      </c>
      <c r="F17" s="229">
        <f>-PV($B$14,F2,0,F12,0)</f>
        <v>4350.1856176283945</v>
      </c>
      <c r="G17" s="229">
        <f>-PV($B$14,G2,0,G12,0)</f>
        <v>3846.3845371234825</v>
      </c>
    </row>
    <row r="18" spans="1:25" x14ac:dyDescent="0.25">
      <c r="A18" s="228" t="s">
        <v>391</v>
      </c>
      <c r="B18" s="135"/>
      <c r="C18" s="182">
        <f>1/(1+$B$14)^C2</f>
        <v>0.91583309940681623</v>
      </c>
      <c r="D18" s="182">
        <f>1/(1+$B$14)^D2</f>
        <v>0.8387502659690953</v>
      </c>
      <c r="E18" s="182">
        <f>1/(1+$B$14)^E2</f>
        <v>0.76815525571076793</v>
      </c>
      <c r="F18" s="182">
        <f>1/(1+$B$14)^F2</f>
        <v>0.7035020086632281</v>
      </c>
      <c r="G18" s="182">
        <f>1/(1+$B$14)^G2</f>
        <v>0.64429042503296508</v>
      </c>
    </row>
    <row r="19" spans="1:25" x14ac:dyDescent="0.25">
      <c r="A19" s="228" t="s">
        <v>392</v>
      </c>
      <c r="B19" s="135"/>
      <c r="C19" s="183">
        <f>C18*C12</f>
        <v>4212.6847449951574</v>
      </c>
      <c r="D19" s="183">
        <f t="shared" ref="D19:G19" si="1">D18*D12</f>
        <v>5549.7241637443385</v>
      </c>
      <c r="E19" s="183">
        <f t="shared" si="1"/>
        <v>4863.7342874875158</v>
      </c>
      <c r="F19" s="183">
        <f t="shared" si="1"/>
        <v>4350.1856176283945</v>
      </c>
      <c r="G19" s="183">
        <f t="shared" si="1"/>
        <v>3846.3845371234829</v>
      </c>
    </row>
    <row r="20" spans="1:25" x14ac:dyDescent="0.25">
      <c r="A20" s="230" t="s">
        <v>393</v>
      </c>
      <c r="B20" s="135"/>
      <c r="C20" s="183">
        <f>SUM(C19:G19)</f>
        <v>22822.713350978887</v>
      </c>
    </row>
    <row r="21" spans="1:25" x14ac:dyDescent="0.25">
      <c r="L21" s="129"/>
    </row>
    <row r="22" spans="1:25" x14ac:dyDescent="0.25">
      <c r="A22" s="231"/>
      <c r="B22" s="232" t="s">
        <v>48</v>
      </c>
      <c r="C22" s="233"/>
      <c r="D22" s="233"/>
      <c r="E22" s="233"/>
      <c r="F22" s="234" t="s">
        <v>48</v>
      </c>
      <c r="H22" t="s">
        <v>394</v>
      </c>
      <c r="I22" t="s">
        <v>395</v>
      </c>
      <c r="J22" s="180">
        <v>20.6</v>
      </c>
      <c r="K22" t="s">
        <v>426</v>
      </c>
    </row>
    <row r="23" spans="1:25" x14ac:dyDescent="0.25">
      <c r="A23" s="235"/>
      <c r="B23" s="236" t="s">
        <v>396</v>
      </c>
      <c r="C23" s="237"/>
      <c r="D23" s="237"/>
      <c r="E23" s="237"/>
      <c r="F23" s="238" t="s">
        <v>397</v>
      </c>
      <c r="M23" s="296"/>
      <c r="N23" s="297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</row>
    <row r="24" spans="1:25" ht="15.75" thickBot="1" x14ac:dyDescent="0.3">
      <c r="A24" s="239" t="s">
        <v>398</v>
      </c>
      <c r="B24" s="240">
        <f>G19*(1+B15)/(B14-B15)</f>
        <v>55556.101088049916</v>
      </c>
      <c r="F24" s="209">
        <f>'NIKE-IS'!L20*DCF!J22</f>
        <v>114720.19118050975</v>
      </c>
      <c r="M24" s="297"/>
      <c r="N24" s="297"/>
      <c r="O24" s="296"/>
      <c r="P24" s="492" t="s">
        <v>388</v>
      </c>
      <c r="Q24" s="493"/>
      <c r="R24" s="493"/>
      <c r="S24" s="493"/>
      <c r="T24" s="493"/>
      <c r="U24" s="493"/>
      <c r="V24" s="493"/>
      <c r="W24" s="493"/>
      <c r="X24" s="493"/>
      <c r="Y24" s="296"/>
    </row>
    <row r="25" spans="1:25" ht="15.75" thickBot="1" x14ac:dyDescent="0.3">
      <c r="A25" s="241" t="s">
        <v>399</v>
      </c>
      <c r="B25" s="240">
        <f>B24*G18</f>
        <v>35794.263983194054</v>
      </c>
      <c r="F25" s="209">
        <f>F24*G18</f>
        <v>73913.120735553632</v>
      </c>
      <c r="M25" s="297"/>
      <c r="N25" s="297"/>
      <c r="O25" s="298">
        <f>B38</f>
        <v>62.457583232819488</v>
      </c>
      <c r="P25" s="299">
        <v>8.1900000000000001E-2</v>
      </c>
      <c r="Q25" s="300">
        <f t="shared" ref="Q25:X25" si="2">P25+0.25%</f>
        <v>8.4400000000000003E-2</v>
      </c>
      <c r="R25" s="300">
        <f t="shared" si="2"/>
        <v>8.6900000000000005E-2</v>
      </c>
      <c r="S25" s="300">
        <f t="shared" si="2"/>
        <v>8.9400000000000007E-2</v>
      </c>
      <c r="T25" s="300">
        <f t="shared" si="2"/>
        <v>9.1900000000000009E-2</v>
      </c>
      <c r="U25" s="300">
        <f t="shared" si="2"/>
        <v>9.4400000000000012E-2</v>
      </c>
      <c r="V25" s="300">
        <f t="shared" si="2"/>
        <v>9.6900000000000014E-2</v>
      </c>
      <c r="W25" s="300">
        <f t="shared" si="2"/>
        <v>9.9400000000000016E-2</v>
      </c>
      <c r="X25" s="301">
        <f t="shared" si="2"/>
        <v>0.10190000000000002</v>
      </c>
      <c r="Y25" s="302"/>
    </row>
    <row r="26" spans="1:25" ht="15.75" thickBot="1" x14ac:dyDescent="0.3">
      <c r="A26" s="242" t="s">
        <v>427</v>
      </c>
      <c r="B26" s="265">
        <f>SUM(B24:B25)</f>
        <v>91350.36507124397</v>
      </c>
      <c r="C26" s="266"/>
      <c r="D26" s="266"/>
      <c r="E26" s="266"/>
      <c r="F26" s="267">
        <f>SUM(F24:F25)</f>
        <v>188633.31191606337</v>
      </c>
      <c r="M26" s="297"/>
      <c r="N26" s="494" t="s">
        <v>506</v>
      </c>
      <c r="O26" s="303">
        <v>1.12E-2</v>
      </c>
      <c r="P26" s="304">
        <f t="dataTable" ref="P26:X34" dt2D="1" dtr="1" r1="B14" r2="B15"/>
        <v>65.801378423185113</v>
      </c>
      <c r="Q26" s="305">
        <v>62.670464246149521</v>
      </c>
      <c r="R26" s="305">
        <v>59.765447257974643</v>
      </c>
      <c r="S26" s="305">
        <v>57.064218654935111</v>
      </c>
      <c r="T26" s="305">
        <v>54.547420988254522</v>
      </c>
      <c r="U26" s="305">
        <v>52.198034455907013</v>
      </c>
      <c r="V26" s="305">
        <v>50.001035616382076</v>
      </c>
      <c r="W26" s="305">
        <v>47.943114154601162</v>
      </c>
      <c r="X26" s="306">
        <v>46.012436498830546</v>
      </c>
      <c r="Y26" s="296"/>
    </row>
    <row r="27" spans="1:25" x14ac:dyDescent="0.25">
      <c r="A27" s="264" t="s">
        <v>400</v>
      </c>
      <c r="F27" s="129"/>
      <c r="M27" s="297"/>
      <c r="N27" s="493"/>
      <c r="O27" s="307">
        <f t="shared" ref="O27:O34" si="3">O26+0.25%</f>
        <v>1.37E-2</v>
      </c>
      <c r="P27" s="308">
        <v>68.274644581994053</v>
      </c>
      <c r="Q27" s="309">
        <v>64.943061489123494</v>
      </c>
      <c r="R27" s="309">
        <v>61.858846379263966</v>
      </c>
      <c r="S27" s="309">
        <v>58.997031945334712</v>
      </c>
      <c r="T27" s="309">
        <v>56.33585576155285</v>
      </c>
      <c r="U27" s="309">
        <v>53.856263509305336</v>
      </c>
      <c r="V27" s="309">
        <v>51.541501776981335</v>
      </c>
      <c r="W27" s="309">
        <v>49.376782142313452</v>
      </c>
      <c r="X27" s="310">
        <v>47.349002393507689</v>
      </c>
      <c r="Y27" s="296"/>
    </row>
    <row r="28" spans="1:25" x14ac:dyDescent="0.25">
      <c r="A28" s="241" t="s">
        <v>401</v>
      </c>
      <c r="B28">
        <f>'NIKE - BS'!F10</f>
        <v>3234</v>
      </c>
      <c r="F28" s="129">
        <f>B28</f>
        <v>3234</v>
      </c>
      <c r="M28" s="297"/>
      <c r="N28" s="493"/>
      <c r="O28" s="307">
        <f t="shared" si="3"/>
        <v>1.6199999999999999E-2</v>
      </c>
      <c r="P28" s="308">
        <v>70.936134953802139</v>
      </c>
      <c r="Q28" s="309">
        <v>67.382271433195243</v>
      </c>
      <c r="R28" s="309">
        <v>64.100293528933022</v>
      </c>
      <c r="S28" s="309">
        <v>61.061868001471971</v>
      </c>
      <c r="T28" s="309">
        <v>58.242417006006924</v>
      </c>
      <c r="U28" s="309">
        <v>55.620517438240626</v>
      </c>
      <c r="V28" s="309">
        <v>53.177411937617713</v>
      </c>
      <c r="W28" s="309">
        <v>50.896608061979606</v>
      </c>
      <c r="X28" s="310">
        <v>48.763547628597721</v>
      </c>
      <c r="Y28" s="296"/>
    </row>
    <row r="29" spans="1:25" x14ac:dyDescent="0.25">
      <c r="A29" s="241" t="s">
        <v>402</v>
      </c>
      <c r="B29">
        <v>0</v>
      </c>
      <c r="F29" s="129">
        <f>B29</f>
        <v>0</v>
      </c>
      <c r="M29" s="297"/>
      <c r="N29" s="493"/>
      <c r="O29" s="307">
        <f t="shared" si="3"/>
        <v>1.8699999999999998E-2</v>
      </c>
      <c r="P29" s="308">
        <v>73.808186272746951</v>
      </c>
      <c r="Q29" s="309">
        <v>70.007113793101993</v>
      </c>
      <c r="R29" s="501">
        <v>66.506069648519173</v>
      </c>
      <c r="S29" s="502">
        <v>63.272732067237058</v>
      </c>
      <c r="T29" s="502">
        <v>60.279207843661432</v>
      </c>
      <c r="U29" s="502">
        <v>57.50130068877008</v>
      </c>
      <c r="V29" s="503">
        <v>54.917919934611923</v>
      </c>
      <c r="W29" s="309">
        <v>52.510599156346252</v>
      </c>
      <c r="X29" s="310">
        <v>50.263101591758073</v>
      </c>
      <c r="Y29" s="296"/>
    </row>
    <row r="30" spans="1:25" ht="15.75" thickBot="1" x14ac:dyDescent="0.3">
      <c r="A30" s="242" t="s">
        <v>403</v>
      </c>
      <c r="B30" s="265">
        <f>SUM(B26:B29)</f>
        <v>94584.36507124397</v>
      </c>
      <c r="C30" s="266"/>
      <c r="D30" s="266"/>
      <c r="E30" s="266"/>
      <c r="F30" s="267">
        <f>SUM(F26:F29)</f>
        <v>191867.31191606337</v>
      </c>
      <c r="M30" s="297"/>
      <c r="N30" s="493"/>
      <c r="O30" s="307">
        <f t="shared" si="3"/>
        <v>2.1199999999999997E-2</v>
      </c>
      <c r="P30" s="308">
        <v>76.916815130319847</v>
      </c>
      <c r="Q30" s="309">
        <v>72.8396177321153</v>
      </c>
      <c r="R30" s="504">
        <v>69.094933752853109</v>
      </c>
      <c r="S30" s="505">
        <v>65.645682941342699</v>
      </c>
      <c r="T30" s="505">
        <v>62.460043295011445</v>
      </c>
      <c r="U30" s="505">
        <v>59.510552740565196</v>
      </c>
      <c r="V30" s="506">
        <v>56.773388829690305</v>
      </c>
      <c r="W30" s="309">
        <v>54.227786612245318</v>
      </c>
      <c r="X30" s="310">
        <v>51.855564722400487</v>
      </c>
      <c r="Y30" s="296"/>
    </row>
    <row r="31" spans="1:25" x14ac:dyDescent="0.25">
      <c r="A31" s="241" t="s">
        <v>404</v>
      </c>
      <c r="F31" s="129"/>
      <c r="M31" s="311"/>
      <c r="N31" s="493"/>
      <c r="O31" s="307">
        <f t="shared" si="3"/>
        <v>2.3699999999999995E-2</v>
      </c>
      <c r="P31" s="308">
        <v>80.292508322735785</v>
      </c>
      <c r="Q31" s="309">
        <v>75.905441600207155</v>
      </c>
      <c r="R31" s="507">
        <v>71.888613055314764</v>
      </c>
      <c r="S31" s="508">
        <v>68.199223684101739</v>
      </c>
      <c r="T31" s="508">
        <v>64.80076404338125</v>
      </c>
      <c r="U31" s="508">
        <v>61.661901825726311</v>
      </c>
      <c r="V31" s="509">
        <v>58.755597403394255</v>
      </c>
      <c r="W31" s="309">
        <v>56.058394639868226</v>
      </c>
      <c r="X31" s="310">
        <v>53.549847746306497</v>
      </c>
      <c r="Y31" s="312"/>
    </row>
    <row r="32" spans="1:25" x14ac:dyDescent="0.25">
      <c r="A32" s="241" t="s">
        <v>405</v>
      </c>
      <c r="B32">
        <f>'NIKE - BS'!G37+'NIKE - BS'!G28</f>
        <v>8903</v>
      </c>
      <c r="F32" s="129">
        <f>B32</f>
        <v>8903</v>
      </c>
      <c r="M32" s="297"/>
      <c r="N32" s="493"/>
      <c r="O32" s="307">
        <f t="shared" si="3"/>
        <v>2.6199999999999994E-2</v>
      </c>
      <c r="P32" s="308">
        <v>83.971226038707883</v>
      </c>
      <c r="Q32" s="309">
        <v>79.234652398547425</v>
      </c>
      <c r="R32" s="309">
        <v>74.91241421135642</v>
      </c>
      <c r="S32" s="309">
        <v>70.954785055243605</v>
      </c>
      <c r="T32" s="309">
        <v>67.319621835006004</v>
      </c>
      <c r="U32" s="309">
        <v>63.970974450855245</v>
      </c>
      <c r="V32" s="309">
        <v>60.877990458972597</v>
      </c>
      <c r="W32" s="309">
        <v>58.014044199432583</v>
      </c>
      <c r="X32" s="310">
        <v>55.356038499664663</v>
      </c>
      <c r="Y32" s="296"/>
    </row>
    <row r="33" spans="1:25" x14ac:dyDescent="0.25">
      <c r="A33" s="241" t="s">
        <v>406</v>
      </c>
      <c r="B33">
        <v>0</v>
      </c>
      <c r="F33" s="129">
        <v>0</v>
      </c>
      <c r="M33" s="297"/>
      <c r="N33" s="493"/>
      <c r="O33" s="307">
        <f t="shared" si="3"/>
        <v>2.8699999999999993E-2</v>
      </c>
      <c r="P33" s="308">
        <v>87.995687900917957</v>
      </c>
      <c r="Q33" s="309">
        <v>82.862715153650726</v>
      </c>
      <c r="R33" s="309">
        <v>78.195992099016792</v>
      </c>
      <c r="S33" s="309">
        <v>73.937328417418556</v>
      </c>
      <c r="T33" s="309">
        <v>70.037756350651662</v>
      </c>
      <c r="U33" s="309">
        <v>66.455775586267947</v>
      </c>
      <c r="V33" s="309">
        <v>63.155984178449629</v>
      </c>
      <c r="W33" s="309">
        <v>60.107999951328217</v>
      </c>
      <c r="X33" s="310">
        <v>57.285602938361507</v>
      </c>
      <c r="Y33" s="296"/>
    </row>
    <row r="34" spans="1:25" ht="15.75" thickBot="1" x14ac:dyDescent="0.3">
      <c r="A34" s="241" t="s">
        <v>407</v>
      </c>
      <c r="B34">
        <f>'NIKE - BS'!G9</f>
        <v>9860</v>
      </c>
      <c r="F34" s="129">
        <f>B34</f>
        <v>9860</v>
      </c>
      <c r="M34" s="297"/>
      <c r="N34" s="493"/>
      <c r="O34" s="313">
        <f t="shared" si="3"/>
        <v>3.1199999999999992E-2</v>
      </c>
      <c r="P34" s="314">
        <v>92.417039493129053</v>
      </c>
      <c r="Q34" s="315">
        <v>86.831761250399083</v>
      </c>
      <c r="R34" s="315">
        <v>81.774325631889056</v>
      </c>
      <c r="S34" s="315">
        <v>77.176104027203053</v>
      </c>
      <c r="T34" s="315">
        <v>72.979789920304412</v>
      </c>
      <c r="U34" s="315">
        <v>69.137159089988629</v>
      </c>
      <c r="V34" s="315">
        <v>65.607341194690548</v>
      </c>
      <c r="W34" s="315">
        <v>62.35547152081152</v>
      </c>
      <c r="X34" s="316">
        <v>59.351628794222201</v>
      </c>
      <c r="Y34" s="296"/>
    </row>
    <row r="35" spans="1:25" ht="15.75" thickBot="1" x14ac:dyDescent="0.3">
      <c r="A35" s="242" t="s">
        <v>408</v>
      </c>
      <c r="B35" s="265">
        <f>B30-B32-B33+B34</f>
        <v>95541.36507124397</v>
      </c>
      <c r="C35" s="266"/>
      <c r="D35" s="266"/>
      <c r="E35" s="266"/>
      <c r="F35" s="267">
        <f>F30-F32-F33+F34</f>
        <v>192824.31191606337</v>
      </c>
      <c r="M35" s="311"/>
      <c r="N35" s="311"/>
      <c r="O35" s="317"/>
      <c r="P35" s="312"/>
      <c r="Q35" s="312"/>
      <c r="R35" s="312"/>
      <c r="S35" s="312"/>
      <c r="T35" s="312"/>
      <c r="U35" s="312"/>
      <c r="V35" s="312"/>
      <c r="W35" s="312"/>
      <c r="X35" s="312"/>
      <c r="Y35" s="312"/>
    </row>
    <row r="36" spans="1:25" x14ac:dyDescent="0.25">
      <c r="A36" s="241"/>
      <c r="F36" s="129"/>
      <c r="M36" s="297"/>
      <c r="N36" s="297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</row>
    <row r="37" spans="1:25" x14ac:dyDescent="0.25">
      <c r="A37" s="241" t="s">
        <v>409</v>
      </c>
      <c r="B37">
        <v>1529.7</v>
      </c>
      <c r="F37" s="129">
        <f>B37</f>
        <v>1529.7</v>
      </c>
      <c r="M37" s="311"/>
      <c r="N37" s="311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</row>
    <row r="38" spans="1:25" ht="15.75" thickBot="1" x14ac:dyDescent="0.3">
      <c r="A38" s="268" t="s">
        <v>410</v>
      </c>
      <c r="B38" s="269">
        <f>B35/B37</f>
        <v>62.457583232819488</v>
      </c>
      <c r="C38" s="78"/>
      <c r="D38" s="78"/>
      <c r="E38" s="78"/>
      <c r="F38" s="270">
        <f>F35/F37</f>
        <v>126.05367844418079</v>
      </c>
      <c r="M38" s="297"/>
      <c r="N38" s="297"/>
      <c r="O38" s="296"/>
      <c r="P38" s="492" t="s">
        <v>388</v>
      </c>
      <c r="Q38" s="493"/>
      <c r="R38" s="493"/>
      <c r="S38" s="493"/>
      <c r="T38" s="493"/>
      <c r="U38" s="493"/>
      <c r="V38" s="493"/>
      <c r="W38" s="493"/>
      <c r="X38" s="493"/>
      <c r="Y38" s="296"/>
    </row>
    <row r="39" spans="1:25" ht="15.75" thickBot="1" x14ac:dyDescent="0.3">
      <c r="M39" s="311"/>
      <c r="N39" s="297"/>
      <c r="O39" s="318">
        <f>F38</f>
        <v>126.05367844418079</v>
      </c>
      <c r="P39" s="319">
        <f t="shared" ref="P39:X39" si="4">P25</f>
        <v>8.1900000000000001E-2</v>
      </c>
      <c r="Q39" s="320">
        <f t="shared" si="4"/>
        <v>8.4400000000000003E-2</v>
      </c>
      <c r="R39" s="320">
        <f t="shared" si="4"/>
        <v>8.6900000000000005E-2</v>
      </c>
      <c r="S39" s="320">
        <f t="shared" si="4"/>
        <v>8.9400000000000007E-2</v>
      </c>
      <c r="T39" s="320">
        <f t="shared" si="4"/>
        <v>9.1900000000000009E-2</v>
      </c>
      <c r="U39" s="320">
        <f t="shared" si="4"/>
        <v>9.4400000000000012E-2</v>
      </c>
      <c r="V39" s="320">
        <f t="shared" si="4"/>
        <v>9.6900000000000014E-2</v>
      </c>
      <c r="W39" s="320">
        <f t="shared" si="4"/>
        <v>9.9400000000000016E-2</v>
      </c>
      <c r="X39" s="321">
        <f t="shared" si="4"/>
        <v>0.10190000000000002</v>
      </c>
      <c r="Y39" s="312"/>
    </row>
    <row r="40" spans="1:25" x14ac:dyDescent="0.25">
      <c r="M40" s="297"/>
      <c r="N40" s="490" t="s">
        <v>507</v>
      </c>
      <c r="O40" s="322">
        <v>16.600000000000001</v>
      </c>
      <c r="P40" s="304">
        <f t="dataTable" ref="P40:X48" dt2D="1" dtr="1" r1="B14" r2="J22" ca="1"/>
        <v>103.94262201677466</v>
      </c>
      <c r="Q40" s="305">
        <v>103.47482558957944</v>
      </c>
      <c r="R40" s="305">
        <v>103.01345544682903</v>
      </c>
      <c r="S40" s="305">
        <v>102.55840883048224</v>
      </c>
      <c r="T40" s="305">
        <v>102.10958485607659</v>
      </c>
      <c r="U40" s="305">
        <v>101.66688447438503</v>
      </c>
      <c r="V40" s="305">
        <v>101.23021043394206</v>
      </c>
      <c r="W40" s="305">
        <v>100.79946724441872</v>
      </c>
      <c r="X40" s="306">
        <v>100.37456114082447</v>
      </c>
      <c r="Y40" s="296"/>
    </row>
    <row r="41" spans="1:25" x14ac:dyDescent="0.25">
      <c r="M41" s="296"/>
      <c r="N41" s="491"/>
      <c r="O41" s="323">
        <f t="shared" ref="O41:O48" si="5">O40+1</f>
        <v>17.600000000000001</v>
      </c>
      <c r="P41" s="308">
        <v>110.03918039774157</v>
      </c>
      <c r="Q41" s="309">
        <v>109.54320346288399</v>
      </c>
      <c r="R41" s="309">
        <v>109.05403993804016</v>
      </c>
      <c r="S41" s="309">
        <v>108.5715808749255</v>
      </c>
      <c r="T41" s="309">
        <v>108.09571931170025</v>
      </c>
      <c r="U41" s="309">
        <v>107.62635023231643</v>
      </c>
      <c r="V41" s="309">
        <v>107.16337052678651</v>
      </c>
      <c r="W41" s="309">
        <v>106.70667895235215</v>
      </c>
      <c r="X41" s="310">
        <v>106.25617609552933</v>
      </c>
      <c r="Y41" s="296"/>
    </row>
    <row r="42" spans="1:25" x14ac:dyDescent="0.25">
      <c r="M42" s="296"/>
      <c r="N42" s="491"/>
      <c r="O42" s="323">
        <f t="shared" si="5"/>
        <v>18.600000000000001</v>
      </c>
      <c r="P42" s="308">
        <v>116.13573877870846</v>
      </c>
      <c r="Q42" s="309">
        <v>115.61158133618849</v>
      </c>
      <c r="R42" s="309">
        <v>115.0946244292513</v>
      </c>
      <c r="S42" s="309">
        <v>114.58475291936875</v>
      </c>
      <c r="T42" s="309">
        <v>114.08185376732389</v>
      </c>
      <c r="U42" s="309">
        <v>113.58581599024778</v>
      </c>
      <c r="V42" s="309">
        <v>113.09653061963095</v>
      </c>
      <c r="W42" s="309">
        <v>112.61389066028553</v>
      </c>
      <c r="X42" s="310">
        <v>112.13779105023416</v>
      </c>
      <c r="Y42" s="296"/>
    </row>
    <row r="43" spans="1:25" x14ac:dyDescent="0.25">
      <c r="M43" s="296"/>
      <c r="N43" s="491"/>
      <c r="O43" s="323">
        <f t="shared" si="5"/>
        <v>19.600000000000001</v>
      </c>
      <c r="P43" s="308">
        <v>122.23229715967535</v>
      </c>
      <c r="Q43" s="309">
        <v>121.67995920949305</v>
      </c>
      <c r="R43" s="501">
        <v>121.13520892046243</v>
      </c>
      <c r="S43" s="502">
        <v>120.59792496381202</v>
      </c>
      <c r="T43" s="502">
        <v>120.06798822294753</v>
      </c>
      <c r="U43" s="502">
        <v>119.54528174817919</v>
      </c>
      <c r="V43" s="503">
        <v>119.02969071247541</v>
      </c>
      <c r="W43" s="309">
        <v>118.52110236821896</v>
      </c>
      <c r="X43" s="310">
        <v>118.019406004939</v>
      </c>
      <c r="Y43" s="296"/>
    </row>
    <row r="44" spans="1:25" x14ac:dyDescent="0.25">
      <c r="M44" s="296"/>
      <c r="N44" s="491"/>
      <c r="O44" s="323">
        <f t="shared" si="5"/>
        <v>20.6</v>
      </c>
      <c r="P44" s="308">
        <v>128.32885554064225</v>
      </c>
      <c r="Q44" s="309">
        <v>127.74833708279759</v>
      </c>
      <c r="R44" s="504">
        <v>127.1757934116736</v>
      </c>
      <c r="S44" s="505">
        <v>126.61109700825529</v>
      </c>
      <c r="T44" s="505">
        <v>126.05412267857119</v>
      </c>
      <c r="U44" s="505">
        <v>125.50474750611058</v>
      </c>
      <c r="V44" s="506">
        <v>124.96285080531986</v>
      </c>
      <c r="W44" s="309">
        <v>124.42831407615236</v>
      </c>
      <c r="X44" s="310">
        <v>123.90102095964386</v>
      </c>
      <c r="Y44" s="296"/>
    </row>
    <row r="45" spans="1:25" x14ac:dyDescent="0.25">
      <c r="M45" s="296"/>
      <c r="N45" s="491"/>
      <c r="O45" s="323">
        <f t="shared" si="5"/>
        <v>21.6</v>
      </c>
      <c r="P45" s="308">
        <v>134.42541392160919</v>
      </c>
      <c r="Q45" s="309">
        <v>133.81671495610215</v>
      </c>
      <c r="R45" s="507">
        <v>133.21637790288474</v>
      </c>
      <c r="S45" s="508">
        <v>132.62426905269857</v>
      </c>
      <c r="T45" s="508">
        <v>132.04025713419483</v>
      </c>
      <c r="U45" s="508">
        <v>131.46421326404194</v>
      </c>
      <c r="V45" s="509">
        <v>130.89601089816432</v>
      </c>
      <c r="W45" s="309">
        <v>130.3355257840858</v>
      </c>
      <c r="X45" s="310">
        <v>129.7826359143487</v>
      </c>
      <c r="Y45" s="296"/>
    </row>
    <row r="46" spans="1:25" x14ac:dyDescent="0.25">
      <c r="M46" s="296"/>
      <c r="N46" s="491"/>
      <c r="O46" s="323">
        <f t="shared" si="5"/>
        <v>22.6</v>
      </c>
      <c r="P46" s="308">
        <v>140.5219723025761</v>
      </c>
      <c r="Q46" s="309">
        <v>139.88509282940669</v>
      </c>
      <c r="R46" s="309">
        <v>139.25696239409589</v>
      </c>
      <c r="S46" s="309">
        <v>138.63744109714182</v>
      </c>
      <c r="T46" s="309">
        <v>138.02639158981847</v>
      </c>
      <c r="U46" s="309">
        <v>137.42367902197336</v>
      </c>
      <c r="V46" s="309">
        <v>136.82917099100879</v>
      </c>
      <c r="W46" s="309">
        <v>136.24273749201922</v>
      </c>
      <c r="X46" s="310">
        <v>135.66425086905355</v>
      </c>
      <c r="Y46" s="296"/>
    </row>
    <row r="47" spans="1:25" x14ac:dyDescent="0.25">
      <c r="M47" s="296"/>
      <c r="N47" s="491"/>
      <c r="O47" s="323">
        <f t="shared" si="5"/>
        <v>23.6</v>
      </c>
      <c r="P47" s="308">
        <v>146.61853068354296</v>
      </c>
      <c r="Q47" s="309">
        <v>145.9534707027112</v>
      </c>
      <c r="R47" s="309">
        <v>145.29754688530699</v>
      </c>
      <c r="S47" s="309">
        <v>144.65061314158507</v>
      </c>
      <c r="T47" s="309">
        <v>144.01252604544212</v>
      </c>
      <c r="U47" s="309">
        <v>143.38314477990471</v>
      </c>
      <c r="V47" s="309">
        <v>142.76233108385324</v>
      </c>
      <c r="W47" s="309">
        <v>142.1499491999526</v>
      </c>
      <c r="X47" s="310">
        <v>141.54586582375836</v>
      </c>
      <c r="Y47" s="296"/>
    </row>
    <row r="48" spans="1:25" ht="15.75" thickBot="1" x14ac:dyDescent="0.3">
      <c r="M48" s="296"/>
      <c r="N48" s="491"/>
      <c r="O48" s="324">
        <f t="shared" si="5"/>
        <v>24.6</v>
      </c>
      <c r="P48" s="314">
        <v>152.7150890645099</v>
      </c>
      <c r="Q48" s="315">
        <v>152.02184857601577</v>
      </c>
      <c r="R48" s="315">
        <v>151.33813137651816</v>
      </c>
      <c r="S48" s="315">
        <v>150.66378518602835</v>
      </c>
      <c r="T48" s="315">
        <v>149.99866050106579</v>
      </c>
      <c r="U48" s="315">
        <v>149.34261053783612</v>
      </c>
      <c r="V48" s="315">
        <v>148.69549117669769</v>
      </c>
      <c r="W48" s="315">
        <v>148.05716090788601</v>
      </c>
      <c r="X48" s="316">
        <v>147.42748077846321</v>
      </c>
      <c r="Y48" s="296"/>
    </row>
    <row r="49" spans="13:25" x14ac:dyDescent="0.25"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</row>
  </sheetData>
  <mergeCells count="4">
    <mergeCell ref="N40:N48"/>
    <mergeCell ref="P24:X24"/>
    <mergeCell ref="N26:N34"/>
    <mergeCell ref="P38:X38"/>
  </mergeCells>
  <conditionalFormatting sqref="P26:X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0:X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"/>
  <sheetViews>
    <sheetView showGridLines="0" workbookViewId="0">
      <selection activeCell="E14" sqref="E14"/>
    </sheetView>
  </sheetViews>
  <sheetFormatPr defaultRowHeight="15" x14ac:dyDescent="0.25"/>
  <cols>
    <col min="2" max="2" width="21.7109375" customWidth="1"/>
    <col min="3" max="3" width="19.28515625" customWidth="1"/>
    <col min="4" max="4" width="12" bestFit="1" customWidth="1"/>
    <col min="5" max="5" width="15.28515625" bestFit="1" customWidth="1"/>
    <col min="6" max="6" width="22.140625" customWidth="1"/>
    <col min="7" max="7" width="21.28515625" customWidth="1"/>
    <col min="8" max="8" width="11.7109375" customWidth="1"/>
    <col min="10" max="10" width="12" customWidth="1"/>
    <col min="11" max="11" width="15" customWidth="1"/>
    <col min="12" max="12" width="10.5703125" bestFit="1" customWidth="1"/>
  </cols>
  <sheetData>
    <row r="1" spans="1:12" x14ac:dyDescent="0.25">
      <c r="A1" t="s">
        <v>48</v>
      </c>
    </row>
    <row r="2" spans="1:12" x14ac:dyDescent="0.25">
      <c r="A2" s="243" t="s">
        <v>411</v>
      </c>
      <c r="B2" s="244"/>
      <c r="C2" s="244"/>
      <c r="D2" s="244"/>
      <c r="E2" s="244"/>
      <c r="F2" s="244"/>
      <c r="G2" s="244"/>
      <c r="H2" s="244"/>
      <c r="I2" s="244"/>
      <c r="J2" s="244"/>
      <c r="K2" s="245"/>
    </row>
    <row r="3" spans="1:12" x14ac:dyDescent="0.25">
      <c r="A3" s="246" t="s">
        <v>412</v>
      </c>
      <c r="B3" s="247"/>
      <c r="C3" s="247" t="s">
        <v>413</v>
      </c>
      <c r="D3" s="247"/>
      <c r="E3" s="247" t="s">
        <v>414</v>
      </c>
      <c r="F3" s="248" t="s">
        <v>415</v>
      </c>
      <c r="G3" s="247" t="s">
        <v>527</v>
      </c>
      <c r="H3" s="247" t="s">
        <v>416</v>
      </c>
      <c r="I3" s="247" t="s">
        <v>373</v>
      </c>
      <c r="J3" s="249" t="s">
        <v>417</v>
      </c>
      <c r="K3" s="249" t="s">
        <v>418</v>
      </c>
      <c r="L3" s="4" t="s">
        <v>419</v>
      </c>
    </row>
    <row r="4" spans="1:12" x14ac:dyDescent="0.25">
      <c r="A4" s="211"/>
      <c r="B4" s="211"/>
      <c r="C4" s="250"/>
      <c r="D4" s="135"/>
      <c r="E4" s="250"/>
      <c r="F4" s="211"/>
      <c r="G4" s="250"/>
      <c r="H4" s="135"/>
      <c r="I4" s="355"/>
      <c r="J4" s="250"/>
      <c r="K4" s="211"/>
    </row>
    <row r="5" spans="1:12" x14ac:dyDescent="0.25">
      <c r="A5" s="260" t="s">
        <v>303</v>
      </c>
      <c r="B5" s="260"/>
      <c r="C5" s="250">
        <f>'REGRESSION BETA'!B5</f>
        <v>1.1249930180369794</v>
      </c>
      <c r="D5" s="135"/>
      <c r="E5" s="450">
        <f>AVERAGE(C23:C25)</f>
        <v>8.0792666666666673</v>
      </c>
      <c r="F5" s="344">
        <f>E5/(E5+G5)</f>
        <v>1.6566713122337296E-8</v>
      </c>
      <c r="G5" s="450">
        <f>AVERAGE(F23:F25)</f>
        <v>487680716.93873334</v>
      </c>
      <c r="H5" s="356">
        <f>G5/(E5+G5)</f>
        <v>0.99999998343328689</v>
      </c>
      <c r="I5" s="355">
        <f>AVERAGE(G23:G25)</f>
        <v>0.25</v>
      </c>
      <c r="J5" s="250">
        <f>C5/K5</f>
        <v>1.124993004058902</v>
      </c>
      <c r="K5" s="359">
        <f t="shared" ref="K5:K10" si="0">1+(1-I5)*(E5/G5)</f>
        <v>1.000000012425035</v>
      </c>
    </row>
    <row r="6" spans="1:12" x14ac:dyDescent="0.25">
      <c r="A6" s="260" t="s">
        <v>551</v>
      </c>
      <c r="B6" s="260"/>
      <c r="C6" s="250">
        <f>'REGRESSION BETA'!B5</f>
        <v>1.1249930180369794</v>
      </c>
      <c r="D6" s="135"/>
      <c r="E6" s="450">
        <f>AVERAGE(C28:C30)</f>
        <v>240.96</v>
      </c>
      <c r="F6" s="344">
        <f>E6/(E6+G6)</f>
        <v>6.0131756188420388E-8</v>
      </c>
      <c r="G6" s="450">
        <f>AVERAGE(F28:F30)</f>
        <v>4007200201.4312339</v>
      </c>
      <c r="H6" s="356">
        <f>G6/(E6+G6)</f>
        <v>0.99999993986824376</v>
      </c>
      <c r="I6" s="355">
        <f>AVERAGE(G28:G30)</f>
        <v>0.25</v>
      </c>
      <c r="J6" s="250">
        <f>C6/K6</f>
        <v>1.1249929673011243</v>
      </c>
      <c r="K6" s="135">
        <f t="shared" si="0"/>
        <v>1.0000000450988198</v>
      </c>
    </row>
    <row r="7" spans="1:12" x14ac:dyDescent="0.25">
      <c r="A7" s="260" t="s">
        <v>552</v>
      </c>
      <c r="B7" s="260"/>
      <c r="C7" s="250">
        <f>'REGRESSION BETA'!B6</f>
        <v>1.228818610710273</v>
      </c>
      <c r="D7" s="135"/>
      <c r="E7" s="450">
        <f>AVERAGE(C33:C35)</f>
        <v>49.213333333333338</v>
      </c>
      <c r="F7" s="344">
        <f>E7/(E7+G7)</f>
        <v>3.0597951052537915E-8</v>
      </c>
      <c r="G7" s="450">
        <f>AVERAGE(F33:F35)</f>
        <v>1608386513.9533331</v>
      </c>
      <c r="H7" s="356">
        <f>G7/(E7+G7)</f>
        <v>0.99999996940204894</v>
      </c>
      <c r="I7" s="355">
        <f>AVERAGE(G33:G35)</f>
        <v>0.25</v>
      </c>
      <c r="J7" s="250">
        <f>C7/K7</f>
        <v>1.228818582510774</v>
      </c>
      <c r="K7" s="135">
        <f>1+(1-I7)*(E7/G7)</f>
        <v>1.000000022948464</v>
      </c>
    </row>
    <row r="8" spans="1:12" x14ac:dyDescent="0.25">
      <c r="A8" s="260" t="s">
        <v>553</v>
      </c>
      <c r="B8" s="260"/>
      <c r="C8" s="250">
        <f>'REGRESSION BETA'!B7</f>
        <v>2.1004793262607548</v>
      </c>
      <c r="D8" s="135"/>
      <c r="E8" s="450">
        <f>AVERAGE(C38:C40)</f>
        <v>1570.14</v>
      </c>
      <c r="F8" s="344">
        <f>E8/(E8+G8)</f>
        <v>2.5770483108174814E-7</v>
      </c>
      <c r="G8" s="450">
        <f>AVERAGE(F38:F40)</f>
        <v>6092782928.3466673</v>
      </c>
      <c r="H8" s="356">
        <f>G8/(E8+G8)</f>
        <v>0.99999974229516886</v>
      </c>
      <c r="I8" s="355">
        <f>AVERAGE(G38:G40)</f>
        <v>0.25</v>
      </c>
      <c r="J8" s="250">
        <f>C8/K8</f>
        <v>2.1004789202829763</v>
      </c>
      <c r="K8" s="135">
        <f>1+(1-I8)*(E8/G8)</f>
        <v>1.0000001932786731</v>
      </c>
    </row>
    <row r="9" spans="1:12" x14ac:dyDescent="0.25">
      <c r="A9" s="260" t="s">
        <v>305</v>
      </c>
      <c r="B9" s="260"/>
      <c r="C9" s="250">
        <f>'REGRESSION BETA'!B8</f>
        <v>0.78779981440444746</v>
      </c>
      <c r="D9" s="135"/>
      <c r="E9" s="450">
        <f>AVERAGE(C43:C45)</f>
        <v>105704.04999999999</v>
      </c>
      <c r="F9" s="344">
        <f t="shared" ref="F9:F10" si="1">E9/(E9+G9)</f>
        <v>9.1652181838126519E-3</v>
      </c>
      <c r="G9" s="450">
        <f>AVERAGE(F43:F45)</f>
        <v>11427469.2886</v>
      </c>
      <c r="H9" s="356">
        <f t="shared" ref="H9:H10" si="2">G9/(E9+G9)</f>
        <v>0.99083478181618734</v>
      </c>
      <c r="I9" s="355">
        <f>AVERAGE(G43:G45)</f>
        <v>0.25</v>
      </c>
      <c r="J9" s="250">
        <f>C9/K9</f>
        <v>0.78237210999251638</v>
      </c>
      <c r="K9" s="135">
        <f t="shared" si="0"/>
        <v>1.0069374973143956</v>
      </c>
    </row>
    <row r="10" spans="1:12" x14ac:dyDescent="0.25">
      <c r="A10" s="260" t="s">
        <v>300</v>
      </c>
      <c r="B10" s="260"/>
      <c r="C10" s="250">
        <f>'REGRESSION BETA'!B4</f>
        <v>1.0813493987999467</v>
      </c>
      <c r="D10" s="135"/>
      <c r="E10" s="452">
        <f>AVERAGE(C18:C20)</f>
        <v>90.86666666666666</v>
      </c>
      <c r="F10" s="344">
        <f t="shared" si="1"/>
        <v>4.0740880334273252E-10</v>
      </c>
      <c r="G10" s="451">
        <f>AVERAGE(F18:F20)</f>
        <v>223035599339.28384</v>
      </c>
      <c r="H10" s="356">
        <f t="shared" si="2"/>
        <v>0.99999999959259123</v>
      </c>
      <c r="I10" s="358">
        <f>AVERAGE(G18:G20)</f>
        <v>0.25</v>
      </c>
      <c r="J10" s="357">
        <f>K10*J9</f>
        <v>0.78237211023157538</v>
      </c>
      <c r="K10" s="360">
        <f t="shared" si="0"/>
        <v>1.0000000003055567</v>
      </c>
    </row>
    <row r="12" spans="1:12" x14ac:dyDescent="0.25">
      <c r="A12" s="361" t="s">
        <v>420</v>
      </c>
      <c r="B12" s="362">
        <f>J10</f>
        <v>0.78237211023157538</v>
      </c>
    </row>
    <row r="13" spans="1:12" x14ac:dyDescent="0.25">
      <c r="A13" s="361" t="s">
        <v>363</v>
      </c>
      <c r="B13" s="363">
        <f>C10</f>
        <v>1.0813493987999467</v>
      </c>
      <c r="C13" s="251"/>
      <c r="E13" s="252"/>
      <c r="F13" s="253"/>
      <c r="G13" s="252"/>
    </row>
    <row r="15" spans="1:12" x14ac:dyDescent="0.25">
      <c r="B15" s="254" t="s">
        <v>421</v>
      </c>
      <c r="C15" s="255"/>
      <c r="D15" s="495"/>
      <c r="E15" s="495"/>
      <c r="F15" s="495"/>
      <c r="G15" s="255"/>
    </row>
    <row r="16" spans="1:12" x14ac:dyDescent="0.25">
      <c r="B16" s="256"/>
      <c r="C16" s="350" t="s">
        <v>414</v>
      </c>
      <c r="D16" s="496" t="s">
        <v>422</v>
      </c>
      <c r="E16" s="496"/>
      <c r="F16" s="496"/>
      <c r="G16" s="257"/>
    </row>
    <row r="17" spans="2:8" x14ac:dyDescent="0.25">
      <c r="B17" s="335" t="s">
        <v>300</v>
      </c>
      <c r="C17" s="338"/>
      <c r="D17" s="339" t="s">
        <v>425</v>
      </c>
      <c r="E17" s="339" t="s">
        <v>423</v>
      </c>
      <c r="F17" s="339" t="s">
        <v>424</v>
      </c>
      <c r="G17" s="340" t="s">
        <v>373</v>
      </c>
    </row>
    <row r="18" spans="2:8" ht="16.5" x14ac:dyDescent="0.25">
      <c r="B18" s="135">
        <v>2021</v>
      </c>
      <c r="C18" s="261">
        <f>9413/10^2</f>
        <v>94.13</v>
      </c>
      <c r="D18" s="353">
        <v>136.46</v>
      </c>
      <c r="E18" s="183">
        <f>180448113046/10^2</f>
        <v>1804481130.46</v>
      </c>
      <c r="F18" s="472">
        <f>E18*D18</f>
        <v>246239495062.57162</v>
      </c>
      <c r="G18" s="258">
        <v>0.25</v>
      </c>
    </row>
    <row r="19" spans="2:8" ht="16.5" x14ac:dyDescent="0.3">
      <c r="B19" s="135">
        <v>2022</v>
      </c>
      <c r="C19" s="135">
        <f>8920/10^2</f>
        <v>89.2</v>
      </c>
      <c r="D19" s="354">
        <v>118.85</v>
      </c>
      <c r="E19" s="183">
        <f>227999911203/10^2</f>
        <v>2279999112.0300002</v>
      </c>
      <c r="F19" s="183">
        <f>E19*D19</f>
        <v>270977894464.7655</v>
      </c>
      <c r="G19" s="258">
        <v>0.25</v>
      </c>
    </row>
    <row r="20" spans="2:8" x14ac:dyDescent="0.25">
      <c r="B20" s="135">
        <v>2023</v>
      </c>
      <c r="C20" s="261">
        <f>8927/10^2</f>
        <v>89.27</v>
      </c>
      <c r="D20" s="135">
        <v>105.26</v>
      </c>
      <c r="E20" s="183">
        <f>144299267044/10^2</f>
        <v>1442992670.4400001</v>
      </c>
      <c r="F20" s="183">
        <f>E20*D20</f>
        <v>151889408490.5144</v>
      </c>
      <c r="G20" s="258">
        <v>0.25</v>
      </c>
    </row>
    <row r="21" spans="2:8" x14ac:dyDescent="0.25">
      <c r="B21" s="259"/>
      <c r="C21" t="s">
        <v>534</v>
      </c>
      <c r="D21" t="s">
        <v>533</v>
      </c>
      <c r="E21" t="s">
        <v>532</v>
      </c>
    </row>
    <row r="22" spans="2:8" x14ac:dyDescent="0.25">
      <c r="B22" s="335" t="s">
        <v>303</v>
      </c>
      <c r="C22" s="336"/>
      <c r="D22" s="336"/>
      <c r="E22" s="336"/>
      <c r="F22" s="336"/>
      <c r="G22" s="336"/>
    </row>
    <row r="23" spans="2:8" x14ac:dyDescent="0.25">
      <c r="B23" s="135">
        <v>2021</v>
      </c>
      <c r="C23" s="182">
        <f>801.19/10^2</f>
        <v>8.0119000000000007</v>
      </c>
      <c r="D23" s="261">
        <v>365.5</v>
      </c>
      <c r="E23" s="183">
        <f>191594855/10^2</f>
        <v>1915948.55</v>
      </c>
      <c r="F23" s="183">
        <f>E23*D23</f>
        <v>700279195.02499998</v>
      </c>
      <c r="G23" s="258">
        <v>0.25</v>
      </c>
      <c r="H23" s="262"/>
    </row>
    <row r="24" spans="2:8" x14ac:dyDescent="0.25">
      <c r="B24" s="135">
        <v>2022</v>
      </c>
      <c r="C24" s="182">
        <f>807.12/10^2</f>
        <v>8.0711999999999993</v>
      </c>
      <c r="D24" s="135">
        <v>289.76</v>
      </c>
      <c r="E24" s="183">
        <f>178537198/10^2</f>
        <v>1785371.98</v>
      </c>
      <c r="F24" s="183">
        <f>E24*D24</f>
        <v>517329384.92479998</v>
      </c>
      <c r="G24" s="258">
        <v>0.25</v>
      </c>
    </row>
    <row r="25" spans="2:8" x14ac:dyDescent="0.25">
      <c r="B25" s="135">
        <v>2023</v>
      </c>
      <c r="C25" s="182">
        <f>815.47/10^2</f>
        <v>8.1547000000000001</v>
      </c>
      <c r="D25" s="261">
        <v>137.46</v>
      </c>
      <c r="E25" s="183">
        <f>178549084/10^2</f>
        <v>1785490.84</v>
      </c>
      <c r="F25" s="183">
        <f>E25*D25</f>
        <v>245433570.86640003</v>
      </c>
      <c r="G25" s="258">
        <v>0.25</v>
      </c>
    </row>
    <row r="26" spans="2:8" x14ac:dyDescent="0.25">
      <c r="C26" s="85"/>
      <c r="D26" s="70"/>
      <c r="G26" s="471"/>
    </row>
    <row r="27" spans="2:8" x14ac:dyDescent="0.25">
      <c r="B27" s="335" t="s">
        <v>551</v>
      </c>
      <c r="C27" s="336"/>
      <c r="D27" s="336"/>
      <c r="E27" s="336"/>
      <c r="F27" s="336"/>
      <c r="G27" s="336"/>
    </row>
    <row r="28" spans="2:8" x14ac:dyDescent="0.25">
      <c r="B28" s="135">
        <v>2021</v>
      </c>
      <c r="C28" s="183">
        <v>263.45</v>
      </c>
      <c r="D28" s="261">
        <v>35.94</v>
      </c>
      <c r="E28" s="183">
        <f>13672982+21016133/10^2</f>
        <v>13883143.33</v>
      </c>
      <c r="F28" s="183">
        <f>E28*D28</f>
        <v>498960171.28019994</v>
      </c>
      <c r="G28" s="258">
        <v>0.25</v>
      </c>
    </row>
    <row r="29" spans="2:8" x14ac:dyDescent="0.25">
      <c r="B29" s="135">
        <v>2022</v>
      </c>
      <c r="C29" s="183">
        <v>216.49</v>
      </c>
      <c r="D29" s="261">
        <v>43.4</v>
      </c>
      <c r="E29" s="183">
        <f>135107264+20938571/10^2</f>
        <v>135316649.71000001</v>
      </c>
      <c r="F29" s="183">
        <f>E29*D29</f>
        <v>5872742597.4140005</v>
      </c>
      <c r="G29" s="258">
        <v>0.25</v>
      </c>
    </row>
    <row r="30" spans="2:8" x14ac:dyDescent="0.25">
      <c r="B30" s="135">
        <v>2023</v>
      </c>
      <c r="C30" s="183">
        <v>242.94</v>
      </c>
      <c r="D30" s="135">
        <v>41.95</v>
      </c>
      <c r="E30" s="183">
        <f>134473612+20810041/10^2</f>
        <v>134681712.41</v>
      </c>
      <c r="F30" s="183">
        <f>E30*D30</f>
        <v>5649897835.5995007</v>
      </c>
      <c r="G30" s="258">
        <v>0.25</v>
      </c>
    </row>
    <row r="31" spans="2:8" x14ac:dyDescent="0.25">
      <c r="B31" s="255"/>
    </row>
    <row r="32" spans="2:8" x14ac:dyDescent="0.25">
      <c r="B32" s="335" t="s">
        <v>552</v>
      </c>
      <c r="C32" s="336"/>
      <c r="D32" s="336"/>
      <c r="E32" s="336"/>
      <c r="F32" s="336"/>
      <c r="G32" s="336"/>
    </row>
    <row r="33" spans="2:9" x14ac:dyDescent="0.25">
      <c r="B33" s="135">
        <v>2021</v>
      </c>
      <c r="C33" s="183">
        <v>46.77</v>
      </c>
      <c r="D33" s="261">
        <v>55.07</v>
      </c>
      <c r="E33" s="135">
        <v>27813023</v>
      </c>
      <c r="F33" s="135">
        <f>E33*D33</f>
        <v>1531663176.6099999</v>
      </c>
      <c r="G33" s="258">
        <v>0.25</v>
      </c>
      <c r="I33" s="135"/>
    </row>
    <row r="34" spans="2:9" x14ac:dyDescent="0.25">
      <c r="B34" s="135">
        <v>2022</v>
      </c>
      <c r="C34" s="183">
        <v>50.1</v>
      </c>
      <c r="D34" s="261">
        <v>45.63</v>
      </c>
      <c r="E34" s="135">
        <v>26789861</v>
      </c>
      <c r="F34" s="135">
        <f>E34*D34</f>
        <v>1222421357.4300001</v>
      </c>
      <c r="G34" s="258">
        <v>0.25</v>
      </c>
      <c r="H34" s="263"/>
    </row>
    <row r="35" spans="2:9" x14ac:dyDescent="0.25">
      <c r="B35" s="135">
        <v>2023</v>
      </c>
      <c r="C35" s="183">
        <v>50.77</v>
      </c>
      <c r="D35" s="135">
        <v>79.17</v>
      </c>
      <c r="E35" s="135">
        <v>26159846</v>
      </c>
      <c r="F35" s="135">
        <f>E35*D35</f>
        <v>2071075007.8199999</v>
      </c>
      <c r="G35" s="258">
        <v>0.25</v>
      </c>
      <c r="H35" s="70"/>
    </row>
    <row r="36" spans="2:9" x14ac:dyDescent="0.25">
      <c r="B36" s="255"/>
    </row>
    <row r="37" spans="2:9" x14ac:dyDescent="0.25">
      <c r="B37" s="335" t="s">
        <v>553</v>
      </c>
      <c r="C37" s="336"/>
      <c r="D37" s="337"/>
      <c r="E37" s="336"/>
      <c r="F37" s="336"/>
      <c r="G37" s="336"/>
    </row>
    <row r="38" spans="2:9" x14ac:dyDescent="0.25">
      <c r="B38" s="135">
        <v>2021</v>
      </c>
      <c r="C38" s="183">
        <v>771.39</v>
      </c>
      <c r="D38" s="135">
        <v>62.66</v>
      </c>
      <c r="E38" s="135">
        <v>65439867</v>
      </c>
      <c r="F38" s="135">
        <f>E38*D38</f>
        <v>4100462066.2199998</v>
      </c>
      <c r="G38" s="258">
        <v>0.25</v>
      </c>
    </row>
    <row r="39" spans="2:9" x14ac:dyDescent="0.25">
      <c r="B39" s="135">
        <v>2022</v>
      </c>
      <c r="C39" s="183">
        <v>2298.0300000000002</v>
      </c>
      <c r="D39" s="261">
        <v>128.22</v>
      </c>
      <c r="E39" s="135">
        <v>58353973</v>
      </c>
      <c r="F39" s="135">
        <f>E39*D39</f>
        <v>7482146418.0599995</v>
      </c>
      <c r="G39" s="258">
        <v>0.25</v>
      </c>
    </row>
    <row r="40" spans="2:9" x14ac:dyDescent="0.25">
      <c r="B40" s="135">
        <v>2023</v>
      </c>
      <c r="C40" s="183">
        <v>1641</v>
      </c>
      <c r="D40" s="261">
        <v>108.43</v>
      </c>
      <c r="E40" s="135">
        <v>61751732</v>
      </c>
      <c r="F40" s="135">
        <f>E40*D40</f>
        <v>6695740300.7600002</v>
      </c>
      <c r="G40" s="258">
        <v>0.25</v>
      </c>
    </row>
    <row r="41" spans="2:9" x14ac:dyDescent="0.25">
      <c r="B41" s="255"/>
    </row>
    <row r="42" spans="2:9" x14ac:dyDescent="0.25">
      <c r="B42" s="335" t="s">
        <v>305</v>
      </c>
      <c r="C42" s="336"/>
      <c r="D42" s="337"/>
      <c r="E42" s="336"/>
      <c r="F42" s="336"/>
      <c r="G42" s="336"/>
    </row>
    <row r="43" spans="2:9" x14ac:dyDescent="0.25">
      <c r="B43" s="135">
        <v>2021</v>
      </c>
      <c r="C43" s="135">
        <f>97101+5200/10^2</f>
        <v>97153</v>
      </c>
      <c r="D43" s="261">
        <v>5.4</v>
      </c>
      <c r="E43" s="135">
        <f>183041026/10^2</f>
        <v>1830410.26</v>
      </c>
      <c r="F43" s="183">
        <f>E43*D43</f>
        <v>9884215.404000001</v>
      </c>
      <c r="G43" s="258">
        <v>0.25</v>
      </c>
    </row>
    <row r="44" spans="2:9" x14ac:dyDescent="0.25">
      <c r="B44" s="135">
        <v>2022</v>
      </c>
      <c r="C44" s="135">
        <f>205908+693321/10^2</f>
        <v>212841.21</v>
      </c>
      <c r="D44" s="135">
        <v>5.47</v>
      </c>
      <c r="E44" s="135">
        <f>183169164/10^2</f>
        <v>1831691.64</v>
      </c>
      <c r="F44" s="135">
        <f>E44*D44</f>
        <v>10019353.270799998</v>
      </c>
      <c r="G44" s="258">
        <v>0.25</v>
      </c>
    </row>
    <row r="45" spans="2:9" x14ac:dyDescent="0.25">
      <c r="B45" s="135">
        <v>2023</v>
      </c>
      <c r="C45" s="183">
        <f>711794/10^2</f>
        <v>7117.94</v>
      </c>
      <c r="D45" s="261">
        <v>7.85</v>
      </c>
      <c r="E45" s="135">
        <f>183169926/10^2</f>
        <v>1831699.26</v>
      </c>
      <c r="F45" s="135">
        <f>E45*D45</f>
        <v>14378839.191</v>
      </c>
      <c r="G45" s="258">
        <v>0.25</v>
      </c>
    </row>
    <row r="46" spans="2:9" x14ac:dyDescent="0.25">
      <c r="B46" s="255"/>
    </row>
  </sheetData>
  <mergeCells count="2">
    <mergeCell ref="D15:F15"/>
    <mergeCell ref="D16:F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8"/>
  <sheetViews>
    <sheetView tabSelected="1" zoomScale="89" zoomScaleNormal="46" workbookViewId="0">
      <selection activeCell="H42" sqref="H42"/>
    </sheetView>
  </sheetViews>
  <sheetFormatPr defaultRowHeight="15" x14ac:dyDescent="0.25"/>
  <cols>
    <col min="6" max="6" width="16" customWidth="1"/>
    <col min="7" max="7" width="17.42578125" customWidth="1"/>
    <col min="8" max="8" width="17.5703125" customWidth="1"/>
    <col min="9" max="9" width="16.28515625" customWidth="1"/>
    <col min="10" max="10" width="12.7109375" bestFit="1" customWidth="1"/>
    <col min="11" max="11" width="14" customWidth="1"/>
    <col min="12" max="12" width="16.28515625" customWidth="1"/>
    <col min="13" max="13" width="13.42578125" customWidth="1"/>
    <col min="14" max="14" width="18.7109375" customWidth="1"/>
    <col min="15" max="15" width="14.5703125" customWidth="1"/>
    <col min="16" max="16" width="13.7109375" customWidth="1"/>
    <col min="17" max="17" width="14.7109375" customWidth="1"/>
  </cols>
  <sheetData>
    <row r="1" spans="2:14" ht="14.45" customHeight="1" x14ac:dyDescent="0.25">
      <c r="B1" s="498" t="s">
        <v>491</v>
      </c>
      <c r="C1" s="498"/>
      <c r="D1" s="498"/>
      <c r="E1" s="498"/>
      <c r="F1" s="498"/>
      <c r="G1" s="498"/>
      <c r="H1" s="498"/>
      <c r="I1" s="498"/>
      <c r="J1" s="498"/>
      <c r="K1" s="498"/>
      <c r="L1" s="498"/>
      <c r="M1" s="498"/>
      <c r="N1" s="498"/>
    </row>
    <row r="2" spans="2:14" ht="14.45" customHeight="1" x14ac:dyDescent="0.25"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</row>
    <row r="3" spans="2:14" ht="15.75" x14ac:dyDescent="0.25">
      <c r="B3" s="272"/>
      <c r="C3" s="272"/>
      <c r="D3" s="272"/>
      <c r="E3" s="272"/>
      <c r="F3" s="326" t="s">
        <v>508</v>
      </c>
      <c r="G3" s="327" t="s">
        <v>509</v>
      </c>
      <c r="H3" s="327" t="s">
        <v>510</v>
      </c>
      <c r="I3" s="328" t="s">
        <v>511</v>
      </c>
      <c r="J3" s="328" t="s">
        <v>538</v>
      </c>
      <c r="K3" s="328" t="s">
        <v>539</v>
      </c>
      <c r="L3" s="328" t="s">
        <v>540</v>
      </c>
      <c r="M3" s="328" t="s">
        <v>541</v>
      </c>
      <c r="N3" s="328" t="s">
        <v>542</v>
      </c>
    </row>
    <row r="4" spans="2:14" ht="15.6" customHeight="1" x14ac:dyDescent="0.25">
      <c r="B4" s="497" t="s">
        <v>483</v>
      </c>
      <c r="C4" s="497"/>
      <c r="D4" s="497"/>
      <c r="E4" s="497"/>
      <c r="F4" s="497"/>
      <c r="G4" s="497"/>
      <c r="H4" s="497"/>
      <c r="I4" s="497"/>
      <c r="J4" s="400"/>
      <c r="K4" s="400"/>
      <c r="L4" s="400"/>
      <c r="M4" s="400"/>
      <c r="N4" s="401"/>
    </row>
    <row r="5" spans="2:14" ht="15.75" x14ac:dyDescent="0.25">
      <c r="B5" s="329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33"/>
    </row>
    <row r="6" spans="2:14" ht="15.75" x14ac:dyDescent="0.25">
      <c r="B6" s="329"/>
      <c r="C6" s="329" t="s">
        <v>492</v>
      </c>
      <c r="D6" s="329"/>
      <c r="E6" s="329"/>
      <c r="F6" s="330">
        <f>F11</f>
        <v>2539</v>
      </c>
      <c r="G6" s="330">
        <f t="shared" ref="G6:N6" si="0">G11</f>
        <v>5727</v>
      </c>
      <c r="H6" s="330">
        <f t="shared" si="0"/>
        <v>6046</v>
      </c>
      <c r="I6" s="330">
        <f t="shared" si="0"/>
        <v>5070</v>
      </c>
      <c r="J6" s="330">
        <f t="shared" si="0"/>
        <v>5700</v>
      </c>
      <c r="K6" s="330">
        <f t="shared" si="0"/>
        <v>4205.3366761689313</v>
      </c>
      <c r="L6" s="330">
        <f t="shared" si="0"/>
        <v>4132.8276008021785</v>
      </c>
      <c r="M6" s="330">
        <f t="shared" si="0"/>
        <v>4065.3049353070214</v>
      </c>
      <c r="N6" s="402">
        <f t="shared" si="0"/>
        <v>4047.4784088103179</v>
      </c>
    </row>
    <row r="7" spans="2:14" ht="15.75" x14ac:dyDescent="0.25">
      <c r="B7" s="329"/>
      <c r="C7" s="329" t="s">
        <v>493</v>
      </c>
      <c r="D7" s="329"/>
      <c r="E7" s="329"/>
      <c r="F7" s="331">
        <f>F20</f>
        <v>8547.5</v>
      </c>
      <c r="G7" s="331">
        <f t="shared" ref="G7:N7" si="1">G20</f>
        <v>10411</v>
      </c>
      <c r="H7" s="331">
        <f>H20</f>
        <v>14024</v>
      </c>
      <c r="I7" s="331">
        <f>I20</f>
        <v>14642.5</v>
      </c>
      <c r="J7" s="331">
        <f t="shared" si="1"/>
        <v>14217</v>
      </c>
      <c r="K7" s="331">
        <f t="shared" si="1"/>
        <v>15685.713531504043</v>
      </c>
      <c r="L7" s="331">
        <f t="shared" si="1"/>
        <v>18175.489384607616</v>
      </c>
      <c r="M7" s="331">
        <f t="shared" si="1"/>
        <v>20623.451759889824</v>
      </c>
      <c r="N7" s="331">
        <f t="shared" si="1"/>
        <v>23045.928866443261</v>
      </c>
    </row>
    <row r="8" spans="2:14" ht="15.75" x14ac:dyDescent="0.25">
      <c r="B8" s="329"/>
      <c r="C8" s="329" t="s">
        <v>494</v>
      </c>
      <c r="D8" s="329"/>
      <c r="E8" s="329"/>
      <c r="F8" s="332">
        <f>F6/F7</f>
        <v>0.2970459198596081</v>
      </c>
      <c r="G8" s="332">
        <f t="shared" ref="G8:N8" si="2">G6/G7</f>
        <v>0.55009124963980405</v>
      </c>
      <c r="H8" s="332">
        <f>H6/H7</f>
        <v>0.43111808328579576</v>
      </c>
      <c r="I8" s="332">
        <f>I6/I7</f>
        <v>0.34625234761823459</v>
      </c>
      <c r="J8" s="332">
        <f t="shared" si="2"/>
        <v>0.40092846592108039</v>
      </c>
      <c r="K8" s="332">
        <f t="shared" si="2"/>
        <v>0.26809980098914238</v>
      </c>
      <c r="L8" s="332">
        <f t="shared" si="2"/>
        <v>0.22738466697365359</v>
      </c>
      <c r="M8" s="332">
        <f t="shared" si="2"/>
        <v>0.19712049091673195</v>
      </c>
      <c r="N8" s="404">
        <f t="shared" si="2"/>
        <v>0.17562661206959526</v>
      </c>
    </row>
    <row r="9" spans="2:14" ht="15.75" x14ac:dyDescent="0.25">
      <c r="B9" s="272"/>
      <c r="C9" s="272"/>
      <c r="D9" s="272"/>
      <c r="E9" s="272"/>
      <c r="F9" s="272"/>
      <c r="G9" s="272"/>
      <c r="H9" s="272"/>
      <c r="I9" s="272"/>
    </row>
    <row r="10" spans="2:14" ht="15.6" customHeight="1" x14ac:dyDescent="0.25">
      <c r="B10" s="499" t="s">
        <v>495</v>
      </c>
      <c r="C10" s="499"/>
      <c r="D10" s="499"/>
      <c r="E10" s="499"/>
      <c r="F10" s="499"/>
      <c r="G10" s="499"/>
      <c r="H10" s="499"/>
      <c r="I10" s="499"/>
      <c r="J10" s="499"/>
      <c r="K10" s="499"/>
      <c r="L10" s="499"/>
      <c r="M10" s="499"/>
      <c r="N10" s="499"/>
    </row>
    <row r="11" spans="2:14" ht="15.75" x14ac:dyDescent="0.25">
      <c r="B11" s="329"/>
      <c r="C11" s="329" t="s">
        <v>496</v>
      </c>
      <c r="D11" s="329"/>
      <c r="E11" s="329"/>
      <c r="F11" s="388">
        <f>'NIKE-IS'!C23</f>
        <v>2539</v>
      </c>
      <c r="G11" s="388">
        <f>'NIKE-IS'!D23</f>
        <v>5727</v>
      </c>
      <c r="H11" s="388">
        <f>'NIKE-IS'!E23</f>
        <v>6046</v>
      </c>
      <c r="I11" s="388">
        <f>'NIKE-IS'!F23</f>
        <v>5070</v>
      </c>
      <c r="J11" s="388">
        <f>'NIKE-IS'!G23</f>
        <v>5700</v>
      </c>
      <c r="K11" s="388">
        <f>'NIKE-IS'!H23</f>
        <v>4205.3366761689313</v>
      </c>
      <c r="L11" s="388">
        <f>'NIKE-IS'!I23</f>
        <v>4132.8276008021785</v>
      </c>
      <c r="M11" s="388">
        <f>'NIKE-IS'!J23</f>
        <v>4065.3049353070214</v>
      </c>
      <c r="N11" s="405">
        <f>'NIKE-IS'!K23</f>
        <v>4047.4784088103179</v>
      </c>
    </row>
    <row r="12" spans="2:14" ht="15.75" x14ac:dyDescent="0.25">
      <c r="B12" s="329"/>
      <c r="C12" s="329" t="s">
        <v>339</v>
      </c>
      <c r="D12" s="329"/>
      <c r="E12" s="329"/>
      <c r="F12" s="389">
        <f>'NIKE-IS'!C9</f>
        <v>37403</v>
      </c>
      <c r="G12" s="389">
        <f>'NIKE-IS'!D9</f>
        <v>44538</v>
      </c>
      <c r="H12" s="389">
        <f>'NIKE-IS'!E9</f>
        <v>46710</v>
      </c>
      <c r="I12" s="389">
        <f>'NIKE-IS'!F9</f>
        <v>51217</v>
      </c>
      <c r="J12" s="389">
        <f>'NIKE-IS'!G9</f>
        <v>51362</v>
      </c>
      <c r="K12" s="389">
        <f>'NIKE-IS'!H9</f>
        <v>50056.0198064902</v>
      </c>
      <c r="L12" s="389">
        <f>'NIKE-IS'!I9</f>
        <v>48816.171266634548</v>
      </c>
      <c r="M12" s="389">
        <f>'NIKE-IS'!J9</f>
        <v>47922.184717876371</v>
      </c>
      <c r="N12" s="406">
        <f>'NIKE-IS'!K9</f>
        <v>47105.39880605325</v>
      </c>
    </row>
    <row r="13" spans="2:14" ht="15.75" x14ac:dyDescent="0.25">
      <c r="B13" s="329"/>
      <c r="C13" s="329" t="s">
        <v>497</v>
      </c>
      <c r="D13" s="329"/>
      <c r="E13" s="329"/>
      <c r="F13" s="390">
        <f>F11/F12</f>
        <v>6.7882255434056085E-2</v>
      </c>
      <c r="G13" s="390">
        <f t="shared" ref="G13:N13" si="3">G11/G12</f>
        <v>0.12858682473393507</v>
      </c>
      <c r="H13" s="390">
        <f t="shared" si="3"/>
        <v>0.12943695140226932</v>
      </c>
      <c r="I13" s="390">
        <f t="shared" si="3"/>
        <v>9.8990569537458259E-2</v>
      </c>
      <c r="J13" s="390">
        <f t="shared" si="3"/>
        <v>0.11097698687745804</v>
      </c>
      <c r="K13" s="390">
        <f t="shared" si="3"/>
        <v>8.4012606124621858E-2</v>
      </c>
      <c r="L13" s="390">
        <f t="shared" si="3"/>
        <v>8.4661035340699325E-2</v>
      </c>
      <c r="M13" s="390">
        <f t="shared" si="3"/>
        <v>8.4831377351428303E-2</v>
      </c>
      <c r="N13" s="407">
        <f t="shared" si="3"/>
        <v>8.5923875211734738E-2</v>
      </c>
    </row>
    <row r="14" spans="2:14" ht="15.75" x14ac:dyDescent="0.25">
      <c r="B14" s="329"/>
      <c r="C14" s="329"/>
      <c r="D14" s="329"/>
      <c r="E14" s="329"/>
      <c r="F14" s="391"/>
      <c r="G14" s="392"/>
      <c r="H14" s="392"/>
      <c r="I14" s="393"/>
      <c r="J14" s="393"/>
      <c r="K14" s="393"/>
      <c r="L14" s="393"/>
      <c r="M14" s="393"/>
      <c r="N14" s="408"/>
    </row>
    <row r="15" spans="2:14" ht="15.75" x14ac:dyDescent="0.25">
      <c r="B15" s="329"/>
      <c r="C15" s="329" t="s">
        <v>339</v>
      </c>
      <c r="D15" s="329"/>
      <c r="E15" s="329"/>
      <c r="F15" s="389">
        <f>'NIKE-IS'!C9</f>
        <v>37403</v>
      </c>
      <c r="G15" s="389">
        <f>'NIKE-IS'!D9</f>
        <v>44538</v>
      </c>
      <c r="H15" s="389">
        <f>'NIKE-IS'!E9</f>
        <v>46710</v>
      </c>
      <c r="I15" s="389">
        <f>'NIKE-IS'!F9</f>
        <v>51217</v>
      </c>
      <c r="J15" s="389">
        <f>'NIKE-IS'!G9</f>
        <v>51362</v>
      </c>
      <c r="K15" s="389">
        <f>'NIKE-IS'!H9</f>
        <v>50056.0198064902</v>
      </c>
      <c r="L15" s="389">
        <f>'NIKE-IS'!I9</f>
        <v>48816.171266634548</v>
      </c>
      <c r="M15" s="389">
        <f>'NIKE-IS'!J9</f>
        <v>47922.184717876371</v>
      </c>
      <c r="N15" s="406">
        <f>'NIKE-IS'!K9</f>
        <v>47105.39880605325</v>
      </c>
    </row>
    <row r="16" spans="2:14" ht="15.75" x14ac:dyDescent="0.25">
      <c r="B16" s="329"/>
      <c r="C16" s="329" t="s">
        <v>498</v>
      </c>
      <c r="D16" s="329"/>
      <c r="E16" s="329"/>
      <c r="F16" s="394">
        <f>'NIKE - BS'!B24+'NIKE - BS'!C24/2</f>
        <v>39388</v>
      </c>
      <c r="G16" s="394">
        <f>'NIKE - BS'!C24+'NIKE - BS'!D24/2</f>
        <v>50212</v>
      </c>
      <c r="H16" s="394">
        <f>'NIKE - BS'!D24+'NIKE - BS'!E24/2</f>
        <v>57900.5</v>
      </c>
      <c r="I16" s="394">
        <f>'NIKE - BS'!E24+'NIKE - BS'!F24/2</f>
        <v>59086.5</v>
      </c>
      <c r="J16" s="394">
        <f>'NIKE - BS'!F24+'NIKE - BS'!G24/2</f>
        <v>56586</v>
      </c>
      <c r="K16" s="394">
        <f>'NIKE - BS'!G24+'NIKE - BS'!H24/2</f>
        <v>58056.759147597841</v>
      </c>
      <c r="L16" s="394">
        <f>'NIKE - BS'!H24+'NIKE - BS'!I24/2</f>
        <v>61035.661498332018</v>
      </c>
      <c r="M16" s="394">
        <f>'NIKE - BS'!I24+'NIKE - BS'!J24/2</f>
        <v>63612.440894039391</v>
      </c>
      <c r="N16" s="409">
        <f>'NIKE - BS'!J24+'NIKE - BS'!K24/2</f>
        <v>65167.560095138135</v>
      </c>
    </row>
    <row r="17" spans="2:14" ht="15.75" x14ac:dyDescent="0.25">
      <c r="B17" s="329"/>
      <c r="C17" s="329" t="s">
        <v>499</v>
      </c>
      <c r="D17" s="329"/>
      <c r="E17" s="329"/>
      <c r="F17" s="395">
        <f>F15/F16</f>
        <v>0.94960394028638162</v>
      </c>
      <c r="G17" s="395">
        <f t="shared" ref="G17:N17" si="4">G15/G16</f>
        <v>0.88699912371544654</v>
      </c>
      <c r="H17" s="395">
        <f t="shared" si="4"/>
        <v>0.80672878472552045</v>
      </c>
      <c r="I17" s="395">
        <f t="shared" si="4"/>
        <v>0.86681390842239769</v>
      </c>
      <c r="J17" s="395">
        <f t="shared" si="4"/>
        <v>0.90768034496165129</v>
      </c>
      <c r="K17" s="395">
        <f t="shared" si="4"/>
        <v>0.86219107889285829</v>
      </c>
      <c r="L17" s="395">
        <f t="shared" si="4"/>
        <v>0.79979752931765302</v>
      </c>
      <c r="M17" s="395">
        <f t="shared" si="4"/>
        <v>0.75334610721354622</v>
      </c>
      <c r="N17" s="410">
        <f t="shared" si="4"/>
        <v>0.72283508446969735</v>
      </c>
    </row>
    <row r="18" spans="2:14" ht="15.75" x14ac:dyDescent="0.25">
      <c r="B18" s="329"/>
      <c r="C18" s="329"/>
      <c r="D18" s="329"/>
      <c r="E18" s="329"/>
      <c r="F18" s="391"/>
      <c r="G18" s="392"/>
      <c r="H18" s="392"/>
      <c r="I18" s="393"/>
      <c r="J18" s="393"/>
      <c r="K18" s="393"/>
      <c r="L18" s="393"/>
      <c r="M18" s="393"/>
      <c r="N18" s="408"/>
    </row>
    <row r="19" spans="2:14" ht="15.75" x14ac:dyDescent="0.25">
      <c r="B19" s="329"/>
      <c r="C19" s="329" t="s">
        <v>498</v>
      </c>
      <c r="D19" s="329"/>
      <c r="E19" s="329"/>
      <c r="F19" s="394">
        <f>F16</f>
        <v>39388</v>
      </c>
      <c r="G19" s="394">
        <f t="shared" ref="G19:I19" si="5">G16</f>
        <v>50212</v>
      </c>
      <c r="H19" s="394">
        <f t="shared" si="5"/>
        <v>57900.5</v>
      </c>
      <c r="I19" s="394">
        <f t="shared" si="5"/>
        <v>59086.5</v>
      </c>
      <c r="J19" s="394">
        <f t="shared" ref="J19:N19" si="6">J16</f>
        <v>56586</v>
      </c>
      <c r="K19" s="394">
        <f t="shared" si="6"/>
        <v>58056.759147597841</v>
      </c>
      <c r="L19" s="394">
        <f t="shared" si="6"/>
        <v>61035.661498332018</v>
      </c>
      <c r="M19" s="394">
        <f t="shared" si="6"/>
        <v>63612.440894039391</v>
      </c>
      <c r="N19" s="409">
        <f t="shared" si="6"/>
        <v>65167.560095138135</v>
      </c>
    </row>
    <row r="20" spans="2:14" ht="15.75" x14ac:dyDescent="0.25">
      <c r="B20" s="329"/>
      <c r="C20" s="329" t="s">
        <v>500</v>
      </c>
      <c r="D20" s="329"/>
      <c r="E20" s="329"/>
      <c r="F20" s="394">
        <f>SUM('NIKE - BS'!B47:B50,'NIKE - BS'!C47:C50)/2</f>
        <v>8547.5</v>
      </c>
      <c r="G20" s="394">
        <f>SUM('NIKE - BS'!C47:C50,'NIKE - BS'!D47:D50)/2</f>
        <v>10411</v>
      </c>
      <c r="H20" s="394">
        <f>SUM('NIKE - BS'!D47:D50,'NIKE - BS'!E47:E50)/2</f>
        <v>14024</v>
      </c>
      <c r="I20" s="394">
        <f>SUM('NIKE - BS'!E47:E50,'NIKE - BS'!F47:F50)/2</f>
        <v>14642.5</v>
      </c>
      <c r="J20" s="394">
        <f>SUM('NIKE - BS'!F47:F50,'NIKE - BS'!G47:G50)/2</f>
        <v>14217</v>
      </c>
      <c r="K20" s="394">
        <f>SUM('NIKE - BS'!G47:G50,'NIKE - BS'!H47:H50)/2</f>
        <v>15685.713531504043</v>
      </c>
      <c r="L20" s="394">
        <f>SUM('NIKE - BS'!H47:H50,'NIKE - BS'!I47:I50)/2</f>
        <v>18175.489384607616</v>
      </c>
      <c r="M20" s="394">
        <f>SUM('NIKE - BS'!I47:I50,'NIKE - BS'!J47:J50)/2</f>
        <v>20623.451759889824</v>
      </c>
      <c r="N20" s="394">
        <f>SUM('NIKE - BS'!J47:J50,'NIKE - BS'!K47:K50)/2</f>
        <v>23045.928866443261</v>
      </c>
    </row>
    <row r="21" spans="2:14" ht="15.75" x14ac:dyDescent="0.25">
      <c r="B21" s="329"/>
      <c r="C21" s="329" t="s">
        <v>501</v>
      </c>
      <c r="D21" s="329"/>
      <c r="E21" s="329"/>
      <c r="F21" s="395">
        <f>F19/F20</f>
        <v>4.608131032465633</v>
      </c>
      <c r="G21" s="395">
        <f t="shared" ref="G21:N21" si="7">G19/G20</f>
        <v>4.8229756987801364</v>
      </c>
      <c r="H21" s="395">
        <f t="shared" si="7"/>
        <v>4.1286722760981176</v>
      </c>
      <c r="I21" s="395">
        <f t="shared" si="7"/>
        <v>4.0352740310739286</v>
      </c>
      <c r="J21" s="395">
        <f t="shared" si="7"/>
        <v>3.9801645916860098</v>
      </c>
      <c r="K21" s="395">
        <f t="shared" si="7"/>
        <v>3.7012507611460248</v>
      </c>
      <c r="L21" s="395">
        <f t="shared" si="7"/>
        <v>3.3581302933180797</v>
      </c>
      <c r="M21" s="395">
        <f t="shared" si="7"/>
        <v>3.0844710979836107</v>
      </c>
      <c r="N21" s="395">
        <f t="shared" si="7"/>
        <v>2.8277254725899716</v>
      </c>
    </row>
    <row r="22" spans="2:14" ht="15.75" x14ac:dyDescent="0.25">
      <c r="B22" s="329"/>
      <c r="C22" s="329" t="s">
        <v>502</v>
      </c>
      <c r="D22" s="329"/>
      <c r="E22" s="329"/>
      <c r="F22" s="396">
        <f>F13*F17*F21</f>
        <v>0.29704591985960799</v>
      </c>
      <c r="G22" s="396">
        <f t="shared" ref="G22:N22" si="8">G13*G17*G21</f>
        <v>0.55009124963980405</v>
      </c>
      <c r="H22" s="396">
        <f t="shared" si="8"/>
        <v>0.43111808328579576</v>
      </c>
      <c r="I22" s="396">
        <f t="shared" si="8"/>
        <v>0.34625234761823459</v>
      </c>
      <c r="J22" s="396">
        <f t="shared" si="8"/>
        <v>0.40092846592108039</v>
      </c>
      <c r="K22" s="396">
        <f t="shared" si="8"/>
        <v>0.26809980098914238</v>
      </c>
      <c r="L22" s="396">
        <f t="shared" si="8"/>
        <v>0.22738466697365359</v>
      </c>
      <c r="M22" s="396">
        <f t="shared" si="8"/>
        <v>0.19712049091673192</v>
      </c>
      <c r="N22" s="396">
        <f t="shared" si="8"/>
        <v>0.17562661206959529</v>
      </c>
    </row>
    <row r="23" spans="2:14" ht="15.75" x14ac:dyDescent="0.25">
      <c r="B23" s="272"/>
      <c r="C23" s="272"/>
      <c r="D23" s="272"/>
      <c r="E23" s="272"/>
      <c r="F23" s="272"/>
      <c r="G23" s="272"/>
      <c r="H23" s="272"/>
      <c r="I23" s="272"/>
    </row>
    <row r="24" spans="2:14" ht="15.75" x14ac:dyDescent="0.25">
      <c r="B24" s="500" t="s">
        <v>485</v>
      </c>
      <c r="C24" s="500"/>
      <c r="D24" s="500"/>
      <c r="E24" s="500"/>
      <c r="F24" s="500"/>
      <c r="G24" s="500"/>
      <c r="H24" s="500"/>
      <c r="I24" s="500"/>
      <c r="J24" s="500"/>
      <c r="K24" s="500"/>
      <c r="L24" s="500"/>
      <c r="M24" s="500"/>
      <c r="N24" s="500"/>
    </row>
    <row r="25" spans="2:14" ht="15.75" x14ac:dyDescent="0.25">
      <c r="B25" s="329"/>
      <c r="C25" s="329" t="s">
        <v>492</v>
      </c>
      <c r="D25" s="329"/>
      <c r="E25" s="329"/>
      <c r="F25" s="330">
        <f>F11</f>
        <v>2539</v>
      </c>
      <c r="G25" s="330">
        <f t="shared" ref="G25:I25" si="9">G11</f>
        <v>5727</v>
      </c>
      <c r="H25" s="330">
        <f t="shared" si="9"/>
        <v>6046</v>
      </c>
      <c r="I25" s="330">
        <f t="shared" si="9"/>
        <v>5070</v>
      </c>
      <c r="J25" s="330">
        <f t="shared" ref="J25:N25" si="10">J11</f>
        <v>5700</v>
      </c>
      <c r="K25" s="330">
        <f t="shared" si="10"/>
        <v>4205.3366761689313</v>
      </c>
      <c r="L25" s="330">
        <f t="shared" si="10"/>
        <v>4132.8276008021785</v>
      </c>
      <c r="M25" s="330">
        <f t="shared" si="10"/>
        <v>4065.3049353070214</v>
      </c>
      <c r="N25" s="402">
        <f t="shared" si="10"/>
        <v>4047.4784088103179</v>
      </c>
    </row>
    <row r="26" spans="2:14" ht="15.75" x14ac:dyDescent="0.25">
      <c r="B26" s="329"/>
      <c r="C26" s="329" t="s">
        <v>503</v>
      </c>
      <c r="D26" s="329"/>
      <c r="E26" s="329"/>
      <c r="F26" s="331">
        <f>F16</f>
        <v>39388</v>
      </c>
      <c r="G26" s="331">
        <f t="shared" ref="G26:I26" si="11">G16</f>
        <v>50212</v>
      </c>
      <c r="H26" s="331">
        <f t="shared" si="11"/>
        <v>57900.5</v>
      </c>
      <c r="I26" s="331">
        <f t="shared" si="11"/>
        <v>59086.5</v>
      </c>
      <c r="J26" s="331">
        <f t="shared" ref="J26:N26" si="12">J16</f>
        <v>56586</v>
      </c>
      <c r="K26" s="331">
        <f t="shared" si="12"/>
        <v>58056.759147597841</v>
      </c>
      <c r="L26" s="331">
        <f t="shared" si="12"/>
        <v>61035.661498332018</v>
      </c>
      <c r="M26" s="331">
        <f t="shared" si="12"/>
        <v>63612.440894039391</v>
      </c>
      <c r="N26" s="403">
        <f t="shared" si="12"/>
        <v>65167.560095138135</v>
      </c>
    </row>
    <row r="27" spans="2:14" ht="15.75" x14ac:dyDescent="0.25">
      <c r="B27" s="329"/>
      <c r="C27" s="329" t="s">
        <v>485</v>
      </c>
      <c r="D27" s="329"/>
      <c r="E27" s="329"/>
      <c r="F27" s="332">
        <f>F25/F26</f>
        <v>6.446125723570631E-2</v>
      </c>
      <c r="G27" s="332">
        <f t="shared" ref="G27:I27" si="13">G25/G26</f>
        <v>0.11405640086035211</v>
      </c>
      <c r="H27" s="332">
        <f t="shared" si="13"/>
        <v>0.10442051450332898</v>
      </c>
      <c r="I27" s="332">
        <f t="shared" si="13"/>
        <v>8.5806402477723337E-2</v>
      </c>
      <c r="J27" s="332">
        <f t="shared" ref="J27:N27" si="14">J25/J26</f>
        <v>0.10073162973173576</v>
      </c>
      <c r="K27" s="332">
        <f t="shared" si="14"/>
        <v>7.2434919515188462E-2</v>
      </c>
      <c r="L27" s="332">
        <f t="shared" si="14"/>
        <v>6.7711686894965831E-2</v>
      </c>
      <c r="M27" s="332">
        <f t="shared" si="14"/>
        <v>6.3907387897261914E-2</v>
      </c>
      <c r="N27" s="404">
        <f t="shared" si="14"/>
        <v>6.2108791596638006E-2</v>
      </c>
    </row>
    <row r="28" spans="2:14" ht="15.75" x14ac:dyDescent="0.25">
      <c r="B28" s="272"/>
      <c r="C28" s="272"/>
      <c r="D28" s="272"/>
      <c r="E28" s="272"/>
      <c r="F28" s="272"/>
      <c r="G28" s="272"/>
      <c r="H28" s="272"/>
      <c r="I28" s="272"/>
    </row>
    <row r="29" spans="2:14" ht="15.6" customHeight="1" x14ac:dyDescent="0.25">
      <c r="B29" s="499" t="s">
        <v>504</v>
      </c>
      <c r="C29" s="499"/>
      <c r="D29" s="499"/>
      <c r="E29" s="499"/>
      <c r="F29" s="499"/>
      <c r="G29" s="499"/>
      <c r="H29" s="499"/>
      <c r="I29" s="499"/>
      <c r="J29" s="499"/>
      <c r="K29" s="499"/>
      <c r="L29" s="499"/>
      <c r="M29" s="499"/>
      <c r="N29" s="499"/>
    </row>
    <row r="30" spans="2:14" ht="15.75" x14ac:dyDescent="0.25">
      <c r="B30" s="329"/>
      <c r="C30" s="329"/>
      <c r="D30" s="329"/>
      <c r="E30" s="329"/>
      <c r="F30" s="329"/>
      <c r="G30" s="329"/>
      <c r="H30" s="329"/>
      <c r="I30" s="329"/>
      <c r="J30" s="329"/>
      <c r="K30" s="329"/>
      <c r="L30" s="329"/>
      <c r="M30" s="329"/>
      <c r="N30" s="329"/>
    </row>
    <row r="31" spans="2:14" ht="15.75" x14ac:dyDescent="0.25">
      <c r="B31" s="329"/>
      <c r="C31" s="329" t="s">
        <v>496</v>
      </c>
      <c r="D31" s="329"/>
      <c r="E31" s="329"/>
      <c r="F31" s="388">
        <f>F25</f>
        <v>2539</v>
      </c>
      <c r="G31" s="388">
        <f t="shared" ref="G31:I31" si="15">G25</f>
        <v>5727</v>
      </c>
      <c r="H31" s="388">
        <f t="shared" si="15"/>
        <v>6046</v>
      </c>
      <c r="I31" s="388">
        <f t="shared" si="15"/>
        <v>5070</v>
      </c>
      <c r="J31" s="388">
        <f t="shared" ref="J31:N31" si="16">J25</f>
        <v>5700</v>
      </c>
      <c r="K31" s="388">
        <f t="shared" si="16"/>
        <v>4205.3366761689313</v>
      </c>
      <c r="L31" s="388">
        <f t="shared" si="16"/>
        <v>4132.8276008021785</v>
      </c>
      <c r="M31" s="388">
        <f t="shared" si="16"/>
        <v>4065.3049353070214</v>
      </c>
      <c r="N31" s="405">
        <f t="shared" si="16"/>
        <v>4047.4784088103179</v>
      </c>
    </row>
    <row r="32" spans="2:14" ht="15.75" x14ac:dyDescent="0.25">
      <c r="B32" s="329"/>
      <c r="C32" s="329" t="s">
        <v>339</v>
      </c>
      <c r="D32" s="329"/>
      <c r="E32" s="329"/>
      <c r="F32" s="389">
        <f>F12</f>
        <v>37403</v>
      </c>
      <c r="G32" s="389">
        <f t="shared" ref="G32:I32" si="17">G12</f>
        <v>44538</v>
      </c>
      <c r="H32" s="389">
        <f t="shared" si="17"/>
        <v>46710</v>
      </c>
      <c r="I32" s="389">
        <f t="shared" si="17"/>
        <v>51217</v>
      </c>
      <c r="J32" s="389">
        <f t="shared" ref="J32:N32" si="18">J12</f>
        <v>51362</v>
      </c>
      <c r="K32" s="389">
        <f t="shared" si="18"/>
        <v>50056.0198064902</v>
      </c>
      <c r="L32" s="389">
        <f t="shared" si="18"/>
        <v>48816.171266634548</v>
      </c>
      <c r="M32" s="389">
        <f t="shared" si="18"/>
        <v>47922.184717876371</v>
      </c>
      <c r="N32" s="406">
        <f t="shared" si="18"/>
        <v>47105.39880605325</v>
      </c>
    </row>
    <row r="33" spans="1:14" ht="15.75" x14ac:dyDescent="0.25">
      <c r="B33" s="329"/>
      <c r="C33" s="329" t="s">
        <v>497</v>
      </c>
      <c r="D33" s="329"/>
      <c r="E33" s="329"/>
      <c r="F33" s="390">
        <f>F31/F32</f>
        <v>6.7882255434056085E-2</v>
      </c>
      <c r="G33" s="390">
        <f t="shared" ref="G33:I33" si="19">G31/G32</f>
        <v>0.12858682473393507</v>
      </c>
      <c r="H33" s="390">
        <f t="shared" si="19"/>
        <v>0.12943695140226932</v>
      </c>
      <c r="I33" s="390">
        <f t="shared" si="19"/>
        <v>9.8990569537458259E-2</v>
      </c>
      <c r="J33" s="390">
        <f t="shared" ref="J33:N33" si="20">J31/J32</f>
        <v>0.11097698687745804</v>
      </c>
      <c r="K33" s="390">
        <f t="shared" si="20"/>
        <v>8.4012606124621858E-2</v>
      </c>
      <c r="L33" s="390">
        <f t="shared" si="20"/>
        <v>8.4661035340699325E-2</v>
      </c>
      <c r="M33" s="390">
        <f t="shared" si="20"/>
        <v>8.4831377351428303E-2</v>
      </c>
      <c r="N33" s="407">
        <f t="shared" si="20"/>
        <v>8.5923875211734738E-2</v>
      </c>
    </row>
    <row r="34" spans="1:14" ht="15.75" x14ac:dyDescent="0.25">
      <c r="B34" s="329"/>
      <c r="C34" s="329"/>
      <c r="D34" s="329"/>
      <c r="E34" s="329"/>
      <c r="F34" s="391"/>
      <c r="G34" s="392"/>
      <c r="H34" s="392"/>
      <c r="I34" s="393"/>
      <c r="J34" s="393"/>
      <c r="K34" s="393"/>
      <c r="L34" s="393"/>
      <c r="M34" s="393"/>
      <c r="N34" s="408"/>
    </row>
    <row r="35" spans="1:14" ht="15.75" x14ac:dyDescent="0.25">
      <c r="B35" s="329"/>
      <c r="C35" s="329" t="s">
        <v>339</v>
      </c>
      <c r="D35" s="329"/>
      <c r="E35" s="329"/>
      <c r="F35" s="389">
        <f>F15</f>
        <v>37403</v>
      </c>
      <c r="G35" s="389">
        <f t="shared" ref="G35:I35" si="21">G15</f>
        <v>44538</v>
      </c>
      <c r="H35" s="389">
        <f t="shared" si="21"/>
        <v>46710</v>
      </c>
      <c r="I35" s="389">
        <f t="shared" si="21"/>
        <v>51217</v>
      </c>
      <c r="J35" s="389">
        <f t="shared" ref="J35:N35" si="22">J15</f>
        <v>51362</v>
      </c>
      <c r="K35" s="389">
        <f t="shared" si="22"/>
        <v>50056.0198064902</v>
      </c>
      <c r="L35" s="389">
        <f t="shared" si="22"/>
        <v>48816.171266634548</v>
      </c>
      <c r="M35" s="389">
        <f t="shared" si="22"/>
        <v>47922.184717876371</v>
      </c>
      <c r="N35" s="406">
        <f t="shared" si="22"/>
        <v>47105.39880605325</v>
      </c>
    </row>
    <row r="36" spans="1:14" ht="15.75" x14ac:dyDescent="0.25">
      <c r="B36" s="329"/>
      <c r="C36" s="329" t="s">
        <v>498</v>
      </c>
      <c r="D36" s="329"/>
      <c r="E36" s="329"/>
      <c r="F36" s="394">
        <f>F16</f>
        <v>39388</v>
      </c>
      <c r="G36" s="394">
        <f t="shared" ref="G36:I36" si="23">G16</f>
        <v>50212</v>
      </c>
      <c r="H36" s="394">
        <f t="shared" si="23"/>
        <v>57900.5</v>
      </c>
      <c r="I36" s="394">
        <f t="shared" si="23"/>
        <v>59086.5</v>
      </c>
      <c r="J36" s="394">
        <f t="shared" ref="J36:N36" si="24">J16</f>
        <v>56586</v>
      </c>
      <c r="K36" s="394">
        <f t="shared" si="24"/>
        <v>58056.759147597841</v>
      </c>
      <c r="L36" s="394">
        <f t="shared" si="24"/>
        <v>61035.661498332018</v>
      </c>
      <c r="M36" s="394">
        <f t="shared" si="24"/>
        <v>63612.440894039391</v>
      </c>
      <c r="N36" s="409">
        <f t="shared" si="24"/>
        <v>65167.560095138135</v>
      </c>
    </row>
    <row r="37" spans="1:14" ht="15.75" x14ac:dyDescent="0.25">
      <c r="B37" s="329"/>
      <c r="C37" s="329" t="s">
        <v>499</v>
      </c>
      <c r="D37" s="329"/>
      <c r="E37" s="329"/>
      <c r="F37" s="395">
        <f>F35/F36</f>
        <v>0.94960394028638162</v>
      </c>
      <c r="G37" s="395">
        <f t="shared" ref="G37:I37" si="25">G35/G36</f>
        <v>0.88699912371544654</v>
      </c>
      <c r="H37" s="395">
        <f t="shared" si="25"/>
        <v>0.80672878472552045</v>
      </c>
      <c r="I37" s="395">
        <f t="shared" si="25"/>
        <v>0.86681390842239769</v>
      </c>
      <c r="J37" s="395">
        <f t="shared" ref="J37:N37" si="26">J35/J36</f>
        <v>0.90768034496165129</v>
      </c>
      <c r="K37" s="395">
        <f t="shared" si="26"/>
        <v>0.86219107889285829</v>
      </c>
      <c r="L37" s="395">
        <f t="shared" si="26"/>
        <v>0.79979752931765302</v>
      </c>
      <c r="M37" s="395">
        <f t="shared" si="26"/>
        <v>0.75334610721354622</v>
      </c>
      <c r="N37" s="410">
        <f t="shared" si="26"/>
        <v>0.72283508446969735</v>
      </c>
    </row>
    <row r="38" spans="1:14" ht="15.75" x14ac:dyDescent="0.25">
      <c r="B38" s="329"/>
      <c r="C38" s="329"/>
      <c r="D38" s="329"/>
      <c r="E38" s="329"/>
      <c r="F38" s="391"/>
      <c r="G38" s="392"/>
      <c r="H38" s="392"/>
      <c r="I38" s="393"/>
      <c r="J38" s="393"/>
      <c r="K38" s="393"/>
      <c r="L38" s="393"/>
      <c r="M38" s="393"/>
      <c r="N38" s="408"/>
    </row>
    <row r="39" spans="1:14" ht="15.75" x14ac:dyDescent="0.25">
      <c r="B39" s="329"/>
      <c r="C39" s="329" t="s">
        <v>505</v>
      </c>
      <c r="D39" s="329"/>
      <c r="E39" s="329"/>
      <c r="F39" s="390">
        <f>F33*F37</f>
        <v>6.4461257235706296E-2</v>
      </c>
      <c r="G39" s="390">
        <f t="shared" ref="G39:I39" si="27">G33*G37</f>
        <v>0.11405640086035211</v>
      </c>
      <c r="H39" s="390">
        <f t="shared" si="27"/>
        <v>0.10442051450332898</v>
      </c>
      <c r="I39" s="390">
        <f t="shared" si="27"/>
        <v>8.5806402477723337E-2</v>
      </c>
      <c r="J39" s="390">
        <f t="shared" ref="J39:N39" si="28">J33*J37</f>
        <v>0.10073162973173576</v>
      </c>
      <c r="K39" s="390">
        <f t="shared" si="28"/>
        <v>7.2434919515188476E-2</v>
      </c>
      <c r="L39" s="390">
        <f t="shared" si="28"/>
        <v>6.7711686894965831E-2</v>
      </c>
      <c r="M39" s="390">
        <f t="shared" si="28"/>
        <v>6.39073878972619E-2</v>
      </c>
      <c r="N39" s="407">
        <f t="shared" si="28"/>
        <v>6.2108791596638013E-2</v>
      </c>
    </row>
    <row r="40" spans="1:14" ht="15.75" x14ac:dyDescent="0.25">
      <c r="B40" s="329"/>
      <c r="C40" s="329"/>
      <c r="D40" s="329"/>
      <c r="E40" s="329"/>
      <c r="F40" s="397"/>
      <c r="G40" s="398"/>
      <c r="H40" s="398"/>
      <c r="I40" s="399"/>
      <c r="J40" s="399"/>
      <c r="K40" s="399"/>
      <c r="L40" s="399"/>
      <c r="M40" s="399"/>
      <c r="N40" s="411"/>
    </row>
    <row r="46" spans="1:14" x14ac:dyDescent="0.25">
      <c r="A46" s="334" t="s">
        <v>522</v>
      </c>
    </row>
    <row r="47" spans="1:14" ht="15.75" x14ac:dyDescent="0.25">
      <c r="B47" s="272" t="s">
        <v>513</v>
      </c>
      <c r="C47" s="272"/>
      <c r="D47" s="272"/>
      <c r="E47" s="272"/>
      <c r="F47" s="272"/>
      <c r="G47" s="272"/>
    </row>
    <row r="48" spans="1:14" ht="15.75" x14ac:dyDescent="0.25">
      <c r="B48" s="272" t="s">
        <v>512</v>
      </c>
      <c r="C48" s="272"/>
      <c r="D48" s="272"/>
      <c r="E48" s="272"/>
      <c r="F48" s="272"/>
      <c r="G48" s="272"/>
    </row>
    <row r="49" spans="1:11" ht="15.75" x14ac:dyDescent="0.25">
      <c r="B49" s="272" t="s">
        <v>514</v>
      </c>
      <c r="C49" s="272"/>
      <c r="D49" s="272"/>
      <c r="E49" s="272"/>
      <c r="F49" s="272"/>
      <c r="G49" s="272"/>
    </row>
    <row r="50" spans="1:11" ht="15.75" x14ac:dyDescent="0.25">
      <c r="B50" s="272" t="s">
        <v>516</v>
      </c>
      <c r="C50" s="272"/>
      <c r="D50" s="272"/>
      <c r="E50" s="272"/>
      <c r="F50" s="272"/>
      <c r="G50" s="272"/>
    </row>
    <row r="51" spans="1:11" ht="15.75" x14ac:dyDescent="0.25">
      <c r="B51" s="272" t="s">
        <v>515</v>
      </c>
      <c r="C51" s="272"/>
      <c r="D51" s="272"/>
      <c r="E51" s="272"/>
      <c r="F51" s="272"/>
      <c r="G51" s="272"/>
    </row>
    <row r="52" spans="1:11" ht="15.75" x14ac:dyDescent="0.25">
      <c r="B52" s="272" t="s">
        <v>517</v>
      </c>
      <c r="C52" s="272"/>
      <c r="D52" s="272"/>
      <c r="E52" s="272"/>
      <c r="F52" s="272"/>
      <c r="G52" s="272"/>
    </row>
    <row r="53" spans="1:11" ht="15.75" x14ac:dyDescent="0.25">
      <c r="B53" s="272" t="s">
        <v>518</v>
      </c>
      <c r="C53" s="272"/>
      <c r="D53" s="272"/>
      <c r="E53" s="272"/>
      <c r="F53" s="272"/>
      <c r="G53" s="272"/>
    </row>
    <row r="54" spans="1:11" ht="15.75" x14ac:dyDescent="0.25">
      <c r="B54" s="272" t="s">
        <v>519</v>
      </c>
      <c r="C54" s="272"/>
      <c r="D54" s="272"/>
      <c r="E54" s="272"/>
      <c r="F54" s="272"/>
      <c r="G54" s="272"/>
    </row>
    <row r="55" spans="1:11" x14ac:dyDescent="0.25">
      <c r="B55" t="s">
        <v>520</v>
      </c>
    </row>
    <row r="56" spans="1:11" x14ac:dyDescent="0.25">
      <c r="B56" t="s">
        <v>521</v>
      </c>
    </row>
    <row r="61" spans="1:11" ht="15.75" x14ac:dyDescent="0.25">
      <c r="A61" s="272"/>
      <c r="B61" s="272"/>
      <c r="C61" s="272"/>
      <c r="D61" s="272"/>
      <c r="E61" s="272"/>
      <c r="F61" s="272"/>
      <c r="G61" s="272"/>
      <c r="H61" s="272"/>
      <c r="I61" s="272"/>
      <c r="J61" s="272"/>
      <c r="K61" s="272"/>
    </row>
    <row r="62" spans="1:11" ht="15.75" x14ac:dyDescent="0.25">
      <c r="A62" s="272"/>
      <c r="B62" s="273" t="s">
        <v>428</v>
      </c>
      <c r="C62" s="274"/>
      <c r="D62" s="274"/>
      <c r="E62" s="275"/>
      <c r="F62" s="275"/>
      <c r="G62" s="275"/>
      <c r="H62" s="275"/>
      <c r="I62" s="275"/>
      <c r="J62" s="272"/>
      <c r="K62" s="272"/>
    </row>
    <row r="63" spans="1:11" ht="15.75" x14ac:dyDescent="0.25">
      <c r="A63" s="272"/>
      <c r="B63" s="276" t="s">
        <v>7</v>
      </c>
      <c r="C63" s="276"/>
      <c r="D63" s="276"/>
      <c r="E63" s="277"/>
      <c r="F63" s="277"/>
      <c r="G63" s="277"/>
      <c r="H63" s="277"/>
      <c r="I63" s="277"/>
      <c r="J63" s="272"/>
      <c r="K63" s="272"/>
    </row>
    <row r="64" spans="1:11" ht="15.75" x14ac:dyDescent="0.25">
      <c r="A64" s="272"/>
      <c r="B64" s="272" t="s">
        <v>429</v>
      </c>
      <c r="C64" s="272"/>
      <c r="D64" s="272"/>
      <c r="E64" s="278"/>
      <c r="F64" s="278"/>
      <c r="G64" s="278"/>
      <c r="H64" s="278"/>
      <c r="I64" s="278"/>
      <c r="J64" s="279"/>
      <c r="K64" s="280" t="s">
        <v>430</v>
      </c>
    </row>
    <row r="65" spans="1:11" ht="15.75" x14ac:dyDescent="0.25">
      <c r="A65" s="272"/>
      <c r="B65" s="272" t="s">
        <v>431</v>
      </c>
      <c r="C65" s="272"/>
      <c r="D65" s="272"/>
      <c r="E65" s="278"/>
      <c r="F65" s="278"/>
      <c r="G65" s="278"/>
      <c r="H65" s="278"/>
      <c r="I65" s="278"/>
      <c r="J65" s="279"/>
      <c r="K65" s="272" t="s">
        <v>432</v>
      </c>
    </row>
    <row r="66" spans="1:11" ht="15.75" x14ac:dyDescent="0.25">
      <c r="A66" s="272"/>
      <c r="B66" s="272" t="s">
        <v>433</v>
      </c>
      <c r="C66" s="272"/>
      <c r="D66" s="272"/>
      <c r="E66" s="278"/>
      <c r="F66" s="278"/>
      <c r="G66" s="278"/>
      <c r="H66" s="278"/>
      <c r="I66" s="278"/>
      <c r="J66" s="279"/>
      <c r="K66" s="272" t="s">
        <v>434</v>
      </c>
    </row>
    <row r="67" spans="1:11" ht="15.75" x14ac:dyDescent="0.25">
      <c r="A67" s="272"/>
      <c r="B67" s="272"/>
      <c r="C67" s="272"/>
      <c r="D67" s="272"/>
      <c r="E67" s="277"/>
      <c r="F67" s="277"/>
      <c r="G67" s="277"/>
      <c r="H67" s="277"/>
      <c r="I67" s="277"/>
      <c r="J67" s="272"/>
      <c r="K67" s="272"/>
    </row>
    <row r="68" spans="1:11" ht="15.75" x14ac:dyDescent="0.25">
      <c r="A68" s="272"/>
      <c r="B68" s="272" t="s">
        <v>373</v>
      </c>
      <c r="C68" s="272"/>
      <c r="D68" s="272"/>
      <c r="E68" s="278"/>
      <c r="F68" s="278"/>
      <c r="G68" s="278"/>
      <c r="H68" s="278"/>
      <c r="I68" s="278"/>
      <c r="J68" s="272"/>
      <c r="K68" s="272" t="s">
        <v>435</v>
      </c>
    </row>
    <row r="69" spans="1:11" ht="15.75" x14ac:dyDescent="0.25">
      <c r="A69" s="272"/>
      <c r="B69" s="272" t="s">
        <v>436</v>
      </c>
      <c r="C69" s="272"/>
      <c r="D69" s="272"/>
      <c r="E69" s="281"/>
      <c r="F69" s="281"/>
      <c r="G69" s="281"/>
      <c r="H69" s="281"/>
      <c r="I69" s="281"/>
      <c r="J69" s="272"/>
      <c r="K69" s="272" t="s">
        <v>437</v>
      </c>
    </row>
    <row r="70" spans="1:11" ht="15.75" x14ac:dyDescent="0.25">
      <c r="A70" s="272"/>
      <c r="B70" s="272"/>
      <c r="C70" s="272"/>
      <c r="D70" s="272"/>
      <c r="E70" s="282"/>
      <c r="F70" s="282"/>
      <c r="G70" s="282"/>
      <c r="H70" s="282"/>
      <c r="I70" s="282"/>
      <c r="J70" s="272"/>
      <c r="K70" s="272"/>
    </row>
    <row r="71" spans="1:11" ht="15.75" x14ac:dyDescent="0.25">
      <c r="A71" s="272"/>
      <c r="B71" s="272" t="s">
        <v>438</v>
      </c>
      <c r="C71" s="272"/>
      <c r="D71" s="272"/>
      <c r="E71" s="283"/>
      <c r="F71" s="283"/>
      <c r="G71" s="283"/>
      <c r="H71" s="283"/>
      <c r="I71" s="283"/>
      <c r="J71" s="272"/>
      <c r="K71" s="272"/>
    </row>
    <row r="72" spans="1:11" ht="15.75" x14ac:dyDescent="0.25">
      <c r="A72" s="272"/>
      <c r="B72" s="272" t="s">
        <v>439</v>
      </c>
      <c r="C72" s="272"/>
      <c r="D72" s="272"/>
      <c r="E72" s="283"/>
      <c r="F72" s="283"/>
      <c r="G72" s="283"/>
      <c r="H72" s="283"/>
      <c r="I72" s="283"/>
      <c r="J72" s="272"/>
      <c r="K72" s="272"/>
    </row>
    <row r="73" spans="1:11" ht="15.75" x14ac:dyDescent="0.25">
      <c r="A73" s="272"/>
      <c r="B73" s="272" t="s">
        <v>440</v>
      </c>
      <c r="C73" s="272"/>
      <c r="D73" s="272"/>
      <c r="E73" s="283"/>
      <c r="F73" s="283"/>
      <c r="G73" s="283"/>
      <c r="H73" s="283"/>
      <c r="I73" s="283"/>
      <c r="J73" s="272"/>
      <c r="K73" s="272"/>
    </row>
    <row r="74" spans="1:11" ht="15.75" x14ac:dyDescent="0.25">
      <c r="A74" s="272"/>
      <c r="B74" s="272" t="s">
        <v>441</v>
      </c>
      <c r="C74" s="272"/>
      <c r="D74" s="272"/>
      <c r="E74" s="283"/>
      <c r="F74" s="283"/>
      <c r="G74" s="283"/>
      <c r="H74" s="283"/>
      <c r="I74" s="283"/>
      <c r="J74" s="272"/>
      <c r="K74" s="272"/>
    </row>
    <row r="75" spans="1:11" ht="15.75" x14ac:dyDescent="0.25">
      <c r="A75" s="272"/>
      <c r="B75" s="272" t="s">
        <v>442</v>
      </c>
      <c r="C75" s="272"/>
      <c r="D75" s="272"/>
      <c r="E75" s="283"/>
      <c r="F75" s="283"/>
      <c r="G75" s="283"/>
      <c r="H75" s="283"/>
      <c r="I75" s="283"/>
      <c r="J75" s="272"/>
      <c r="K75" s="272"/>
    </row>
    <row r="76" spans="1:11" ht="15.75" x14ac:dyDescent="0.25">
      <c r="A76" s="272"/>
      <c r="B76" s="272" t="s">
        <v>359</v>
      </c>
      <c r="C76" s="272"/>
      <c r="D76" s="272"/>
      <c r="E76" s="283"/>
      <c r="F76" s="283"/>
      <c r="G76" s="283"/>
      <c r="H76" s="283"/>
      <c r="I76" s="283"/>
      <c r="J76" s="272"/>
      <c r="K76" s="272"/>
    </row>
    <row r="77" spans="1:11" ht="15.75" x14ac:dyDescent="0.25">
      <c r="A77" s="272"/>
      <c r="B77" s="272" t="s">
        <v>443</v>
      </c>
      <c r="C77" s="272"/>
      <c r="D77" s="272"/>
      <c r="E77" s="283"/>
      <c r="F77" s="283"/>
      <c r="G77" s="283"/>
      <c r="H77" s="283"/>
      <c r="I77" s="283"/>
      <c r="J77" s="272"/>
      <c r="K77" s="272"/>
    </row>
    <row r="78" spans="1:11" ht="15.75" x14ac:dyDescent="0.25">
      <c r="A78" s="272"/>
      <c r="B78" s="272"/>
      <c r="C78" s="272"/>
      <c r="D78" s="272"/>
      <c r="E78" s="284"/>
      <c r="F78" s="284"/>
      <c r="G78" s="284"/>
      <c r="H78" s="284"/>
      <c r="I78" s="284"/>
      <c r="J78" s="272"/>
      <c r="K78" s="272"/>
    </row>
    <row r="79" spans="1:11" ht="15.75" x14ac:dyDescent="0.25">
      <c r="A79" s="272"/>
      <c r="B79" s="276" t="s">
        <v>444</v>
      </c>
      <c r="C79" s="276"/>
      <c r="D79" s="276"/>
      <c r="E79" s="284"/>
      <c r="F79" s="284"/>
      <c r="G79" s="284"/>
      <c r="H79" s="284"/>
      <c r="I79" s="284"/>
      <c r="J79" s="272"/>
      <c r="K79" s="272"/>
    </row>
    <row r="80" spans="1:11" ht="15.75" x14ac:dyDescent="0.25">
      <c r="A80" s="272"/>
      <c r="B80" s="272" t="s">
        <v>445</v>
      </c>
      <c r="C80" s="272"/>
      <c r="D80" s="272"/>
      <c r="E80" s="285"/>
      <c r="F80" s="285"/>
      <c r="G80" s="285"/>
      <c r="H80" s="285"/>
      <c r="I80" s="285"/>
      <c r="J80" s="272"/>
      <c r="K80" s="272" t="s">
        <v>446</v>
      </c>
    </row>
    <row r="81" spans="1:11" ht="15.75" x14ac:dyDescent="0.25">
      <c r="A81" s="272"/>
      <c r="B81" s="272" t="s">
        <v>447</v>
      </c>
      <c r="C81" s="272"/>
      <c r="D81" s="272"/>
      <c r="E81" s="286"/>
      <c r="F81" s="286"/>
      <c r="G81" s="286"/>
      <c r="H81" s="286"/>
      <c r="I81" s="286"/>
      <c r="J81" s="272"/>
      <c r="K81" s="272" t="s">
        <v>448</v>
      </c>
    </row>
    <row r="82" spans="1:11" ht="15.75" x14ac:dyDescent="0.25">
      <c r="A82" s="272"/>
      <c r="B82" s="272"/>
      <c r="C82" s="272"/>
      <c r="D82" s="272"/>
      <c r="E82" s="286"/>
      <c r="F82" s="286"/>
      <c r="G82" s="286"/>
      <c r="H82" s="286"/>
      <c r="I82" s="286"/>
      <c r="J82" s="272"/>
      <c r="K82" s="272"/>
    </row>
    <row r="83" spans="1:11" ht="15.75" x14ac:dyDescent="0.25">
      <c r="A83" s="272"/>
      <c r="B83" s="272" t="s">
        <v>449</v>
      </c>
      <c r="C83" s="272"/>
      <c r="D83" s="272"/>
      <c r="E83" s="287">
        <v>365</v>
      </c>
      <c r="F83" s="287">
        <v>365</v>
      </c>
      <c r="G83" s="287">
        <v>365</v>
      </c>
      <c r="H83" s="287">
        <v>365</v>
      </c>
      <c r="I83" s="287">
        <v>365</v>
      </c>
      <c r="J83" s="272"/>
      <c r="K83" s="272"/>
    </row>
    <row r="84" spans="1:11" ht="15.75" x14ac:dyDescent="0.25">
      <c r="A84" s="272"/>
      <c r="B84" s="272"/>
      <c r="C84" s="272"/>
      <c r="D84" s="272"/>
      <c r="E84" s="272"/>
      <c r="F84" s="272"/>
      <c r="G84" s="272"/>
      <c r="H84" s="272"/>
      <c r="I84" s="272"/>
      <c r="J84" s="272"/>
      <c r="K84" s="272"/>
    </row>
    <row r="85" spans="1:11" ht="15.75" x14ac:dyDescent="0.25">
      <c r="A85" s="272"/>
      <c r="B85" s="276" t="s">
        <v>450</v>
      </c>
      <c r="C85" s="272"/>
      <c r="D85" s="272"/>
      <c r="E85" s="272"/>
      <c r="F85" s="272"/>
      <c r="G85" s="272"/>
      <c r="H85" s="272"/>
      <c r="I85" s="272"/>
      <c r="J85" s="272"/>
      <c r="K85" s="272"/>
    </row>
    <row r="86" spans="1:11" ht="15.75" x14ac:dyDescent="0.25">
      <c r="A86" s="272"/>
      <c r="B86" s="272" t="s">
        <v>451</v>
      </c>
      <c r="C86" s="272"/>
      <c r="D86" s="272"/>
      <c r="E86" s="286"/>
      <c r="F86" s="286"/>
      <c r="G86" s="286"/>
      <c r="H86" s="286"/>
      <c r="I86" s="286"/>
      <c r="J86" s="272"/>
      <c r="K86" s="272" t="s">
        <v>452</v>
      </c>
    </row>
    <row r="87" spans="1:11" ht="15.75" x14ac:dyDescent="0.25">
      <c r="A87" s="272"/>
      <c r="B87" s="272" t="s">
        <v>453</v>
      </c>
      <c r="C87" s="272"/>
      <c r="D87" s="272"/>
      <c r="E87" s="286"/>
      <c r="F87" s="286"/>
      <c r="G87" s="286"/>
      <c r="H87" s="286"/>
      <c r="I87" s="286"/>
      <c r="J87" s="272"/>
      <c r="K87" s="272" t="s">
        <v>454</v>
      </c>
    </row>
    <row r="88" spans="1:11" ht="15.75" x14ac:dyDescent="0.25">
      <c r="A88" s="272"/>
      <c r="B88" s="272" t="s">
        <v>455</v>
      </c>
      <c r="C88" s="272"/>
      <c r="D88" s="272"/>
      <c r="E88" s="286"/>
      <c r="F88" s="286"/>
      <c r="G88" s="286"/>
      <c r="H88" s="286"/>
      <c r="I88" s="286"/>
      <c r="J88" s="272"/>
      <c r="K88" s="272" t="s">
        <v>456</v>
      </c>
    </row>
    <row r="89" spans="1:11" ht="15.75" x14ac:dyDescent="0.25">
      <c r="A89" s="272"/>
      <c r="B89" s="272" t="s">
        <v>457</v>
      </c>
      <c r="C89" s="272"/>
      <c r="D89" s="272"/>
      <c r="E89" s="286"/>
      <c r="F89" s="286"/>
      <c r="G89" s="286"/>
      <c r="H89" s="286"/>
      <c r="I89" s="286"/>
      <c r="J89" s="272"/>
      <c r="K89" s="272" t="s">
        <v>458</v>
      </c>
    </row>
    <row r="90" spans="1:11" ht="15.75" x14ac:dyDescent="0.25">
      <c r="A90" s="272"/>
      <c r="B90" s="272" t="s">
        <v>459</v>
      </c>
      <c r="C90" s="272"/>
      <c r="D90" s="272"/>
      <c r="E90" s="286"/>
      <c r="F90" s="286"/>
      <c r="G90" s="286"/>
      <c r="H90" s="286"/>
      <c r="I90" s="286"/>
      <c r="J90" s="272"/>
      <c r="K90" s="272" t="s">
        <v>460</v>
      </c>
    </row>
    <row r="91" spans="1:11" ht="15.75" x14ac:dyDescent="0.25">
      <c r="A91" s="272"/>
      <c r="B91" s="272" t="s">
        <v>461</v>
      </c>
      <c r="C91" s="272"/>
      <c r="D91" s="272"/>
      <c r="E91" s="286"/>
      <c r="F91" s="286"/>
      <c r="G91" s="286"/>
      <c r="H91" s="286"/>
      <c r="I91" s="286"/>
      <c r="J91" s="272"/>
      <c r="K91" s="272" t="s">
        <v>462</v>
      </c>
    </row>
    <row r="92" spans="1:11" ht="15.75" x14ac:dyDescent="0.25">
      <c r="A92" s="272"/>
      <c r="B92" s="272" t="s">
        <v>463</v>
      </c>
      <c r="C92" s="272"/>
      <c r="D92" s="272"/>
      <c r="E92" s="286"/>
      <c r="F92" s="286"/>
      <c r="G92" s="286"/>
      <c r="H92" s="286"/>
      <c r="I92" s="286"/>
      <c r="J92" s="272"/>
      <c r="K92" s="272" t="s">
        <v>464</v>
      </c>
    </row>
    <row r="93" spans="1:11" ht="15.75" x14ac:dyDescent="0.25">
      <c r="A93" s="272"/>
      <c r="B93" s="272" t="s">
        <v>465</v>
      </c>
      <c r="C93" s="272"/>
      <c r="D93" s="272"/>
      <c r="E93" s="288"/>
      <c r="F93" s="288"/>
      <c r="G93" s="288"/>
      <c r="H93" s="288"/>
      <c r="I93" s="288"/>
      <c r="J93" s="272"/>
      <c r="K93" s="272" t="s">
        <v>466</v>
      </c>
    </row>
    <row r="94" spans="1:11" ht="15.75" x14ac:dyDescent="0.25">
      <c r="A94" s="272"/>
      <c r="B94" s="272" t="s">
        <v>467</v>
      </c>
      <c r="C94" s="272"/>
      <c r="D94" s="272"/>
      <c r="E94" s="288"/>
      <c r="F94" s="288"/>
      <c r="G94" s="288"/>
      <c r="H94" s="288"/>
      <c r="I94" s="288"/>
      <c r="J94" s="272"/>
      <c r="K94" s="272" t="s">
        <v>468</v>
      </c>
    </row>
    <row r="95" spans="1:11" ht="15.75" x14ac:dyDescent="0.25">
      <c r="A95" s="272"/>
      <c r="B95" s="272" t="s">
        <v>469</v>
      </c>
      <c r="C95" s="272"/>
      <c r="D95" s="272"/>
      <c r="E95" s="288"/>
      <c r="F95" s="288"/>
      <c r="G95" s="288"/>
      <c r="H95" s="288"/>
      <c r="I95" s="288"/>
      <c r="J95" s="272"/>
      <c r="K95" s="272" t="s">
        <v>470</v>
      </c>
    </row>
    <row r="96" spans="1:11" ht="15.75" x14ac:dyDescent="0.25">
      <c r="A96" s="272"/>
      <c r="B96" s="272" t="s">
        <v>471</v>
      </c>
      <c r="C96" s="272"/>
      <c r="D96" s="272"/>
      <c r="E96" s="288"/>
      <c r="F96" s="288"/>
      <c r="G96" s="288"/>
      <c r="H96" s="288"/>
      <c r="I96" s="288"/>
      <c r="J96" s="272"/>
      <c r="K96" s="272" t="s">
        <v>472</v>
      </c>
    </row>
    <row r="97" spans="1:11" ht="15.75" x14ac:dyDescent="0.25">
      <c r="A97" s="272"/>
      <c r="B97" s="272"/>
      <c r="C97" s="272"/>
      <c r="D97" s="272"/>
      <c r="E97" s="289"/>
      <c r="F97" s="272"/>
      <c r="G97" s="272"/>
      <c r="H97" s="272"/>
      <c r="I97" s="272"/>
      <c r="J97" s="272"/>
      <c r="K97" s="272"/>
    </row>
    <row r="98" spans="1:11" ht="15.75" x14ac:dyDescent="0.25">
      <c r="A98" s="272"/>
      <c r="B98" s="276" t="s">
        <v>473</v>
      </c>
      <c r="C98" s="272"/>
      <c r="D98" s="272"/>
      <c r="E98" s="289"/>
      <c r="F98" s="272"/>
      <c r="G98" s="272"/>
      <c r="H98" s="272"/>
      <c r="I98" s="272"/>
      <c r="J98" s="272"/>
      <c r="K98" s="272"/>
    </row>
    <row r="99" spans="1:11" ht="15.75" x14ac:dyDescent="0.25">
      <c r="A99" s="272"/>
      <c r="B99" s="272" t="s">
        <v>474</v>
      </c>
      <c r="C99" s="272"/>
      <c r="D99" s="272"/>
      <c r="E99" s="290"/>
      <c r="F99" s="290"/>
      <c r="G99" s="290"/>
      <c r="H99" s="290"/>
      <c r="I99" s="290"/>
      <c r="J99" s="272"/>
      <c r="K99" s="272" t="s">
        <v>475</v>
      </c>
    </row>
    <row r="100" spans="1:11" ht="15.75" x14ac:dyDescent="0.25">
      <c r="A100" s="272"/>
      <c r="B100" s="272" t="s">
        <v>476</v>
      </c>
      <c r="C100" s="272"/>
      <c r="D100" s="272"/>
      <c r="E100" s="290"/>
      <c r="F100" s="290"/>
      <c r="G100" s="290"/>
      <c r="H100" s="290"/>
      <c r="I100" s="290"/>
      <c r="J100" s="272"/>
      <c r="K100" s="272" t="s">
        <v>477</v>
      </c>
    </row>
    <row r="101" spans="1:11" ht="15.75" x14ac:dyDescent="0.25">
      <c r="A101" s="272"/>
      <c r="B101" s="272" t="s">
        <v>478</v>
      </c>
      <c r="C101" s="272"/>
      <c r="D101" s="272"/>
      <c r="E101" s="291"/>
      <c r="F101" s="291"/>
      <c r="G101" s="291"/>
      <c r="H101" s="291"/>
      <c r="I101" s="291"/>
      <c r="J101" s="272"/>
      <c r="K101" s="272" t="s">
        <v>479</v>
      </c>
    </row>
    <row r="102" spans="1:11" ht="15.75" x14ac:dyDescent="0.25">
      <c r="A102" s="272"/>
      <c r="B102" s="272" t="s">
        <v>480</v>
      </c>
      <c r="C102" s="272"/>
      <c r="D102" s="272"/>
      <c r="E102" s="291"/>
      <c r="F102" s="291"/>
      <c r="G102" s="291"/>
      <c r="H102" s="291"/>
      <c r="I102" s="291"/>
      <c r="J102" s="272"/>
      <c r="K102" s="272" t="s">
        <v>481</v>
      </c>
    </row>
    <row r="103" spans="1:11" ht="15.75" x14ac:dyDescent="0.25">
      <c r="A103" s="272"/>
      <c r="B103" s="272"/>
      <c r="C103" s="272"/>
      <c r="D103" s="272"/>
      <c r="E103" s="272"/>
      <c r="F103" s="272"/>
      <c r="G103" s="272"/>
      <c r="H103" s="272"/>
      <c r="I103" s="272"/>
      <c r="J103" s="272"/>
      <c r="K103" s="272"/>
    </row>
    <row r="104" spans="1:11" ht="15.75" x14ac:dyDescent="0.25">
      <c r="A104" s="272"/>
      <c r="B104" s="276" t="s">
        <v>482</v>
      </c>
      <c r="C104" s="272"/>
      <c r="D104" s="272"/>
      <c r="E104" s="272"/>
      <c r="F104" s="272"/>
      <c r="G104" s="272"/>
      <c r="H104" s="272"/>
      <c r="I104" s="272"/>
      <c r="J104" s="272"/>
      <c r="K104" s="272"/>
    </row>
    <row r="105" spans="1:11" ht="15.75" x14ac:dyDescent="0.25">
      <c r="A105" s="272"/>
      <c r="B105" s="272" t="s">
        <v>483</v>
      </c>
      <c r="C105" s="272"/>
      <c r="D105" s="272"/>
      <c r="E105" s="283"/>
      <c r="F105" s="283"/>
      <c r="G105" s="283"/>
      <c r="H105" s="283"/>
      <c r="I105" s="283"/>
      <c r="J105" s="272"/>
      <c r="K105" s="272" t="s">
        <v>484</v>
      </c>
    </row>
    <row r="106" spans="1:11" ht="15.75" x14ac:dyDescent="0.25">
      <c r="A106" s="272"/>
      <c r="B106" s="272" t="s">
        <v>485</v>
      </c>
      <c r="C106" s="272"/>
      <c r="D106" s="272"/>
      <c r="E106" s="283"/>
      <c r="F106" s="283"/>
      <c r="G106" s="283"/>
      <c r="H106" s="283"/>
      <c r="I106" s="283"/>
      <c r="J106" s="272"/>
      <c r="K106" s="272" t="s">
        <v>486</v>
      </c>
    </row>
    <row r="107" spans="1:11" ht="15.75" x14ac:dyDescent="0.25">
      <c r="A107" s="272"/>
      <c r="B107" s="272" t="s">
        <v>487</v>
      </c>
      <c r="C107" s="272"/>
      <c r="D107" s="272"/>
      <c r="E107" s="292"/>
      <c r="F107" s="292"/>
      <c r="G107" s="292"/>
      <c r="H107" s="292"/>
      <c r="I107" s="292"/>
      <c r="J107" s="272"/>
      <c r="K107" s="272" t="s">
        <v>488</v>
      </c>
    </row>
    <row r="108" spans="1:11" ht="15.75" x14ac:dyDescent="0.25">
      <c r="A108" s="272"/>
      <c r="B108" s="272" t="s">
        <v>489</v>
      </c>
      <c r="C108" s="272"/>
      <c r="D108" s="272"/>
      <c r="E108" s="293"/>
      <c r="F108" s="293"/>
      <c r="G108" s="293"/>
      <c r="H108" s="293"/>
      <c r="I108" s="293"/>
      <c r="J108" s="272"/>
      <c r="K108" s="272" t="s">
        <v>490</v>
      </c>
    </row>
    <row r="109" spans="1:11" ht="15.75" x14ac:dyDescent="0.25">
      <c r="A109" s="272"/>
      <c r="B109" s="294"/>
      <c r="C109" s="294"/>
      <c r="D109" s="294"/>
      <c r="E109" s="294"/>
      <c r="F109" s="294"/>
      <c r="G109" s="294"/>
      <c r="H109" s="294"/>
      <c r="I109" s="294"/>
      <c r="J109" s="272"/>
      <c r="K109" s="272"/>
    </row>
    <row r="110" spans="1:11" ht="15.75" x14ac:dyDescent="0.25">
      <c r="A110" s="272"/>
      <c r="H110" s="272"/>
      <c r="I110" s="272"/>
      <c r="J110" s="272"/>
      <c r="K110" s="272"/>
    </row>
    <row r="111" spans="1:11" ht="15.75" x14ac:dyDescent="0.25">
      <c r="A111" s="272"/>
      <c r="H111" s="272"/>
      <c r="I111" s="272"/>
      <c r="J111" s="272"/>
      <c r="K111" s="272"/>
    </row>
    <row r="112" spans="1:11" ht="15.75" x14ac:dyDescent="0.25">
      <c r="A112" s="272"/>
      <c r="H112" s="272"/>
      <c r="I112" s="272"/>
      <c r="J112" s="272"/>
      <c r="K112" s="272"/>
    </row>
    <row r="113" spans="1:11" ht="15.75" x14ac:dyDescent="0.25">
      <c r="A113" s="272"/>
      <c r="H113" s="272"/>
      <c r="I113" s="272"/>
      <c r="J113" s="272"/>
      <c r="K113" s="272"/>
    </row>
    <row r="114" spans="1:11" ht="15.75" x14ac:dyDescent="0.25">
      <c r="A114" s="272"/>
      <c r="H114" s="272"/>
      <c r="I114" s="272"/>
      <c r="J114" s="272"/>
      <c r="K114" s="272"/>
    </row>
    <row r="115" spans="1:11" ht="15.75" x14ac:dyDescent="0.25">
      <c r="A115" s="272"/>
      <c r="H115" s="272"/>
      <c r="I115" s="272"/>
      <c r="J115" s="272"/>
      <c r="K115" s="272"/>
    </row>
    <row r="116" spans="1:11" ht="15.75" x14ac:dyDescent="0.25">
      <c r="A116" s="272"/>
      <c r="H116" s="272"/>
      <c r="I116" s="272"/>
      <c r="J116" s="272"/>
      <c r="K116" s="272"/>
    </row>
    <row r="117" spans="1:11" ht="15.75" x14ac:dyDescent="0.25">
      <c r="A117" s="272"/>
      <c r="H117" s="272"/>
      <c r="I117" s="272"/>
      <c r="J117" s="272"/>
      <c r="K117" s="272"/>
    </row>
    <row r="118" spans="1:11" ht="15.75" x14ac:dyDescent="0.25">
      <c r="A118" s="272"/>
      <c r="J118" s="272"/>
      <c r="K118" s="272"/>
    </row>
    <row r="119" spans="1:11" ht="15.75" x14ac:dyDescent="0.25">
      <c r="A119" s="272"/>
      <c r="J119" s="272"/>
      <c r="K119" s="272"/>
    </row>
    <row r="120" spans="1:11" ht="15.75" x14ac:dyDescent="0.25">
      <c r="A120" s="272"/>
      <c r="J120" s="272"/>
      <c r="K120" s="272"/>
    </row>
    <row r="121" spans="1:11" ht="15.75" x14ac:dyDescent="0.25">
      <c r="A121" s="272"/>
      <c r="J121" s="272"/>
      <c r="K121" s="272"/>
    </row>
    <row r="122" spans="1:11" ht="15.75" x14ac:dyDescent="0.25">
      <c r="A122" s="272"/>
      <c r="J122" s="272"/>
      <c r="K122" s="272"/>
    </row>
    <row r="123" spans="1:11" ht="15.75" x14ac:dyDescent="0.25">
      <c r="A123" s="272"/>
      <c r="J123" s="272"/>
      <c r="K123" s="272"/>
    </row>
    <row r="124" spans="1:11" ht="15.75" x14ac:dyDescent="0.25">
      <c r="A124" s="272"/>
      <c r="J124" s="272"/>
      <c r="K124" s="272"/>
    </row>
    <row r="125" spans="1:11" ht="15.75" x14ac:dyDescent="0.25">
      <c r="A125" s="272"/>
      <c r="J125" s="272"/>
      <c r="K125" s="272"/>
    </row>
    <row r="126" spans="1:11" ht="15.75" x14ac:dyDescent="0.25">
      <c r="A126" s="272"/>
      <c r="J126" s="272"/>
      <c r="K126" s="272"/>
    </row>
    <row r="127" spans="1:11" ht="15.75" x14ac:dyDescent="0.25">
      <c r="A127" s="272"/>
      <c r="J127" s="272"/>
      <c r="K127" s="272"/>
    </row>
    <row r="128" spans="1:11" ht="15.75" x14ac:dyDescent="0.25">
      <c r="A128" s="272"/>
      <c r="J128" s="295"/>
      <c r="K128" s="272"/>
    </row>
    <row r="129" spans="1:11" ht="15.75" x14ac:dyDescent="0.25">
      <c r="A129" s="272"/>
      <c r="J129" s="295"/>
      <c r="K129" s="272"/>
    </row>
    <row r="130" spans="1:11" ht="15.75" x14ac:dyDescent="0.25">
      <c r="A130" s="272"/>
      <c r="J130" s="272"/>
      <c r="K130" s="272"/>
    </row>
    <row r="131" spans="1:11" ht="15.75" x14ac:dyDescent="0.25">
      <c r="A131" s="272"/>
      <c r="J131" s="272"/>
      <c r="K131" s="272"/>
    </row>
    <row r="132" spans="1:11" ht="15.75" x14ac:dyDescent="0.25">
      <c r="A132" s="272"/>
      <c r="J132" s="272"/>
      <c r="K132" s="272"/>
    </row>
    <row r="133" spans="1:11" ht="15.75" x14ac:dyDescent="0.25">
      <c r="A133" s="272"/>
      <c r="J133" s="272"/>
      <c r="K133" s="272"/>
    </row>
    <row r="134" spans="1:11" ht="15.75" x14ac:dyDescent="0.25">
      <c r="A134" s="272"/>
      <c r="J134" s="272"/>
      <c r="K134" s="272"/>
    </row>
    <row r="135" spans="1:11" ht="15.75" x14ac:dyDescent="0.25">
      <c r="A135" s="272"/>
      <c r="J135" s="272"/>
      <c r="K135" s="272"/>
    </row>
    <row r="136" spans="1:11" ht="15.75" x14ac:dyDescent="0.25">
      <c r="A136" s="272"/>
      <c r="J136" s="272"/>
      <c r="K136" s="272"/>
    </row>
    <row r="137" spans="1:11" ht="15.75" x14ac:dyDescent="0.25">
      <c r="A137" s="272"/>
      <c r="J137" s="272"/>
      <c r="K137" s="272"/>
    </row>
    <row r="138" spans="1:11" ht="15.75" x14ac:dyDescent="0.25">
      <c r="A138" s="272"/>
      <c r="J138" s="272"/>
      <c r="K138" s="272"/>
    </row>
    <row r="139" spans="1:11" ht="15.75" x14ac:dyDescent="0.25">
      <c r="A139" s="272"/>
      <c r="J139" s="272"/>
      <c r="K139" s="272"/>
    </row>
    <row r="140" spans="1:11" ht="15.75" x14ac:dyDescent="0.25">
      <c r="A140" s="272"/>
      <c r="J140" s="272"/>
      <c r="K140" s="272"/>
    </row>
    <row r="141" spans="1:11" ht="15.75" x14ac:dyDescent="0.25">
      <c r="A141" s="272"/>
      <c r="J141" s="272"/>
      <c r="K141" s="272"/>
    </row>
    <row r="142" spans="1:11" ht="15.75" x14ac:dyDescent="0.25">
      <c r="A142" s="272"/>
      <c r="J142" s="272"/>
      <c r="K142" s="272"/>
    </row>
    <row r="143" spans="1:11" ht="15.75" x14ac:dyDescent="0.25">
      <c r="A143" s="272"/>
      <c r="J143" s="272"/>
      <c r="K143" s="272"/>
    </row>
    <row r="144" spans="1:11" ht="15.75" x14ac:dyDescent="0.25">
      <c r="A144" s="272"/>
      <c r="J144" s="272"/>
      <c r="K144" s="272"/>
    </row>
    <row r="145" spans="1:11" ht="15.75" x14ac:dyDescent="0.25">
      <c r="A145" s="272"/>
      <c r="J145" s="272"/>
      <c r="K145" s="272"/>
    </row>
    <row r="146" spans="1:11" ht="15.75" x14ac:dyDescent="0.25">
      <c r="A146" s="272"/>
      <c r="J146" s="272"/>
      <c r="K146" s="272"/>
    </row>
    <row r="147" spans="1:11" ht="15.75" x14ac:dyDescent="0.25">
      <c r="A147" s="272"/>
      <c r="J147" s="272"/>
      <c r="K147" s="272"/>
    </row>
    <row r="148" spans="1:11" ht="15.75" x14ac:dyDescent="0.25">
      <c r="A148" s="272"/>
      <c r="J148" s="272"/>
      <c r="K148" s="272"/>
    </row>
    <row r="149" spans="1:11" ht="15.75" x14ac:dyDescent="0.25">
      <c r="A149" s="272"/>
      <c r="J149" s="272"/>
      <c r="K149" s="272"/>
    </row>
    <row r="150" spans="1:11" ht="15.75" x14ac:dyDescent="0.25">
      <c r="A150" s="272"/>
      <c r="J150" s="272"/>
      <c r="K150" s="272"/>
    </row>
    <row r="151" spans="1:11" ht="15.75" x14ac:dyDescent="0.25">
      <c r="A151" s="272"/>
      <c r="J151" s="272"/>
      <c r="K151" s="272"/>
    </row>
    <row r="152" spans="1:11" ht="15.75" x14ac:dyDescent="0.25">
      <c r="A152" s="272"/>
      <c r="J152" s="272"/>
      <c r="K152" s="272"/>
    </row>
    <row r="153" spans="1:11" ht="15.75" x14ac:dyDescent="0.25">
      <c r="A153" s="272"/>
      <c r="J153" s="272"/>
      <c r="K153" s="272"/>
    </row>
    <row r="154" spans="1:11" ht="15.75" x14ac:dyDescent="0.25">
      <c r="A154" s="272"/>
      <c r="J154" s="272"/>
      <c r="K154" s="272"/>
    </row>
    <row r="155" spans="1:11" ht="15.75" x14ac:dyDescent="0.25">
      <c r="A155" s="272"/>
      <c r="J155" s="272"/>
      <c r="K155" s="272"/>
    </row>
    <row r="156" spans="1:11" ht="15.75" x14ac:dyDescent="0.25">
      <c r="A156" s="272"/>
      <c r="J156" s="272"/>
      <c r="K156" s="272"/>
    </row>
    <row r="157" spans="1:11" ht="15.75" x14ac:dyDescent="0.25">
      <c r="A157" s="272"/>
      <c r="J157" s="272"/>
      <c r="K157" s="272"/>
    </row>
    <row r="158" spans="1:11" ht="15.75" x14ac:dyDescent="0.25">
      <c r="A158" s="272"/>
      <c r="B158" s="272"/>
      <c r="C158" s="272"/>
      <c r="D158" s="272"/>
      <c r="E158" s="272"/>
      <c r="F158" s="272"/>
      <c r="G158" s="272"/>
      <c r="H158" s="272"/>
      <c r="I158" s="272"/>
      <c r="J158" s="272"/>
      <c r="K158" s="272"/>
    </row>
  </sheetData>
  <mergeCells count="5">
    <mergeCell ref="B4:I4"/>
    <mergeCell ref="B1:N2"/>
    <mergeCell ref="B10:N10"/>
    <mergeCell ref="B24:N24"/>
    <mergeCell ref="B29:N29"/>
  </mergeCells>
  <conditionalFormatting sqref="F13:H13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I13:N13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F13:N13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F17:N17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F21:N21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F22:N22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F27:N2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F33:N33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F37:N37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F39:N39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8:N8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5"/>
  <sheetViews>
    <sheetView workbookViewId="0">
      <selection activeCell="L19" sqref="L19"/>
    </sheetView>
  </sheetViews>
  <sheetFormatPr defaultRowHeight="15" x14ac:dyDescent="0.25"/>
  <sheetData>
    <row r="2" spans="1:3" x14ac:dyDescent="0.25">
      <c r="A2" t="s">
        <v>535</v>
      </c>
      <c r="B2" t="s">
        <v>536</v>
      </c>
      <c r="C2" t="s">
        <v>537</v>
      </c>
    </row>
    <row r="3" spans="1:3" x14ac:dyDescent="0.25">
      <c r="B3">
        <v>2022</v>
      </c>
      <c r="C3">
        <f>'NIKE-IS'!E9</f>
        <v>46710</v>
      </c>
    </row>
    <row r="4" spans="1:3" x14ac:dyDescent="0.25">
      <c r="B4">
        <v>2023</v>
      </c>
      <c r="C4">
        <f>'NIKE-IS'!F9</f>
        <v>51217</v>
      </c>
    </row>
    <row r="5" spans="1:3" x14ac:dyDescent="0.25">
      <c r="B5">
        <v>2024</v>
      </c>
      <c r="C5">
        <f>'NIKE-IS'!G9</f>
        <v>51362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Revenue Segments</vt:lpstr>
      <vt:lpstr>NIKE-IS</vt:lpstr>
      <vt:lpstr>Debt Schedule</vt:lpstr>
      <vt:lpstr>Fixed Assets Schedule</vt:lpstr>
      <vt:lpstr>NIKE - BS</vt:lpstr>
      <vt:lpstr>NIKE-CFS</vt:lpstr>
      <vt:lpstr>REGRESSION BETA</vt:lpstr>
      <vt:lpstr>WACC</vt:lpstr>
      <vt:lpstr>DCF</vt:lpstr>
      <vt:lpstr>UL&amp;LB</vt:lpstr>
      <vt:lpstr>DUPONT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Pankajj Goel</dc:creator>
  <cp:lastModifiedBy>Naela Rushdi</cp:lastModifiedBy>
  <dcterms:created xsi:type="dcterms:W3CDTF">2023-08-10T06:50:49Z</dcterms:created>
  <dcterms:modified xsi:type="dcterms:W3CDTF">2025-04-08T18:24:26Z</dcterms:modified>
</cp:coreProperties>
</file>