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lllo\Downloads\"/>
    </mc:Choice>
  </mc:AlternateContent>
  <bookViews>
    <workbookView xWindow="0" yWindow="0" windowWidth="20490" windowHeight="7650" tabRatio="683"/>
  </bookViews>
  <sheets>
    <sheet name="Valuation " sheetId="1" r:id="rId1"/>
    <sheet name="Output" sheetId="2" r:id="rId2"/>
    <sheet name="Input" sheetId="3" r:id="rId3"/>
    <sheet name="Crocs" sheetId="20" r:id="rId4"/>
    <sheet name="DECK" sheetId="21" r:id="rId5"/>
    <sheet name="Lulu" sheetId="16" r:id="rId6"/>
    <sheet name="SKX" sheetId="17" r:id="rId7"/>
    <sheet name="Input sheet(FF)" sheetId="18" r:id="rId8"/>
    <sheet name="Outputsheet(FF)" sheetId="19" r:id="rId9"/>
  </sheets>
  <externalReferences>
    <externalReference r:id="rId10"/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9" l="1"/>
  <c r="E9" i="19"/>
  <c r="E10" i="19"/>
  <c r="E11" i="19"/>
  <c r="F11" i="19"/>
  <c r="D11" i="19"/>
  <c r="C8" i="19"/>
  <c r="B40" i="17"/>
  <c r="B40" i="20"/>
  <c r="B35" i="1"/>
  <c r="B34" i="1"/>
  <c r="C45" i="1" l="1"/>
  <c r="C44" i="1"/>
  <c r="H2" i="1" l="1"/>
  <c r="J76" i="21" l="1"/>
  <c r="I76" i="21"/>
  <c r="J73" i="21"/>
  <c r="I73" i="21"/>
  <c r="J67" i="21"/>
  <c r="I67" i="21"/>
  <c r="I72" i="21" s="1"/>
  <c r="J64" i="21"/>
  <c r="I64" i="21"/>
  <c r="J63" i="21"/>
  <c r="J65" i="21" s="1"/>
  <c r="I63" i="21"/>
  <c r="I65" i="21" s="1"/>
  <c r="J61" i="21"/>
  <c r="I61" i="21"/>
  <c r="J59" i="21"/>
  <c r="I59" i="21"/>
  <c r="J72" i="21"/>
  <c r="H76" i="21"/>
  <c r="H73" i="21"/>
  <c r="H67" i="21"/>
  <c r="H72" i="21" s="1"/>
  <c r="H74" i="21" s="1"/>
  <c r="H64" i="21"/>
  <c r="H65" i="21" s="1"/>
  <c r="K65" i="21" s="1"/>
  <c r="H63" i="21"/>
  <c r="H61" i="21"/>
  <c r="H59" i="21"/>
  <c r="P59" i="21" s="1"/>
  <c r="J76" i="16"/>
  <c r="I76" i="16"/>
  <c r="J73" i="16"/>
  <c r="I73" i="16"/>
  <c r="J67" i="16"/>
  <c r="I67" i="16"/>
  <c r="I72" i="16" s="1"/>
  <c r="I74" i="16" s="1"/>
  <c r="J72" i="16"/>
  <c r="J65" i="16"/>
  <c r="J64" i="16"/>
  <c r="I64" i="16"/>
  <c r="J62" i="16"/>
  <c r="J68" i="16" s="1"/>
  <c r="H62" i="16"/>
  <c r="H68" i="16" s="1"/>
  <c r="J63" i="16"/>
  <c r="I63" i="16"/>
  <c r="I65" i="16" s="1"/>
  <c r="J61" i="16"/>
  <c r="I61" i="16"/>
  <c r="I62" i="16" s="1"/>
  <c r="I68" i="16" s="1"/>
  <c r="J59" i="16"/>
  <c r="I59" i="16"/>
  <c r="K77" i="17"/>
  <c r="H76" i="17"/>
  <c r="K76" i="17" s="1"/>
  <c r="H73" i="17"/>
  <c r="H67" i="17"/>
  <c r="H72" i="17" s="1"/>
  <c r="H63" i="17"/>
  <c r="K63" i="17" s="1"/>
  <c r="H64" i="17"/>
  <c r="H61" i="17"/>
  <c r="H59" i="17"/>
  <c r="K59" i="17" s="1"/>
  <c r="H76" i="20"/>
  <c r="H72" i="20"/>
  <c r="H74" i="20" s="1"/>
  <c r="H67" i="20"/>
  <c r="H61" i="20"/>
  <c r="K61" i="20" s="1"/>
  <c r="H63" i="20"/>
  <c r="H65" i="20" s="1"/>
  <c r="K65" i="20" s="1"/>
  <c r="H64" i="20"/>
  <c r="K67" i="20"/>
  <c r="K72" i="17" l="1"/>
  <c r="H74" i="17"/>
  <c r="K74" i="17" s="1"/>
  <c r="H65" i="17"/>
  <c r="K65" i="17" s="1"/>
  <c r="H77" i="20"/>
  <c r="K77" i="20" s="1"/>
  <c r="K59" i="21"/>
  <c r="J74" i="21"/>
  <c r="I74" i="21"/>
  <c r="K74" i="21" s="1"/>
  <c r="K63" i="21"/>
  <c r="I77" i="16"/>
  <c r="J74" i="16"/>
  <c r="J77" i="16" s="1"/>
  <c r="B41" i="21"/>
  <c r="C16" i="21"/>
  <c r="C16" i="16"/>
  <c r="C16" i="17"/>
  <c r="B40" i="21"/>
  <c r="K74" i="20" l="1"/>
  <c r="H59" i="20"/>
  <c r="K59" i="20" s="1"/>
  <c r="D40" i="21"/>
  <c r="E40" i="21" s="1"/>
  <c r="D41" i="21"/>
  <c r="E41" i="21" s="1"/>
  <c r="P63" i="20" l="1"/>
  <c r="K63" i="20"/>
  <c r="F41" i="21"/>
  <c r="G41" i="21" s="1"/>
  <c r="H41" i="21" s="1"/>
  <c r="F40" i="21"/>
  <c r="G40" i="21" s="1"/>
  <c r="H40" i="21" s="1"/>
  <c r="D40" i="20" l="1"/>
  <c r="E40" i="20" s="1"/>
  <c r="D41" i="20"/>
  <c r="E41" i="20" s="1"/>
  <c r="F41" i="20" l="1"/>
  <c r="G41" i="20" s="1"/>
  <c r="H41" i="20" s="1"/>
  <c r="F40" i="20"/>
  <c r="G40" i="20" s="1"/>
  <c r="H40" i="20" s="1"/>
  <c r="P59" i="17" l="1"/>
  <c r="J62" i="20" l="1"/>
  <c r="I62" i="20"/>
  <c r="H62" i="20"/>
  <c r="F10" i="19" l="1"/>
  <c r="D10" i="19"/>
  <c r="C10" i="19"/>
  <c r="F9" i="19"/>
  <c r="D9" i="19"/>
  <c r="C9" i="19"/>
  <c r="F4" i="19"/>
  <c r="D4" i="19"/>
  <c r="F3" i="19"/>
  <c r="D3" i="19"/>
  <c r="C3" i="19"/>
  <c r="P77" i="17"/>
  <c r="P74" i="17"/>
  <c r="P65" i="17"/>
  <c r="P63" i="17"/>
  <c r="M58" i="17"/>
  <c r="N58" i="17" s="1"/>
  <c r="D41" i="17"/>
  <c r="E41" i="17" s="1"/>
  <c r="D40" i="17"/>
  <c r="E40" i="17" s="1"/>
  <c r="F40" i="17" s="1"/>
  <c r="G40" i="17" s="1"/>
  <c r="F23" i="17"/>
  <c r="F20" i="17"/>
  <c r="A2" i="17"/>
  <c r="H74" i="16"/>
  <c r="K74" i="16" s="1"/>
  <c r="H72" i="16"/>
  <c r="K67" i="16"/>
  <c r="K65" i="16"/>
  <c r="H65" i="16"/>
  <c r="P65" i="16" s="1"/>
  <c r="H64" i="16"/>
  <c r="P63" i="16"/>
  <c r="K63" i="16"/>
  <c r="K61" i="16"/>
  <c r="P59" i="16"/>
  <c r="K59" i="16"/>
  <c r="M58" i="16"/>
  <c r="N58" i="16" s="1"/>
  <c r="D41" i="16"/>
  <c r="E41" i="16" s="1"/>
  <c r="D40" i="16"/>
  <c r="E40" i="16" s="1"/>
  <c r="F23" i="16"/>
  <c r="F20" i="16"/>
  <c r="A2" i="16"/>
  <c r="J77" i="21"/>
  <c r="I77" i="21"/>
  <c r="K77" i="21" s="1"/>
  <c r="H77" i="21"/>
  <c r="P74" i="21"/>
  <c r="P65" i="21"/>
  <c r="P63" i="21"/>
  <c r="M58" i="21"/>
  <c r="N58" i="21" s="1"/>
  <c r="F23" i="21"/>
  <c r="F20" i="21"/>
  <c r="A2" i="21"/>
  <c r="P74" i="20"/>
  <c r="P65" i="20"/>
  <c r="P59" i="20"/>
  <c r="M58" i="20"/>
  <c r="N58" i="20" s="1"/>
  <c r="F23" i="20"/>
  <c r="F20" i="20"/>
  <c r="A2" i="20"/>
  <c r="A2" i="3"/>
  <c r="B9" i="1"/>
  <c r="B7" i="1"/>
  <c r="B26" i="1"/>
  <c r="D53" i="1"/>
  <c r="E53" i="1" s="1"/>
  <c r="I52" i="1"/>
  <c r="D52" i="1"/>
  <c r="E52" i="1" s="1"/>
  <c r="N27" i="1"/>
  <c r="K27" i="1"/>
  <c r="B27" i="1"/>
  <c r="N26" i="1"/>
  <c r="K26" i="1"/>
  <c r="N25" i="1"/>
  <c r="K25" i="1"/>
  <c r="J25" i="1"/>
  <c r="J26" i="1" s="1"/>
  <c r="J27" i="1" s="1"/>
  <c r="I25" i="1"/>
  <c r="I26" i="1" s="1"/>
  <c r="I27" i="1" s="1"/>
  <c r="H25" i="1"/>
  <c r="H26" i="1" s="1"/>
  <c r="H27" i="1" s="1"/>
  <c r="G25" i="1"/>
  <c r="G26" i="1" s="1"/>
  <c r="G27" i="1" s="1"/>
  <c r="B25" i="1"/>
  <c r="K18" i="1"/>
  <c r="B18" i="1"/>
  <c r="K17" i="1"/>
  <c r="B17" i="1"/>
  <c r="N16" i="1"/>
  <c r="N17" i="1" s="1"/>
  <c r="N18" i="1" s="1"/>
  <c r="K16" i="1"/>
  <c r="J16" i="1"/>
  <c r="J17" i="1" s="1"/>
  <c r="J18" i="1" s="1"/>
  <c r="I16" i="1"/>
  <c r="I17" i="1" s="1"/>
  <c r="I18" i="1" s="1"/>
  <c r="H16" i="1"/>
  <c r="H17" i="1" s="1"/>
  <c r="H18" i="1" s="1"/>
  <c r="G16" i="1"/>
  <c r="G17" i="1" s="1"/>
  <c r="G18" i="1" s="1"/>
  <c r="B16" i="1"/>
  <c r="N9" i="1"/>
  <c r="N8" i="1"/>
  <c r="B8" i="1"/>
  <c r="N7" i="1"/>
  <c r="U17" i="2" a="1"/>
  <c r="B16" i="2" a="1"/>
  <c r="U16" i="2" a="1"/>
  <c r="B15" i="2" a="1"/>
  <c r="B17" i="2" a="1"/>
  <c r="B14" i="2"/>
  <c r="U14" i="2" a="1"/>
  <c r="U15" i="2" a="1"/>
  <c r="P74" i="16" l="1"/>
  <c r="H77" i="16"/>
  <c r="P77" i="16" s="1"/>
  <c r="E3" i="19"/>
  <c r="K77" i="16"/>
  <c r="P77" i="20"/>
  <c r="P77" i="21"/>
  <c r="F52" i="1"/>
  <c r="G52" i="1" s="1"/>
  <c r="H52" i="1" s="1"/>
  <c r="F53" i="1"/>
  <c r="G53" i="1" s="1"/>
  <c r="H53" i="1" s="1"/>
  <c r="F41" i="16"/>
  <c r="G41" i="16" s="1"/>
  <c r="H41" i="16" s="1"/>
  <c r="F40" i="16"/>
  <c r="G40" i="16" s="1"/>
  <c r="H40" i="16" s="1"/>
  <c r="F41" i="17"/>
  <c r="G41" i="17" s="1"/>
  <c r="H41" i="17" s="1"/>
  <c r="H40" i="17"/>
  <c r="U14" i="2"/>
  <c r="B16" i="2"/>
  <c r="U16" i="2"/>
  <c r="B15" i="2"/>
  <c r="U15" i="2"/>
  <c r="B17" i="2"/>
  <c r="U17" i="2"/>
  <c r="H45" i="16" l="1"/>
  <c r="C17" i="16" s="1"/>
  <c r="C18" i="16" s="1"/>
  <c r="F18" i="16" s="1"/>
  <c r="J52" i="1"/>
  <c r="H54" i="1"/>
  <c r="H45" i="17"/>
  <c r="C17" i="17" s="1"/>
  <c r="C18" i="17" s="1"/>
  <c r="F18" i="17" s="1"/>
  <c r="F33" i="17" s="1"/>
  <c r="F30" i="16"/>
  <c r="F32" i="16" s="1"/>
  <c r="F33" i="16"/>
  <c r="H45" i="20"/>
  <c r="C17" i="20" s="1"/>
  <c r="H45" i="21"/>
  <c r="C17" i="21" s="1"/>
  <c r="C18" i="21" s="1"/>
  <c r="F18" i="21" s="1"/>
  <c r="E16" i="2" a="1"/>
  <c r="E17" i="2" a="1"/>
  <c r="F16" i="2" a="1"/>
  <c r="E15" i="2" a="1"/>
  <c r="D16" i="2" a="1"/>
  <c r="D17" i="2" a="1"/>
  <c r="E16" i="2" l="1"/>
  <c r="C18" i="20"/>
  <c r="F18" i="20" s="1"/>
  <c r="E17" i="2"/>
  <c r="F30" i="17"/>
  <c r="F32" i="17" s="1"/>
  <c r="F16" i="2"/>
  <c r="D16" i="2"/>
  <c r="E15" i="2"/>
  <c r="F33" i="21"/>
  <c r="F30" i="21"/>
  <c r="F32" i="21" s="1"/>
  <c r="D17" i="2"/>
  <c r="T16" i="2" a="1"/>
  <c r="F17" i="2" a="1"/>
  <c r="T17" i="2" a="1"/>
  <c r="O16" i="2" a="1"/>
  <c r="F15" i="2" a="1"/>
  <c r="J16" i="2" a="1"/>
  <c r="Q16" i="2" a="1"/>
  <c r="D15" i="2" a="1"/>
  <c r="E14" i="2" a="1"/>
  <c r="T15" i="2" a="1"/>
  <c r="J17" i="2" a="1"/>
  <c r="J16" i="2" l="1"/>
  <c r="O16" i="2"/>
  <c r="T16" i="2"/>
  <c r="E14" i="2"/>
  <c r="F33" i="20"/>
  <c r="F30" i="20"/>
  <c r="F32" i="20" s="1"/>
  <c r="F17" i="2"/>
  <c r="J17" i="2"/>
  <c r="T17" i="2"/>
  <c r="Q16" i="2"/>
  <c r="F15" i="2"/>
  <c r="D15" i="2"/>
  <c r="T15" i="2"/>
  <c r="J15" i="2" a="1"/>
  <c r="N16" i="2" a="1"/>
  <c r="S17" i="2" a="1"/>
  <c r="O14" i="2" a="1"/>
  <c r="G16" i="2" a="1"/>
  <c r="R17" i="2" a="1"/>
  <c r="F14" i="2" a="1"/>
  <c r="G15" i="2" a="1"/>
  <c r="O15" i="2" a="1"/>
  <c r="R15" i="2" a="1"/>
  <c r="S16" i="2" a="1"/>
  <c r="O17" i="2" a="1"/>
  <c r="H16" i="2" a="1"/>
  <c r="I16" i="2" a="1"/>
  <c r="L16" i="2" a="1"/>
  <c r="R16" i="2" a="1"/>
  <c r="J14" i="2" a="1"/>
  <c r="M16" i="2" a="1"/>
  <c r="M17" i="2" a="1"/>
  <c r="T14" i="2" a="1"/>
  <c r="D14" i="2"/>
  <c r="I17" i="2" a="1"/>
  <c r="O17" i="2" l="1"/>
  <c r="J15" i="2"/>
  <c r="H16" i="2"/>
  <c r="I16" i="2"/>
  <c r="R16" i="2"/>
  <c r="S16" i="2"/>
  <c r="M16" i="2"/>
  <c r="L16" i="2"/>
  <c r="G16" i="2"/>
  <c r="N16" i="2"/>
  <c r="F14" i="2"/>
  <c r="O14" i="2"/>
  <c r="J14" i="2"/>
  <c r="J20" i="2" s="1"/>
  <c r="T14" i="2"/>
  <c r="T18" i="2" s="1"/>
  <c r="I17" i="2"/>
  <c r="S17" i="2"/>
  <c r="R17" i="2"/>
  <c r="M17" i="2"/>
  <c r="O15" i="2"/>
  <c r="R15" i="2"/>
  <c r="G15" i="2"/>
  <c r="L17" i="2" a="1"/>
  <c r="N15" i="2" a="1"/>
  <c r="S15" i="2" a="1"/>
  <c r="M15" i="2" a="1"/>
  <c r="L15" i="2" a="1"/>
  <c r="H14" i="2" a="1"/>
  <c r="I14" i="2" a="1"/>
  <c r="N17" i="2" a="1"/>
  <c r="Q14" i="2" a="1"/>
  <c r="Q15" i="2" a="1"/>
  <c r="G17" i="2" a="1"/>
  <c r="Q17" i="2" a="1"/>
  <c r="I15" i="2" a="1"/>
  <c r="H15" i="2" a="1"/>
  <c r="H17" i="2" a="1"/>
  <c r="M14" i="2" a="1"/>
  <c r="O19" i="2" l="1"/>
  <c r="Q17" i="2"/>
  <c r="H17" i="2"/>
  <c r="G17" i="2"/>
  <c r="N17" i="2"/>
  <c r="L17" i="2"/>
  <c r="Q15" i="2"/>
  <c r="H15" i="2"/>
  <c r="I15" i="2"/>
  <c r="S15" i="2"/>
  <c r="N15" i="2"/>
  <c r="L15" i="2"/>
  <c r="M15" i="2"/>
  <c r="T20" i="2"/>
  <c r="J21" i="2"/>
  <c r="J19" i="2"/>
  <c r="I14" i="2"/>
  <c r="M14" i="2"/>
  <c r="H14" i="2"/>
  <c r="J18" i="2"/>
  <c r="T19" i="2"/>
  <c r="T21" i="2"/>
  <c r="O20" i="2"/>
  <c r="O21" i="2"/>
  <c r="O18" i="2"/>
  <c r="Q14" i="2"/>
  <c r="S14" i="2" a="1"/>
  <c r="R14" i="2" a="1"/>
  <c r="G14" i="2"/>
  <c r="N14" i="2" a="1"/>
  <c r="L14" i="2" a="1"/>
  <c r="I18" i="2" l="1"/>
  <c r="H18" i="2"/>
  <c r="Q20" i="2"/>
  <c r="C34" i="1"/>
  <c r="O34" i="1" s="1"/>
  <c r="D34" i="1"/>
  <c r="P34" i="1" s="1"/>
  <c r="D35" i="1"/>
  <c r="P35" i="1" s="1"/>
  <c r="C35" i="1"/>
  <c r="O35" i="1" s="1"/>
  <c r="R14" i="2"/>
  <c r="R21" i="2" s="1"/>
  <c r="S14" i="2"/>
  <c r="S21" i="2" s="1"/>
  <c r="L14" i="2"/>
  <c r="L18" i="2" s="1"/>
  <c r="N14" i="2"/>
  <c r="N19" i="2" s="1"/>
  <c r="G19" i="2"/>
  <c r="G20" i="2"/>
  <c r="G18" i="2"/>
  <c r="G21" i="2"/>
  <c r="M18" i="2"/>
  <c r="S19" i="2"/>
  <c r="I20" i="2"/>
  <c r="H20" i="2"/>
  <c r="H21" i="2"/>
  <c r="I19" i="2"/>
  <c r="I21" i="2"/>
  <c r="H19" i="2"/>
  <c r="M21" i="2"/>
  <c r="M20" i="2"/>
  <c r="M19" i="2"/>
  <c r="Q18" i="2"/>
  <c r="Q19" i="2"/>
  <c r="Q21" i="2"/>
  <c r="O37" i="1" l="1"/>
  <c r="H13" i="18" s="1"/>
  <c r="D8" i="19" s="1"/>
  <c r="P37" i="1"/>
  <c r="I13" i="18" s="1"/>
  <c r="F8" i="19" s="1"/>
  <c r="E8" i="19" s="1"/>
  <c r="D16" i="1"/>
  <c r="F16" i="1" s="1"/>
  <c r="M16" i="1" s="1"/>
  <c r="P16" i="1" s="1"/>
  <c r="C16" i="1"/>
  <c r="E16" i="1" s="1"/>
  <c r="L16" i="1" s="1"/>
  <c r="O16" i="1" s="1"/>
  <c r="C7" i="1"/>
  <c r="E7" i="1" s="1"/>
  <c r="L7" i="1" s="1"/>
  <c r="O7" i="1" s="1"/>
  <c r="D7" i="1"/>
  <c r="F7" i="1" s="1"/>
  <c r="M7" i="1" s="1"/>
  <c r="P7" i="1" s="1"/>
  <c r="C8" i="1"/>
  <c r="E8" i="1" s="1"/>
  <c r="L8" i="1" s="1"/>
  <c r="O8" i="1" s="1"/>
  <c r="D8" i="1"/>
  <c r="F8" i="1" s="1"/>
  <c r="M8" i="1" s="1"/>
  <c r="P8" i="1" s="1"/>
  <c r="C27" i="1"/>
  <c r="E27" i="1" s="1"/>
  <c r="L27" i="1" s="1"/>
  <c r="O27" i="1" s="1"/>
  <c r="D27" i="1"/>
  <c r="F27" i="1" s="1"/>
  <c r="M27" i="1" s="1"/>
  <c r="P27" i="1" s="1"/>
  <c r="D25" i="1"/>
  <c r="F25" i="1" s="1"/>
  <c r="M25" i="1" s="1"/>
  <c r="P25" i="1" s="1"/>
  <c r="C25" i="1"/>
  <c r="E25" i="1" s="1"/>
  <c r="L25" i="1" s="1"/>
  <c r="O25" i="1" s="1"/>
  <c r="R20" i="2"/>
  <c r="R18" i="2"/>
  <c r="R19" i="2"/>
  <c r="N21" i="2"/>
  <c r="N20" i="2"/>
  <c r="N18" i="2"/>
  <c r="S18" i="2"/>
  <c r="L19" i="2"/>
  <c r="L20" i="2"/>
  <c r="L21" i="2"/>
  <c r="S20" i="2"/>
  <c r="C18" i="1" s="1"/>
  <c r="E18" i="1" s="1"/>
  <c r="L18" i="1" s="1"/>
  <c r="O18" i="1" s="1"/>
  <c r="C17" i="1" l="1"/>
  <c r="E17" i="1" s="1"/>
  <c r="L17" i="1" s="1"/>
  <c r="O17" i="1" s="1"/>
  <c r="O20" i="1" s="1"/>
  <c r="H11" i="18" s="1"/>
  <c r="D18" i="1"/>
  <c r="F18" i="1" s="1"/>
  <c r="M18" i="1" s="1"/>
  <c r="P18" i="1" s="1"/>
  <c r="D17" i="1"/>
  <c r="F17" i="1" s="1"/>
  <c r="M17" i="1" s="1"/>
  <c r="P17" i="1" s="1"/>
  <c r="D26" i="1"/>
  <c r="F26" i="1" s="1"/>
  <c r="M26" i="1" s="1"/>
  <c r="P26" i="1" s="1"/>
  <c r="P29" i="1" s="1"/>
  <c r="I12" i="18" s="1"/>
  <c r="F7" i="19" s="1"/>
  <c r="C26" i="1"/>
  <c r="E26" i="1" s="1"/>
  <c r="L26" i="1" s="1"/>
  <c r="O26" i="1" s="1"/>
  <c r="O29" i="1" s="1"/>
  <c r="H12" i="18" s="1"/>
  <c r="D7" i="19" s="1"/>
  <c r="C9" i="1"/>
  <c r="E9" i="1" s="1"/>
  <c r="L9" i="1" s="1"/>
  <c r="O9" i="1" s="1"/>
  <c r="O11" i="1" s="1"/>
  <c r="H10" i="18" s="1"/>
  <c r="D9" i="1"/>
  <c r="F9" i="1" s="1"/>
  <c r="M9" i="1" s="1"/>
  <c r="P9" i="1" s="1"/>
  <c r="P11" i="1" s="1"/>
  <c r="I10" i="18" s="1"/>
  <c r="F5" i="19" s="1"/>
  <c r="E7" i="19" l="1"/>
  <c r="D6" i="19"/>
  <c r="D5" i="19"/>
  <c r="P20" i="1"/>
  <c r="I11" i="18" s="1"/>
  <c r="E5" i="19" l="1"/>
  <c r="D12" i="19"/>
  <c r="F6" i="19"/>
  <c r="E6" i="19" l="1"/>
  <c r="F12" i="19"/>
  <c r="E12" i="19" s="1"/>
</calcChain>
</file>

<file path=xl/comments1.xml><?xml version="1.0" encoding="utf-8"?>
<comments xmlns="http://schemas.openxmlformats.org/spreadsheetml/2006/main">
  <authors>
    <author>Admin</author>
    <author/>
  </authors>
  <commentList>
    <comment ref="G7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H7" authorId="0" shapeId="0">
      <text>
        <r>
          <rPr>
            <b/>
            <sz val="9"/>
            <color indexed="81"/>
            <rFont val="Tahoma"/>
            <family val="2"/>
          </rPr>
          <t>10Q June 2023
Pg 7
35626+4828+1171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</rPr>
          <t>10K Dec. 2022
Pg 89 and plan asset on pg 98</t>
        </r>
      </text>
    </comment>
    <comment ref="J7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K7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10K Dec. 2022
Pg 89 and plan asset on pg 98</t>
        </r>
      </text>
    </comment>
    <comment ref="K8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10K Dec. 2022
Pg 89 and plan asset on pg 98</t>
        </r>
      </text>
    </comment>
    <comment ref="K9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G16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I16" authorId="0" shapeId="0">
      <text>
        <r>
          <rPr>
            <b/>
            <sz val="9"/>
            <color indexed="81"/>
            <rFont val="Tahoma"/>
            <family val="2"/>
          </rPr>
          <t>10K Dec. 2022
Pg 89</t>
        </r>
      </text>
    </comment>
    <comment ref="J16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K16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K17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K18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G25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I25" authorId="0" shapeId="0">
      <text>
        <r>
          <rPr>
            <b/>
            <sz val="9"/>
            <color indexed="81"/>
            <rFont val="Tahoma"/>
            <family val="2"/>
          </rPr>
          <t>10K Dec. 2022
Pg 89</t>
        </r>
      </text>
    </comment>
    <comment ref="J25" authorId="0" shapeId="0">
      <text>
        <r>
          <rPr>
            <b/>
            <sz val="9"/>
            <color indexed="81"/>
            <rFont val="Tahoma"/>
            <family val="2"/>
          </rPr>
          <t>10Q June 2023
Pg 7</t>
        </r>
      </text>
    </comment>
    <comment ref="K25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K26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10Q June 2023
Pg 7
19262+158+1867+1263</t>
        </r>
      </text>
    </comment>
    <comment ref="C48" authorId="1" shapeId="0">
      <text>
        <r>
          <rPr>
            <sz val="11"/>
            <color theme="1"/>
            <rFont val="Calibri"/>
            <family val="2"/>
            <scheme val="minor"/>
          </rPr>
          <t>Closing price of 28/07/23 as per investing.com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10K Dec. 2022
Pg 95</t>
        </r>
      </text>
    </comment>
    <comment ref="B53" authorId="0" shapeId="0">
      <text>
        <r>
          <rPr>
            <b/>
            <sz val="9"/>
            <color indexed="81"/>
            <rFont val="Tahoma"/>
            <family val="2"/>
          </rPr>
          <t>10K Dec. 2022
Pg 97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C15" authorId="0" shapeId="0">
      <text>
        <r>
          <rPr>
            <sz val="11"/>
            <color theme="1"/>
            <rFont val="Calibri"/>
            <family val="2"/>
            <scheme val="minor"/>
          </rPr>
          <t>Closing Price as on 28-07-23 as on investing.com</t>
        </r>
      </text>
    </comment>
    <comment ref="C16" authorId="0" shapeId="0">
      <text>
        <r>
          <rPr>
            <sz val="11"/>
            <color theme="1"/>
            <rFont val="Calibri"/>
            <family val="2"/>
            <scheme val="minor"/>
          </rPr>
          <t>10Q June 2023
Pg 2</t>
        </r>
      </text>
    </comment>
    <comment ref="F19" authorId="0" shapeId="0">
      <text>
        <r>
          <rPr>
            <sz val="11"/>
            <color theme="1"/>
            <rFont val="Calibri"/>
            <family val="2"/>
            <scheme val="minor"/>
          </rPr>
          <t>Page no - 8 
10Q, June ended 2023
Add Non - controlling interest</t>
        </r>
      </text>
    </comment>
    <comment ref="E2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10Q, June ended 2023
Add - Short term debt
Add - Long term debt
</t>
        </r>
      </text>
    </comment>
    <comment ref="F27" authorId="0" shapeId="0">
      <text>
        <r>
          <rPr>
            <sz val="11"/>
            <color theme="1"/>
            <rFont val="Calibri"/>
            <family val="2"/>
            <scheme val="minor"/>
          </rPr>
          <t>10K Dec - 22 , Page 92
Add - Funded status - US - 2022
Less - Funded Status International -2022
Add - Funded status - Retiree Medical 2022</t>
        </r>
      </text>
    </comment>
    <comment ref="F29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
10Q, June ended 2023
</t>
        </r>
      </text>
    </comment>
    <comment ref="F31" authorId="0" shapeId="0">
      <text>
        <r>
          <rPr>
            <sz val="11"/>
            <color theme="1"/>
            <rFont val="Calibri"/>
            <family val="2"/>
            <scheme val="minor"/>
          </rPr>
          <t>10Q, Page 6 (BS)
Short-Term Inv+Inv. In noncontrolled affiliates</t>
        </r>
      </text>
    </comment>
    <comment ref="H59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Reported Sales</t>
        </r>
      </text>
    </comment>
    <comment ref="I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1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Operating profit</t>
        </r>
      </text>
    </comment>
    <comment ref="I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64, 10K December ended 2022
</t>
        </r>
      </text>
    </comment>
    <comment ref="I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J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H67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</t>
        </r>
      </text>
    </comment>
    <comment ref="I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73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Non controlling interest
+ Pg 48 10K 
</t>
        </r>
      </text>
    </comment>
    <comment ref="I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45 10Q</t>
        </r>
      </text>
    </comment>
    <comment ref="J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46 10Q</t>
        </r>
      </text>
    </comment>
    <comment ref="H76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</t>
        </r>
      </text>
    </comment>
    <comment ref="I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C15" authorId="0" shapeId="0">
      <text>
        <r>
          <rPr>
            <sz val="11"/>
            <color theme="1"/>
            <rFont val="Calibri"/>
            <family val="2"/>
            <scheme val="minor"/>
          </rPr>
          <t>Closing Price as on 28-07-23 as on investing.com</t>
        </r>
      </text>
    </comment>
    <comment ref="C16" authorId="0" shapeId="0">
      <text>
        <r>
          <rPr>
            <sz val="11"/>
            <color theme="1"/>
            <rFont val="Calibri"/>
            <family val="2"/>
            <scheme val="minor"/>
          </rPr>
          <t>10Q June 2023
Pg 2</t>
        </r>
      </text>
    </comment>
    <comment ref="F19" authorId="0" shapeId="0">
      <text>
        <r>
          <rPr>
            <sz val="11"/>
            <color theme="1"/>
            <rFont val="Calibri"/>
            <family val="2"/>
            <scheme val="minor"/>
          </rPr>
          <t>Page no - 8 
10Q, June ended 2023
Add Non - controlling interest</t>
        </r>
      </text>
    </comment>
    <comment ref="E2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10Q, June ended 2023
Add - Short term debt
Add - Long term debt
</t>
        </r>
      </text>
    </comment>
    <comment ref="F27" authorId="0" shapeId="0">
      <text>
        <r>
          <rPr>
            <sz val="11"/>
            <color theme="1"/>
            <rFont val="Calibri"/>
            <family val="2"/>
            <scheme val="minor"/>
          </rPr>
          <t>10K Dec - 22 , Page 92
Add - Funded status - US - 2022
Less - Funded Status International -2022
Add - Funded status - Retiree Medical 2022</t>
        </r>
      </text>
    </comment>
    <comment ref="F29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
10Q, June ended 2023
</t>
        </r>
      </text>
    </comment>
    <comment ref="F31" authorId="0" shapeId="0">
      <text>
        <r>
          <rPr>
            <sz val="11"/>
            <color theme="1"/>
            <rFont val="Calibri"/>
            <family val="2"/>
            <scheme val="minor"/>
          </rPr>
          <t>10Q, Page 6 (BS)
Short-Term Inv+Inv. In noncontrolled affiliates</t>
        </r>
      </text>
    </comment>
    <comment ref="B40" authorId="0" shapeId="0">
      <text>
        <r>
          <rPr>
            <sz val="11"/>
            <color theme="1"/>
            <rFont val="Calibri"/>
            <family val="2"/>
            <scheme val="minor"/>
          </rPr>
          <t>PAGE 88, 10K December ended, 2022
Stock Options</t>
        </r>
      </text>
    </comment>
    <comment ref="B41" authorId="0" shapeId="0">
      <text>
        <r>
          <rPr>
            <sz val="11"/>
            <color theme="1"/>
            <rFont val="Calibri"/>
            <family val="2"/>
            <scheme val="minor"/>
          </rPr>
          <t>Page 89, 10K December ended 2022
PSU's has not been considered</t>
        </r>
      </text>
    </comment>
    <comment ref="H59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Reported Sales</t>
        </r>
      </text>
    </comment>
    <comment ref="I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1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Operating profit</t>
        </r>
      </text>
    </comment>
    <comment ref="I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64, 10K December ended 2022
</t>
        </r>
      </text>
    </comment>
    <comment ref="I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J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H67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</t>
        </r>
      </text>
    </comment>
    <comment ref="I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73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Non controlling interest
+ Pg 48 10K 
</t>
        </r>
      </text>
    </comment>
    <comment ref="I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45 10Q</t>
        </r>
      </text>
    </comment>
    <comment ref="J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46 10Q</t>
        </r>
      </text>
    </comment>
    <comment ref="H76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</t>
        </r>
      </text>
    </comment>
    <comment ref="I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C15" authorId="0" shapeId="0">
      <text>
        <r>
          <rPr>
            <sz val="11"/>
            <color theme="1"/>
            <rFont val="Calibri"/>
            <family val="2"/>
            <scheme val="minor"/>
          </rPr>
          <t>Closing Price as on 29-01-2024 as on investing.com</t>
        </r>
      </text>
    </comment>
    <comment ref="C16" authorId="0" shapeId="0">
      <text>
        <r>
          <rPr>
            <sz val="11"/>
            <color theme="1"/>
            <rFont val="Calibri"/>
            <family val="2"/>
            <scheme val="minor"/>
          </rPr>
          <t>10Q June 2023
Pg 2</t>
        </r>
      </text>
    </comment>
    <comment ref="F19" authorId="0" shapeId="0">
      <text>
        <r>
          <rPr>
            <sz val="11"/>
            <color theme="1"/>
            <rFont val="Calibri"/>
            <family val="2"/>
            <scheme val="minor"/>
          </rPr>
          <t>Page no - 8 
10Q, June ended 2023
Add Non - controlling interest</t>
        </r>
      </text>
    </comment>
    <comment ref="E2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10Q, June ended 2023
Add - Short term debt
Add - Long term debt
</t>
        </r>
      </text>
    </comment>
    <comment ref="F27" authorId="0" shapeId="0">
      <text>
        <r>
          <rPr>
            <sz val="11"/>
            <color theme="1"/>
            <rFont val="Calibri"/>
            <family val="2"/>
            <scheme val="minor"/>
          </rPr>
          <t>10K Dec - 22 , Page 92
Add - Funded status - US - 2022
Less - Funded Status International -2022
Add - Funded status - Retiree Medical 2022</t>
        </r>
      </text>
    </comment>
    <comment ref="F29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
10Q, June ended 2023
</t>
        </r>
      </text>
    </comment>
    <comment ref="F31" authorId="0" shapeId="0">
      <text>
        <r>
          <rPr>
            <sz val="11"/>
            <color theme="1"/>
            <rFont val="Calibri"/>
            <family val="2"/>
            <scheme val="minor"/>
          </rPr>
          <t>10Q, Page 6 (BS)
Short-Term Inv+Inv. In noncontrolled affiliates</t>
        </r>
      </text>
    </comment>
    <comment ref="B40" authorId="0" shapeId="0">
      <text>
        <r>
          <rPr>
            <sz val="11"/>
            <color theme="1"/>
            <rFont val="Calibri"/>
            <family val="2"/>
            <scheme val="minor"/>
          </rPr>
          <t>PAGE 88, 10K December ended, 2022
Stock Options</t>
        </r>
      </text>
    </comment>
    <comment ref="B41" authorId="0" shapeId="0">
      <text>
        <r>
          <rPr>
            <sz val="11"/>
            <color theme="1"/>
            <rFont val="Calibri"/>
            <family val="2"/>
            <scheme val="minor"/>
          </rPr>
          <t>Page 89, 10K December ended 2022
PSU's has not been considered</t>
        </r>
      </text>
    </comment>
    <comment ref="H59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Reported Sales</t>
        </r>
      </text>
    </comment>
    <comment ref="I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1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Operating profit</t>
        </r>
      </text>
    </comment>
    <comment ref="I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64, 10K December ended 2022
</t>
        </r>
      </text>
    </comment>
    <comment ref="I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J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H67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</t>
        </r>
      </text>
    </comment>
    <comment ref="I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73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Non controlling interest
+ Pg 48 10K 
</t>
        </r>
      </text>
    </comment>
    <comment ref="I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45 10Q</t>
        </r>
      </text>
    </comment>
    <comment ref="J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46 10Q</t>
        </r>
      </text>
    </comment>
    <comment ref="H76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</t>
        </r>
      </text>
    </comment>
    <comment ref="I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C15" authorId="0" shapeId="0">
      <text>
        <r>
          <rPr>
            <sz val="11"/>
            <color theme="1"/>
            <rFont val="Calibri"/>
            <family val="2"/>
            <scheme val="minor"/>
          </rPr>
          <t>Closing Price as on 28-07-23 as on investing.com</t>
        </r>
      </text>
    </comment>
    <comment ref="C16" authorId="0" shapeId="0">
      <text>
        <r>
          <rPr>
            <sz val="11"/>
            <color theme="1"/>
            <rFont val="Calibri"/>
            <family val="2"/>
            <scheme val="minor"/>
          </rPr>
          <t>10Q June 2023
Pg 2</t>
        </r>
      </text>
    </comment>
    <comment ref="F19" authorId="0" shapeId="0">
      <text>
        <r>
          <rPr>
            <sz val="11"/>
            <color theme="1"/>
            <rFont val="Calibri"/>
            <family val="2"/>
            <scheme val="minor"/>
          </rPr>
          <t>Page no - 8 
10Q, June ended 2023
Add Non - controlling interest</t>
        </r>
      </text>
    </comment>
    <comment ref="E2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10Q, June ended 2023
Add - Short term debt
Add - Long term debt
</t>
        </r>
      </text>
    </comment>
    <comment ref="F27" authorId="0" shapeId="0">
      <text>
        <r>
          <rPr>
            <sz val="11"/>
            <color theme="1"/>
            <rFont val="Calibri"/>
            <family val="2"/>
            <scheme val="minor"/>
          </rPr>
          <t>10K Dec - 22 , Page 92
Add - Funded status - US - 2022
Less - Funded Status International -2022
Add - Funded status - Retiree Medical 2022</t>
        </r>
      </text>
    </comment>
    <comment ref="F29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- 8 
10Q, June ended 2023
</t>
        </r>
      </text>
    </comment>
    <comment ref="F31" authorId="0" shapeId="0">
      <text>
        <r>
          <rPr>
            <sz val="11"/>
            <color theme="1"/>
            <rFont val="Calibri"/>
            <family val="2"/>
            <scheme val="minor"/>
          </rPr>
          <t>10Q, Page 6 (BS)
Short-Term Inv+Inv. In noncontrolled affiliates</t>
        </r>
      </text>
    </comment>
    <comment ref="B40" authorId="0" shapeId="0">
      <text>
        <r>
          <rPr>
            <sz val="11"/>
            <color theme="1"/>
            <rFont val="Calibri"/>
            <family val="2"/>
            <scheme val="minor"/>
          </rPr>
          <t>PAGE 88, 10K December ended, 2022
Stock Options</t>
        </r>
      </text>
    </comment>
    <comment ref="B41" authorId="0" shapeId="0">
      <text>
        <r>
          <rPr>
            <sz val="11"/>
            <color theme="1"/>
            <rFont val="Calibri"/>
            <family val="2"/>
            <scheme val="minor"/>
          </rPr>
          <t>Page 89, 10K December ended 2022
PSU's has not been considered</t>
        </r>
      </text>
    </comment>
    <comment ref="H59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Reported Sales</t>
        </r>
      </text>
    </comment>
    <comment ref="I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59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1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
Operating profit</t>
        </r>
      </text>
    </comment>
    <comment ref="I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1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64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64, 10K December ended 2022
</t>
        </r>
      </text>
    </comment>
    <comment ref="I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J64" authorId="0" shapeId="0">
      <text>
        <r>
          <rPr>
            <sz val="11"/>
            <color theme="1"/>
            <rFont val="Calibri"/>
            <family val="2"/>
            <scheme val="minor"/>
          </rPr>
          <t>Page 6, 10Q June ended 2023
CFS</t>
        </r>
      </text>
    </comment>
    <comment ref="H67" authorId="0" shapeId="0">
      <text>
        <r>
          <rPr>
            <sz val="11"/>
            <color theme="1"/>
            <rFont val="Calibri"/>
            <family val="2"/>
            <scheme val="minor"/>
          </rPr>
          <t>Page no - 62 10K December ended 2022</t>
        </r>
      </text>
    </comment>
    <comment ref="I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67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H73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Non controlling interest
+ Pg 48 10K 
</t>
        </r>
      </text>
    </comment>
    <comment ref="I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45 10Q</t>
        </r>
      </text>
    </comment>
    <comment ref="J73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
Non controlling interest
+ Pg 46 10Q</t>
        </r>
      </text>
    </comment>
    <comment ref="H76" authorId="0" shapeId="0">
      <text>
        <r>
          <rPr>
            <sz val="11"/>
            <color theme="1"/>
            <rFont val="Calibri"/>
            <family val="2"/>
            <scheme val="minor"/>
          </rPr>
          <t xml:space="preserve">Page no - 62 10K December ended 2022
</t>
        </r>
      </text>
    </comment>
    <comment ref="I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  <comment ref="J76" authorId="0" shapeId="0">
      <text>
        <r>
          <rPr>
            <sz val="11"/>
            <color theme="1"/>
            <rFont val="Calibri"/>
            <family val="2"/>
            <scheme val="minor"/>
          </rPr>
          <t>Page no 4 10Q June Ended 2023</t>
        </r>
      </text>
    </comment>
  </commentList>
</comments>
</file>

<file path=xl/sharedStrings.xml><?xml version="1.0" encoding="utf-8"?>
<sst xmlns="http://schemas.openxmlformats.org/spreadsheetml/2006/main" count="639" uniqueCount="212">
  <si>
    <t>Name of Target Company</t>
  </si>
  <si>
    <t>Median</t>
  </si>
  <si>
    <t>25th Percentile</t>
  </si>
  <si>
    <t>Industry Multiple Range</t>
  </si>
  <si>
    <t>Minority Interest</t>
  </si>
  <si>
    <t>Total Debt</t>
  </si>
  <si>
    <t>Debt Equivalent</t>
  </si>
  <si>
    <t>Cash &amp; Cash Eq</t>
  </si>
  <si>
    <t>Investments</t>
  </si>
  <si>
    <t>Diluted Shares O/S</t>
  </si>
  <si>
    <t>75th Percentile</t>
  </si>
  <si>
    <t>Metrics</t>
  </si>
  <si>
    <t>Lower</t>
  </si>
  <si>
    <t>Higher</t>
  </si>
  <si>
    <t>LTM EV/EBITDA</t>
  </si>
  <si>
    <t>FY1 EV/EBITDA</t>
  </si>
  <si>
    <t>FY2 EV/EBITDA</t>
  </si>
  <si>
    <t>LTM EV/EBIT</t>
  </si>
  <si>
    <t>FY1 EV/EBIT</t>
  </si>
  <si>
    <t>FY2 EV/EBIT</t>
  </si>
  <si>
    <t>LTM EV/Sales</t>
  </si>
  <si>
    <t>FY1 EV/Sales</t>
  </si>
  <si>
    <t>FY2 EV/Sales</t>
  </si>
  <si>
    <t>FY1 P/E</t>
  </si>
  <si>
    <t>FY2 P/E</t>
  </si>
  <si>
    <t>Basic Shares o/s</t>
  </si>
  <si>
    <t>Diluted Shares o/s</t>
  </si>
  <si>
    <t>ESoPS/Warrants etc. Treasury Stock Method</t>
  </si>
  <si>
    <t>Exercise</t>
  </si>
  <si>
    <t>Notional</t>
  </si>
  <si>
    <t>Net</t>
  </si>
  <si>
    <t>O/S</t>
  </si>
  <si>
    <t>Price</t>
  </si>
  <si>
    <t>ITM?</t>
  </si>
  <si>
    <t>Shares Issued</t>
  </si>
  <si>
    <t>Cash</t>
  </si>
  <si>
    <t>Buyback</t>
  </si>
  <si>
    <t>Dilution</t>
  </si>
  <si>
    <t>LTM</t>
  </si>
  <si>
    <t>Sales</t>
  </si>
  <si>
    <t>EBITDA</t>
  </si>
  <si>
    <t>EBIT</t>
  </si>
  <si>
    <t>Source- Marketscreener.com</t>
  </si>
  <si>
    <t>Comparable Company Analysis</t>
  </si>
  <si>
    <t>(All numbers are in millions except per share data)</t>
  </si>
  <si>
    <t>Industry</t>
  </si>
  <si>
    <t>Geography</t>
  </si>
  <si>
    <t>US</t>
  </si>
  <si>
    <t>Currency</t>
  </si>
  <si>
    <t>USD</t>
  </si>
  <si>
    <t>F10</t>
  </si>
  <si>
    <t>F33</t>
  </si>
  <si>
    <t>F18</t>
  </si>
  <si>
    <t>F32</t>
  </si>
  <si>
    <t>K59</t>
  </si>
  <si>
    <t>K65</t>
  </si>
  <si>
    <t>K63</t>
  </si>
  <si>
    <t>K74</t>
  </si>
  <si>
    <t>L59</t>
  </si>
  <si>
    <t>L65</t>
  </si>
  <si>
    <t>L63</t>
  </si>
  <si>
    <t>L74</t>
  </si>
  <si>
    <t>M59</t>
  </si>
  <si>
    <t>M65</t>
  </si>
  <si>
    <t>M63</t>
  </si>
  <si>
    <t>M74</t>
  </si>
  <si>
    <t>P65</t>
  </si>
  <si>
    <t>Reported Currency</t>
  </si>
  <si>
    <t>Exchange Rate</t>
  </si>
  <si>
    <t>LTM Multiples</t>
  </si>
  <si>
    <t>FY1 Multiple</t>
  </si>
  <si>
    <t>FY2 Multiple</t>
  </si>
  <si>
    <t>Peer Group Companies</t>
  </si>
  <si>
    <t>CMP</t>
  </si>
  <si>
    <t>Market Cap</t>
  </si>
  <si>
    <t>EV</t>
  </si>
  <si>
    <t>EV/Sales</t>
  </si>
  <si>
    <t>EV/EBITDA</t>
  </si>
  <si>
    <t>EV/EBIT</t>
  </si>
  <si>
    <t>P/E</t>
  </si>
  <si>
    <t>Growth</t>
  </si>
  <si>
    <t>Mean</t>
  </si>
  <si>
    <t>Company Name</t>
  </si>
  <si>
    <t>Basic Details</t>
  </si>
  <si>
    <t>Analyst Name</t>
  </si>
  <si>
    <t>Updation Date</t>
  </si>
  <si>
    <t>Ticker</t>
  </si>
  <si>
    <t>Latest Annual</t>
  </si>
  <si>
    <t>Latest Quarter</t>
  </si>
  <si>
    <t>Tax Rate</t>
  </si>
  <si>
    <t>Enterprise Value</t>
  </si>
  <si>
    <t>Class A</t>
  </si>
  <si>
    <t>Class B</t>
  </si>
  <si>
    <t>Class C</t>
  </si>
  <si>
    <t>Per Share Price</t>
  </si>
  <si>
    <t>Shares Outstanding Basic</t>
  </si>
  <si>
    <t>Shares Outstanding Diluted</t>
  </si>
  <si>
    <t>+ Pref. Share Capital</t>
  </si>
  <si>
    <t>Total Pref. Capital (Other Than Convertible) in Balance Sheet</t>
  </si>
  <si>
    <t>Add: Convertible Pref Not Converted to Common Equity</t>
  </si>
  <si>
    <t>+ Debt</t>
  </si>
  <si>
    <t>: Total Debt (Other Than Convertible) Reported in B/S</t>
  </si>
  <si>
    <t>Add: Convertible Debt not Converted to Common Equity</t>
  </si>
  <si>
    <t>+ Debt Equivalents</t>
  </si>
  <si>
    <t>Unfunded Pension Obligations</t>
  </si>
  <si>
    <t>Capitalised Value of Operating Lease</t>
  </si>
  <si>
    <t>- Cash &amp; Cash Equivalents</t>
  </si>
  <si>
    <t>Total Enterprise Value</t>
  </si>
  <si>
    <t>Non Operating Assets</t>
  </si>
  <si>
    <t>Operating EV</t>
  </si>
  <si>
    <t>Weighted Average Share Price of All Classes of Share</t>
  </si>
  <si>
    <t>Calculation of Dilution</t>
  </si>
  <si>
    <t xml:space="preserve">ESoPS/Warrants/RSUs/PSU </t>
  </si>
  <si>
    <t>Units Outstanding</t>
  </si>
  <si>
    <t>Convertible Debt / Pref shares</t>
  </si>
  <si>
    <t>Conversion Price</t>
  </si>
  <si>
    <t>Share Dilution</t>
  </si>
  <si>
    <t>Nature</t>
  </si>
  <si>
    <t>Face Value</t>
  </si>
  <si>
    <t>BV</t>
  </si>
  <si>
    <t>Debt/Pref</t>
  </si>
  <si>
    <t>Key Financials</t>
  </si>
  <si>
    <t>Annual</t>
  </si>
  <si>
    <t>Crt. YTD</t>
  </si>
  <si>
    <t>Pr. YTD</t>
  </si>
  <si>
    <t>FY1</t>
  </si>
  <si>
    <t>FY2</t>
  </si>
  <si>
    <t>FY3</t>
  </si>
  <si>
    <t>FY4</t>
  </si>
  <si>
    <t>FY5</t>
  </si>
  <si>
    <t>12M</t>
  </si>
  <si>
    <t>Reported Sales</t>
  </si>
  <si>
    <t>Reported EBIT/Operating Income</t>
  </si>
  <si>
    <t>Add/Less: Exceptional/No-Operating Items reported above EBIT</t>
  </si>
  <si>
    <t>Adjusted EBIT</t>
  </si>
  <si>
    <t>Add: D&amp;A</t>
  </si>
  <si>
    <t>Adjusted EBITDA</t>
  </si>
  <si>
    <t>Reported Net Income</t>
  </si>
  <si>
    <t>Add/Less: Exceptional Items reported above EBIT</t>
  </si>
  <si>
    <t>Add/Less: Exceptional Items reported below EBIT</t>
  </si>
  <si>
    <t>Less: Tax on Adjustments</t>
  </si>
  <si>
    <t>Add/Less: Non Tax Deductable Adjustments</t>
  </si>
  <si>
    <t>Adjusted Net Income</t>
  </si>
  <si>
    <t>Less: Share of Minority Interest</t>
  </si>
  <si>
    <t>Adjusted Net Income to Common Shareholders of the Company</t>
  </si>
  <si>
    <t>Diluted Weighted Average No of Shares</t>
  </si>
  <si>
    <t>Diluted EPS</t>
  </si>
  <si>
    <t xml:space="preserve">Stock options/ESoPS/Warrants/RSUs/PSU </t>
  </si>
  <si>
    <t>Estimates</t>
  </si>
  <si>
    <t>CAGR</t>
  </si>
  <si>
    <t>6M</t>
  </si>
  <si>
    <t>Source of Estimates: Consensus estimates from market screener as on 10 Sep 2023</t>
  </si>
  <si>
    <t>Nike</t>
  </si>
  <si>
    <t>Nike CMP (31 May 2024)</t>
  </si>
  <si>
    <t>Calculation of Diluted Shares-Nike</t>
  </si>
  <si>
    <t>Implied EV-Nike</t>
  </si>
  <si>
    <t>Implied Equity-Nike</t>
  </si>
  <si>
    <t>Implied Per Share Value-Nike</t>
  </si>
  <si>
    <t>Nike Valuation Range as per Trading Comps</t>
  </si>
  <si>
    <t>Lululemon Athlet</t>
  </si>
  <si>
    <t>Skechers</t>
  </si>
  <si>
    <t xml:space="preserve">Manufacturing </t>
  </si>
  <si>
    <t>SALES</t>
  </si>
  <si>
    <t>LULU</t>
  </si>
  <si>
    <t>SKX</t>
  </si>
  <si>
    <t>DEC</t>
  </si>
  <si>
    <t>JUNE</t>
  </si>
  <si>
    <t>JAN</t>
  </si>
  <si>
    <t>Lulu</t>
  </si>
  <si>
    <t>52 week range</t>
  </si>
  <si>
    <t>Market Consensus</t>
  </si>
  <si>
    <t>(Comparable Company Analysis)</t>
  </si>
  <si>
    <t>CCA</t>
  </si>
  <si>
    <t>Exit Multiple</t>
  </si>
  <si>
    <t>Perpetual Growth</t>
  </si>
  <si>
    <t>Yes</t>
  </si>
  <si>
    <t>DCF</t>
  </si>
  <si>
    <t>Private</t>
  </si>
  <si>
    <t xml:space="preserve">Public </t>
  </si>
  <si>
    <t>Applicability</t>
  </si>
  <si>
    <t>Method</t>
  </si>
  <si>
    <t>Price range</t>
  </si>
  <si>
    <t>Range</t>
  </si>
  <si>
    <t>(Note: The numbers are taken from DCF, Trading comps and Transaction Comps final outputs)</t>
  </si>
  <si>
    <t>Final range</t>
  </si>
  <si>
    <t>Unaffected Price</t>
  </si>
  <si>
    <t>EXIT MULTIPLE</t>
  </si>
  <si>
    <t>Difference</t>
  </si>
  <si>
    <t>10K</t>
  </si>
  <si>
    <t>61-63</t>
  </si>
  <si>
    <t>GAAP RECON STAT</t>
  </si>
  <si>
    <t>SAM</t>
  </si>
  <si>
    <t>LINK 62</t>
  </si>
  <si>
    <t>-</t>
  </si>
  <si>
    <t>SUM-67+71</t>
  </si>
  <si>
    <t>72-73</t>
  </si>
  <si>
    <t>Crocs</t>
  </si>
  <si>
    <t>CROX</t>
  </si>
  <si>
    <t>The NIKE.inc</t>
  </si>
  <si>
    <t>EV/SALES</t>
  </si>
  <si>
    <t>DECK</t>
  </si>
  <si>
    <t>31-09-2024</t>
  </si>
  <si>
    <t>CROCS</t>
  </si>
  <si>
    <t xml:space="preserve">DECKERS BRAND </t>
  </si>
  <si>
    <t>WARRANTS</t>
  </si>
  <si>
    <t>CONVERTIBLE Pref shares</t>
  </si>
  <si>
    <t>RSU</t>
  </si>
  <si>
    <t>WARRENTS</t>
  </si>
  <si>
    <t>PSU</t>
  </si>
  <si>
    <t>(Taken on 08-04-2025)</t>
  </si>
  <si>
    <t>NI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</si>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</sst>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 * #,##0.00_ ;_ * \-#,##0.00_ ;_ * &quot;-&quot;??_ ;_ @_ "/>
    <numFmt numFmtId="164" formatCode="_(* #,##0_);_(* \(#,##0\);_(* &quot;-&quot;??_);_(@_)"/>
    <numFmt numFmtId="165" formatCode="0.0&quot;x&quot;"/>
    <numFmt numFmtId="166" formatCode="0.0"/>
    <numFmt numFmtId="167" formatCode="_ * #,##0.0_ ;_ * \-#,##0.0_ ;_ * &quot;-&quot;??_ ;_ @_ "/>
    <numFmt numFmtId="168" formatCode="_(* #,##0.0_);_(* \(#,##0.0\);_(* &quot;-&quot;??_);_(@_)"/>
    <numFmt numFmtId="169" formatCode="0.0%"/>
    <numFmt numFmtId="170" formatCode="_ * #,##0_ ;_ * \-#,##0_ ;_ * &quot;-&quot;??_ ;_ @_ "/>
    <numFmt numFmtId="171" formatCode="dd\ mmm\'yy"/>
    <numFmt numFmtId="172" formatCode="_(* #,##0.00_);_(* \(#,##0.00\);_(* &quot;-&quot;??_);_(@_)"/>
    <numFmt numFmtId="173" formatCode="0.000&quot;x&quot;"/>
  </numFmts>
  <fonts count="3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44546A"/>
      <name val="Calibri"/>
      <family val="2"/>
    </font>
    <font>
      <sz val="10"/>
      <color theme="1"/>
      <name val="Gill Sans"/>
    </font>
    <font>
      <sz val="10"/>
      <color theme="0"/>
      <name val="Gill Sans"/>
    </font>
    <font>
      <i/>
      <sz val="10"/>
      <color theme="1"/>
      <name val="Calibri"/>
      <family val="2"/>
    </font>
    <font>
      <b/>
      <sz val="16"/>
      <color theme="1"/>
      <name val="Calibri"/>
      <family val="2"/>
    </font>
    <font>
      <i/>
      <sz val="11"/>
      <color theme="1"/>
      <name val="Calibri"/>
      <family val="2"/>
    </font>
    <font>
      <sz val="18"/>
      <color rgb="FFE7E6E6"/>
      <name val="Gill Sans"/>
    </font>
    <font>
      <sz val="10"/>
      <color rgb="FFE7E6E6"/>
      <name val="Gill Sans"/>
    </font>
    <font>
      <i/>
      <sz val="10"/>
      <color rgb="FF000000"/>
      <name val="Gill Sans"/>
    </font>
    <font>
      <b/>
      <sz val="10"/>
      <color rgb="FF000000"/>
      <name val="Gill Sans"/>
    </font>
    <font>
      <sz val="10"/>
      <color rgb="FF000000"/>
      <name val="Gill Sans"/>
    </font>
    <font>
      <sz val="10"/>
      <color rgb="FFD8D8D8"/>
      <name val="Gill Sans"/>
    </font>
    <font>
      <i/>
      <sz val="10"/>
      <color theme="1"/>
      <name val="Gill Sans"/>
    </font>
    <font>
      <b/>
      <sz val="10"/>
      <color theme="1"/>
      <name val="Gill Sans"/>
    </font>
    <font>
      <b/>
      <sz val="9"/>
      <color indexed="81"/>
      <name val="Tahoma"/>
      <family val="2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0"/>
      <color rgb="FF00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  <fill>
      <patternFill patternType="solid">
        <fgColor rgb="FFFBE4D5"/>
        <bgColor rgb="FFFBE4D5"/>
      </patternFill>
    </fill>
    <fill>
      <patternFill patternType="solid">
        <fgColor rgb="FFD8D8D8"/>
        <bgColor rgb="FFD8D8D8"/>
      </patternFill>
    </fill>
    <fill>
      <patternFill patternType="solid">
        <fgColor rgb="FF8EAADB"/>
        <bgColor rgb="FF8EAADB"/>
      </patternFill>
    </fill>
    <fill>
      <patternFill patternType="solid">
        <fgColor rgb="FFC5E0B3"/>
        <bgColor rgb="FFC5E0B3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rgb="FFFFE598"/>
        <bgColor rgb="FFFFE598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D9E2F3"/>
      </patternFill>
    </fill>
  </fills>
  <borders count="6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44546A"/>
      </bottom>
      <diagonal/>
    </border>
    <border>
      <left/>
      <right/>
      <top style="medium">
        <color rgb="FF000000"/>
      </top>
      <bottom style="medium">
        <color rgb="FF44546A"/>
      </bottom>
      <diagonal/>
    </border>
    <border>
      <left style="medium">
        <color rgb="FF000000"/>
      </left>
      <right/>
      <top style="medium">
        <color rgb="FF44546A"/>
      </top>
      <bottom/>
      <diagonal/>
    </border>
    <border>
      <left/>
      <right/>
      <top style="medium">
        <color rgb="FF44546A"/>
      </top>
      <bottom/>
      <diagonal/>
    </border>
    <border>
      <left/>
      <right style="medium">
        <color rgb="FF000000"/>
      </right>
      <top style="medium">
        <color rgb="FF44546A"/>
      </top>
      <bottom/>
      <diagonal/>
    </border>
    <border>
      <left/>
      <right/>
      <top style="medium">
        <color rgb="FF44546A"/>
      </top>
      <bottom style="medium">
        <color rgb="FF000000"/>
      </bottom>
      <diagonal/>
    </border>
    <border>
      <left/>
      <right style="medium">
        <color rgb="FF000000"/>
      </right>
      <top style="medium">
        <color rgb="FF44546A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43" fontId="26" fillId="0" borderId="0" applyFont="0" applyFill="0" applyBorder="0" applyAlignment="0" applyProtection="0"/>
  </cellStyleXfs>
  <cellXfs count="221">
    <xf numFmtId="0" fontId="0" fillId="0" borderId="0" xfId="0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7" fillId="0" borderId="0" xfId="0" applyFont="1"/>
    <xf numFmtId="0" fontId="8" fillId="2" borderId="1" xfId="0" applyFont="1" applyFill="1" applyBorder="1"/>
    <xf numFmtId="9" fontId="10" fillId="3" borderId="1" xfId="0" applyNumberFormat="1" applyFont="1" applyFill="1" applyBorder="1"/>
    <xf numFmtId="0" fontId="10" fillId="0" borderId="0" xfId="0" applyFont="1" applyAlignment="1">
      <alignment horizontal="center" wrapText="1"/>
    </xf>
    <xf numFmtId="164" fontId="11" fillId="4" borderId="1" xfId="0" applyNumberFormat="1" applyFont="1" applyFill="1" applyBorder="1"/>
    <xf numFmtId="165" fontId="11" fillId="4" borderId="1" xfId="0" applyNumberFormat="1" applyFont="1" applyFill="1" applyBorder="1" applyAlignment="1">
      <alignment horizontal="center" vertical="center"/>
    </xf>
    <xf numFmtId="164" fontId="10" fillId="5" borderId="1" xfId="0" applyNumberFormat="1" applyFont="1" applyFill="1" applyBorder="1"/>
    <xf numFmtId="0" fontId="11" fillId="4" borderId="1" xfId="0" applyFont="1" applyFill="1" applyBorder="1"/>
    <xf numFmtId="164" fontId="10" fillId="0" borderId="0" xfId="0" applyNumberFormat="1" applyFont="1"/>
    <xf numFmtId="166" fontId="10" fillId="5" borderId="1" xfId="0" applyNumberFormat="1" applyFont="1" applyFill="1" applyBorder="1"/>
    <xf numFmtId="167" fontId="10" fillId="0" borderId="0" xfId="0" applyNumberFormat="1" applyFont="1"/>
    <xf numFmtId="167" fontId="10" fillId="6" borderId="6" xfId="0" applyNumberFormat="1" applyFont="1" applyFill="1" applyBorder="1"/>
    <xf numFmtId="0" fontId="10" fillId="4" borderId="1" xfId="0" applyFont="1" applyFill="1" applyBorder="1"/>
    <xf numFmtId="9" fontId="10" fillId="4" borderId="1" xfId="0" applyNumberFormat="1" applyFont="1" applyFill="1" applyBorder="1"/>
    <xf numFmtId="0" fontId="10" fillId="0" borderId="0" xfId="0" applyFont="1" applyAlignment="1">
      <alignment horizontal="center"/>
    </xf>
    <xf numFmtId="0" fontId="11" fillId="0" borderId="0" xfId="0" applyFont="1"/>
    <xf numFmtId="166" fontId="10" fillId="0" borderId="0" xfId="0" applyNumberFormat="1" applyFont="1"/>
    <xf numFmtId="0" fontId="5" fillId="7" borderId="8" xfId="0" applyFont="1" applyFill="1" applyBorder="1"/>
    <xf numFmtId="168" fontId="11" fillId="4" borderId="1" xfId="0" applyNumberFormat="1" applyFont="1" applyFill="1" applyBorder="1"/>
    <xf numFmtId="168" fontId="12" fillId="5" borderId="1" xfId="0" applyNumberFormat="1" applyFont="1" applyFill="1" applyBorder="1"/>
    <xf numFmtId="0" fontId="10" fillId="0" borderId="12" xfId="0" applyFont="1" applyBorder="1"/>
    <xf numFmtId="0" fontId="12" fillId="0" borderId="0" xfId="0" applyFont="1" applyAlignment="1">
      <alignment horizontal="right"/>
    </xf>
    <xf numFmtId="0" fontId="12" fillId="0" borderId="0" xfId="0" applyFont="1"/>
    <xf numFmtId="0" fontId="12" fillId="0" borderId="13" xfId="0" applyFont="1" applyBorder="1" applyAlignment="1">
      <alignment horizontal="center"/>
    </xf>
    <xf numFmtId="0" fontId="12" fillId="0" borderId="14" xfId="0" applyFont="1" applyBorder="1" applyAlignment="1">
      <alignment horizontal="right"/>
    </xf>
    <xf numFmtId="0" fontId="10" fillId="0" borderId="15" xfId="0" applyFont="1" applyBorder="1"/>
    <xf numFmtId="0" fontId="12" fillId="0" borderId="16" xfId="0" applyFont="1" applyBorder="1" applyAlignment="1">
      <alignment horizontal="right"/>
    </xf>
    <xf numFmtId="0" fontId="12" fillId="0" borderId="16" xfId="0" applyFont="1" applyBorder="1"/>
    <xf numFmtId="0" fontId="12" fillId="0" borderId="17" xfId="0" applyFont="1" applyBorder="1" applyAlignment="1">
      <alignment horizontal="right"/>
    </xf>
    <xf numFmtId="0" fontId="10" fillId="0" borderId="18" xfId="0" applyFont="1" applyBorder="1"/>
    <xf numFmtId="168" fontId="12" fillId="8" borderId="19" xfId="0" applyNumberFormat="1" applyFont="1" applyFill="1" applyBorder="1"/>
    <xf numFmtId="168" fontId="12" fillId="8" borderId="1" xfId="0" applyNumberFormat="1" applyFont="1" applyFill="1" applyBorder="1"/>
    <xf numFmtId="168" fontId="12" fillId="9" borderId="1" xfId="0" applyNumberFormat="1" applyFont="1" applyFill="1" applyBorder="1" applyAlignment="1">
      <alignment horizontal="center"/>
    </xf>
    <xf numFmtId="168" fontId="12" fillId="9" borderId="1" xfId="0" applyNumberFormat="1" applyFont="1" applyFill="1" applyBorder="1"/>
    <xf numFmtId="164" fontId="12" fillId="9" borderId="1" xfId="0" applyNumberFormat="1" applyFont="1" applyFill="1" applyBorder="1"/>
    <xf numFmtId="168" fontId="12" fillId="9" borderId="20" xfId="0" applyNumberFormat="1" applyFont="1" applyFill="1" applyBorder="1"/>
    <xf numFmtId="168" fontId="12" fillId="5" borderId="21" xfId="0" applyNumberFormat="1" applyFont="1" applyFill="1" applyBorder="1"/>
    <xf numFmtId="0" fontId="14" fillId="0" borderId="22" xfId="0" applyFont="1" applyBorder="1"/>
    <xf numFmtId="0" fontId="15" fillId="0" borderId="0" xfId="0" applyFont="1"/>
    <xf numFmtId="0" fontId="10" fillId="0" borderId="0" xfId="0" applyFont="1" applyAlignment="1">
      <alignment horizontal="center" vertical="center"/>
    </xf>
    <xf numFmtId="0" fontId="10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70" fontId="10" fillId="0" borderId="0" xfId="0" applyNumberFormat="1" applyFont="1"/>
    <xf numFmtId="2" fontId="10" fillId="0" borderId="0" xfId="0" applyNumberFormat="1" applyFont="1"/>
    <xf numFmtId="165" fontId="10" fillId="0" borderId="0" xfId="0" applyNumberFormat="1" applyFont="1"/>
    <xf numFmtId="165" fontId="10" fillId="0" borderId="0" xfId="0" applyNumberFormat="1" applyFont="1" applyAlignment="1">
      <alignment horizontal="center"/>
    </xf>
    <xf numFmtId="165" fontId="10" fillId="0" borderId="24" xfId="0" applyNumberFormat="1" applyFont="1" applyBorder="1" applyAlignment="1">
      <alignment horizontal="center"/>
    </xf>
    <xf numFmtId="165" fontId="10" fillId="4" borderId="25" xfId="0" applyNumberFormat="1" applyFont="1" applyFill="1" applyBorder="1" applyAlignment="1">
      <alignment horizontal="center"/>
    </xf>
    <xf numFmtId="165" fontId="10" fillId="10" borderId="1" xfId="0" applyNumberFormat="1" applyFont="1" applyFill="1" applyBorder="1" applyAlignment="1">
      <alignment horizontal="center"/>
    </xf>
    <xf numFmtId="165" fontId="10" fillId="0" borderId="26" xfId="0" applyNumberFormat="1" applyFont="1" applyBorder="1" applyAlignment="1">
      <alignment horizontal="center"/>
    </xf>
    <xf numFmtId="165" fontId="10" fillId="4" borderId="27" xfId="0" applyNumberFormat="1" applyFont="1" applyFill="1" applyBorder="1" applyAlignment="1">
      <alignment horizontal="center"/>
    </xf>
    <xf numFmtId="165" fontId="10" fillId="4" borderId="28" xfId="0" applyNumberFormat="1" applyFont="1" applyFill="1" applyBorder="1" applyAlignment="1">
      <alignment horizontal="center"/>
    </xf>
    <xf numFmtId="165" fontId="10" fillId="0" borderId="9" xfId="0" applyNumberFormat="1" applyFont="1" applyBorder="1" applyAlignment="1">
      <alignment horizontal="center"/>
    </xf>
    <xf numFmtId="165" fontId="10" fillId="0" borderId="15" xfId="0" applyNumberFormat="1" applyFont="1" applyBorder="1" applyAlignment="1">
      <alignment horizontal="center"/>
    </xf>
    <xf numFmtId="165" fontId="10" fillId="4" borderId="29" xfId="0" applyNumberFormat="1" applyFont="1" applyFill="1" applyBorder="1" applyAlignment="1">
      <alignment horizontal="center"/>
    </xf>
    <xf numFmtId="165" fontId="10" fillId="4" borderId="30" xfId="0" applyNumberFormat="1" applyFont="1" applyFill="1" applyBorder="1" applyAlignment="1">
      <alignment horizontal="center"/>
    </xf>
    <xf numFmtId="1" fontId="10" fillId="0" borderId="0" xfId="0" applyNumberFormat="1" applyFont="1"/>
    <xf numFmtId="0" fontId="16" fillId="0" borderId="0" xfId="0" applyFont="1"/>
    <xf numFmtId="0" fontId="16" fillId="0" borderId="0" xfId="0" applyFont="1" applyAlignment="1">
      <alignment horizontal="center"/>
    </xf>
    <xf numFmtId="165" fontId="10" fillId="0" borderId="0" xfId="0" applyNumberFormat="1" applyFont="1" applyAlignment="1">
      <alignment horizontal="center" vertical="center"/>
    </xf>
    <xf numFmtId="0" fontId="17" fillId="2" borderId="1" xfId="0" applyFont="1" applyFill="1" applyBorder="1"/>
    <xf numFmtId="0" fontId="12" fillId="2" borderId="1" xfId="0" applyFont="1" applyFill="1" applyBorder="1"/>
    <xf numFmtId="0" fontId="18" fillId="2" borderId="1" xfId="0" applyFont="1" applyFill="1" applyBorder="1"/>
    <xf numFmtId="0" fontId="13" fillId="2" borderId="31" xfId="0" applyFont="1" applyFill="1" applyBorder="1"/>
    <xf numFmtId="0" fontId="18" fillId="2" borderId="32" xfId="0" applyFont="1" applyFill="1" applyBorder="1"/>
    <xf numFmtId="0" fontId="18" fillId="2" borderId="33" xfId="0" applyFont="1" applyFill="1" applyBorder="1"/>
    <xf numFmtId="0" fontId="12" fillId="0" borderId="18" xfId="0" applyFont="1" applyBorder="1"/>
    <xf numFmtId="0" fontId="12" fillId="11" borderId="20" xfId="0" applyFont="1" applyFill="1" applyBorder="1"/>
    <xf numFmtId="15" fontId="12" fillId="11" borderId="20" xfId="0" applyNumberFormat="1" applyFont="1" applyFill="1" applyBorder="1"/>
    <xf numFmtId="0" fontId="12" fillId="11" borderId="20" xfId="0" applyFont="1" applyFill="1" applyBorder="1" applyAlignment="1">
      <alignment horizontal="right"/>
    </xf>
    <xf numFmtId="171" fontId="12" fillId="11" borderId="20" xfId="0" applyNumberFormat="1" applyFont="1" applyFill="1" applyBorder="1"/>
    <xf numFmtId="0" fontId="12" fillId="0" borderId="15" xfId="0" applyFont="1" applyBorder="1"/>
    <xf numFmtId="9" fontId="12" fillId="11" borderId="34" xfId="0" applyNumberFormat="1" applyFont="1" applyFill="1" applyBorder="1"/>
    <xf numFmtId="0" fontId="12" fillId="0" borderId="0" xfId="0" applyFont="1" applyAlignment="1">
      <alignment horizontal="center"/>
    </xf>
    <xf numFmtId="0" fontId="13" fillId="2" borderId="6" xfId="0" applyFont="1" applyFill="1" applyBorder="1"/>
    <xf numFmtId="0" fontId="13" fillId="2" borderId="35" xfId="0" applyFont="1" applyFill="1" applyBorder="1"/>
    <xf numFmtId="0" fontId="13" fillId="2" borderId="35" xfId="0" applyFont="1" applyFill="1" applyBorder="1" applyAlignment="1">
      <alignment horizontal="right"/>
    </xf>
    <xf numFmtId="0" fontId="13" fillId="2" borderId="7" xfId="0" applyFont="1" applyFill="1" applyBorder="1"/>
    <xf numFmtId="164" fontId="12" fillId="11" borderId="1" xfId="0" applyNumberFormat="1" applyFont="1" applyFill="1" applyBorder="1"/>
    <xf numFmtId="0" fontId="12" fillId="0" borderId="14" xfId="0" applyFont="1" applyBorder="1"/>
    <xf numFmtId="16" fontId="12" fillId="0" borderId="0" xfId="0" applyNumberFormat="1" applyFont="1"/>
    <xf numFmtId="164" fontId="12" fillId="0" borderId="14" xfId="0" applyNumberFormat="1" applyFont="1" applyBorder="1"/>
    <xf numFmtId="164" fontId="12" fillId="12" borderId="1" xfId="0" applyNumberFormat="1" applyFont="1" applyFill="1" applyBorder="1"/>
    <xf numFmtId="164" fontId="12" fillId="0" borderId="0" xfId="0" applyNumberFormat="1" applyFont="1"/>
    <xf numFmtId="164" fontId="12" fillId="12" borderId="20" xfId="0" applyNumberFormat="1" applyFont="1" applyFill="1" applyBorder="1"/>
    <xf numFmtId="164" fontId="12" fillId="11" borderId="20" xfId="0" applyNumberFormat="1" applyFont="1" applyFill="1" applyBorder="1"/>
    <xf numFmtId="0" fontId="12" fillId="0" borderId="18" xfId="0" quotePrefix="1" applyFont="1" applyBorder="1"/>
    <xf numFmtId="164" fontId="19" fillId="11" borderId="1" xfId="0" applyNumberFormat="1" applyFont="1" applyFill="1" applyBorder="1"/>
    <xf numFmtId="0" fontId="19" fillId="0" borderId="0" xfId="0" applyFont="1"/>
    <xf numFmtId="164" fontId="19" fillId="12" borderId="1" xfId="0" applyNumberFormat="1" applyFont="1" applyFill="1" applyBorder="1"/>
    <xf numFmtId="0" fontId="20" fillId="0" borderId="36" xfId="0" applyFont="1" applyBorder="1"/>
    <xf numFmtId="0" fontId="20" fillId="0" borderId="37" xfId="0" applyFont="1" applyBorder="1"/>
    <xf numFmtId="164" fontId="20" fillId="0" borderId="37" xfId="0" applyNumberFormat="1" applyFont="1" applyBorder="1"/>
    <xf numFmtId="164" fontId="20" fillId="12" borderId="21" xfId="0" applyNumberFormat="1" applyFont="1" applyFill="1" applyBorder="1"/>
    <xf numFmtId="0" fontId="21" fillId="0" borderId="18" xfId="0" applyFont="1" applyBorder="1"/>
    <xf numFmtId="0" fontId="20" fillId="0" borderId="0" xfId="0" applyFont="1"/>
    <xf numFmtId="164" fontId="20" fillId="0" borderId="0" xfId="0" applyNumberFormat="1" applyFont="1"/>
    <xf numFmtId="167" fontId="12" fillId="12" borderId="34" xfId="0" applyNumberFormat="1" applyFont="1" applyFill="1" applyBorder="1"/>
    <xf numFmtId="164" fontId="19" fillId="0" borderId="0" xfId="0" applyNumberFormat="1" applyFont="1"/>
    <xf numFmtId="17" fontId="12" fillId="0" borderId="0" xfId="0" applyNumberFormat="1" applyFont="1"/>
    <xf numFmtId="0" fontId="12" fillId="2" borderId="35" xfId="0" applyFont="1" applyFill="1" applyBorder="1"/>
    <xf numFmtId="0" fontId="12" fillId="2" borderId="7" xfId="0" applyFont="1" applyFill="1" applyBorder="1"/>
    <xf numFmtId="0" fontId="22" fillId="0" borderId="0" xfId="0" applyFont="1"/>
    <xf numFmtId="0" fontId="12" fillId="0" borderId="18" xfId="0" applyFont="1" applyBorder="1" applyAlignment="1">
      <alignment horizontal="right"/>
    </xf>
    <xf numFmtId="0" fontId="12" fillId="0" borderId="15" xfId="0" applyFont="1" applyBorder="1" applyAlignment="1">
      <alignment horizontal="right"/>
    </xf>
    <xf numFmtId="0" fontId="12" fillId="0" borderId="0" xfId="0" applyFont="1" applyAlignment="1">
      <alignment horizontal="left"/>
    </xf>
    <xf numFmtId="168" fontId="12" fillId="11" borderId="19" xfId="0" applyNumberFormat="1" applyFont="1" applyFill="1" applyBorder="1"/>
    <xf numFmtId="168" fontId="12" fillId="11" borderId="1" xfId="0" applyNumberFormat="1" applyFont="1" applyFill="1" applyBorder="1"/>
    <xf numFmtId="168" fontId="12" fillId="12" borderId="1" xfId="0" applyNumberFormat="1" applyFont="1" applyFill="1" applyBorder="1" applyAlignment="1">
      <alignment horizontal="center"/>
    </xf>
    <xf numFmtId="168" fontId="12" fillId="12" borderId="1" xfId="0" applyNumberFormat="1" applyFont="1" applyFill="1" applyBorder="1"/>
    <xf numFmtId="168" fontId="12" fillId="12" borderId="20" xfId="0" applyNumberFormat="1" applyFont="1" applyFill="1" applyBorder="1"/>
    <xf numFmtId="168" fontId="12" fillId="0" borderId="0" xfId="0" applyNumberFormat="1" applyFont="1"/>
    <xf numFmtId="168" fontId="12" fillId="12" borderId="21" xfId="0" applyNumberFormat="1" applyFont="1" applyFill="1" applyBorder="1"/>
    <xf numFmtId="0" fontId="19" fillId="0" borderId="12" xfId="0" applyFont="1" applyBorder="1"/>
    <xf numFmtId="0" fontId="19" fillId="0" borderId="38" xfId="0" applyFont="1" applyBorder="1"/>
    <xf numFmtId="0" fontId="12" fillId="0" borderId="38" xfId="0" applyFont="1" applyBorder="1"/>
    <xf numFmtId="0" fontId="19" fillId="0" borderId="18" xfId="0" applyFont="1" applyBorder="1"/>
    <xf numFmtId="0" fontId="19" fillId="0" borderId="0" xfId="0" applyFont="1" applyAlignment="1">
      <alignment horizontal="right"/>
    </xf>
    <xf numFmtId="0" fontId="23" fillId="0" borderId="0" xfId="0" applyFont="1"/>
    <xf numFmtId="43" fontId="12" fillId="11" borderId="1" xfId="0" applyNumberFormat="1" applyFont="1" applyFill="1" applyBorder="1"/>
    <xf numFmtId="43" fontId="12" fillId="12" borderId="1" xfId="0" applyNumberFormat="1" applyFont="1" applyFill="1" applyBorder="1"/>
    <xf numFmtId="43" fontId="12" fillId="12" borderId="20" xfId="0" applyNumberFormat="1" applyFont="1" applyFill="1" applyBorder="1"/>
    <xf numFmtId="43" fontId="12" fillId="0" borderId="0" xfId="0" applyNumberFormat="1" applyFont="1"/>
    <xf numFmtId="43" fontId="12" fillId="12" borderId="8" xfId="0" applyNumberFormat="1" applyFont="1" applyFill="1" applyBorder="1"/>
    <xf numFmtId="164" fontId="12" fillId="0" borderId="16" xfId="0" applyNumberFormat="1" applyFont="1" applyBorder="1"/>
    <xf numFmtId="43" fontId="12" fillId="12" borderId="40" xfId="0" applyNumberFormat="1" applyFont="1" applyFill="1" applyBorder="1"/>
    <xf numFmtId="43" fontId="12" fillId="12" borderId="21" xfId="0" applyNumberFormat="1" applyFont="1" applyFill="1" applyBorder="1"/>
    <xf numFmtId="0" fontId="13" fillId="2" borderId="1" xfId="0" applyFont="1" applyFill="1" applyBorder="1"/>
    <xf numFmtId="0" fontId="13" fillId="2" borderId="1" xfId="0" applyFont="1" applyFill="1" applyBorder="1" applyAlignment="1">
      <alignment horizontal="right"/>
    </xf>
    <xf numFmtId="164" fontId="12" fillId="11" borderId="1" xfId="0" applyNumberFormat="1" applyFont="1" applyFill="1" applyBorder="1" applyAlignment="1">
      <alignment wrapText="1"/>
    </xf>
    <xf numFmtId="164" fontId="20" fillId="12" borderId="1" xfId="0" applyNumberFormat="1" applyFont="1" applyFill="1" applyBorder="1"/>
    <xf numFmtId="0" fontId="24" fillId="0" borderId="0" xfId="0" applyFont="1"/>
    <xf numFmtId="164" fontId="24" fillId="12" borderId="1" xfId="0" applyNumberFormat="1" applyFont="1" applyFill="1" applyBorder="1"/>
    <xf numFmtId="43" fontId="20" fillId="12" borderId="1" xfId="0" applyNumberFormat="1" applyFont="1" applyFill="1" applyBorder="1"/>
    <xf numFmtId="172" fontId="12" fillId="11" borderId="1" xfId="0" applyNumberFormat="1" applyFont="1" applyFill="1" applyBorder="1"/>
    <xf numFmtId="43" fontId="12" fillId="12" borderId="34" xfId="0" applyNumberFormat="1" applyFont="1" applyFill="1" applyBorder="1"/>
    <xf numFmtId="0" fontId="13" fillId="10" borderId="1" xfId="0" applyFont="1" applyFill="1" applyBorder="1" applyAlignment="1">
      <alignment horizontal="right"/>
    </xf>
    <xf numFmtId="14" fontId="12" fillId="0" borderId="44" xfId="0" applyNumberFormat="1" applyFont="1" applyBorder="1"/>
    <xf numFmtId="0" fontId="12" fillId="10" borderId="1" xfId="0" applyFont="1" applyFill="1" applyBorder="1"/>
    <xf numFmtId="164" fontId="12" fillId="10" borderId="1" xfId="0" applyNumberFormat="1" applyFont="1" applyFill="1" applyBorder="1"/>
    <xf numFmtId="10" fontId="12" fillId="11" borderId="1" xfId="0" applyNumberFormat="1" applyFont="1" applyFill="1" applyBorder="1"/>
    <xf numFmtId="10" fontId="10" fillId="0" borderId="0" xfId="1" applyNumberFormat="1" applyFont="1"/>
    <xf numFmtId="43" fontId="10" fillId="5" borderId="1" xfId="0" applyNumberFormat="1" applyFont="1" applyFill="1" applyBorder="1"/>
    <xf numFmtId="43" fontId="0" fillId="0" borderId="0" xfId="0" applyNumberFormat="1"/>
    <xf numFmtId="173" fontId="10" fillId="4" borderId="27" xfId="0" applyNumberFormat="1" applyFont="1" applyFill="1" applyBorder="1" applyAlignment="1">
      <alignment horizontal="center"/>
    </xf>
    <xf numFmtId="0" fontId="4" fillId="0" borderId="0" xfId="0" applyFont="1"/>
    <xf numFmtId="166" fontId="11" fillId="4" borderId="1" xfId="0" applyNumberFormat="1" applyFont="1" applyFill="1" applyBorder="1"/>
    <xf numFmtId="0" fontId="3" fillId="0" borderId="0" xfId="0" applyFont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43" fontId="0" fillId="0" borderId="0" xfId="2" applyFont="1"/>
    <xf numFmtId="10" fontId="0" fillId="0" borderId="0" xfId="0" applyNumberFormat="1"/>
    <xf numFmtId="0" fontId="0" fillId="13" borderId="48" xfId="0" applyFill="1" applyBorder="1"/>
    <xf numFmtId="0" fontId="0" fillId="13" borderId="0" xfId="0" applyFill="1"/>
    <xf numFmtId="0" fontId="27" fillId="14" borderId="52" xfId="0" applyFont="1" applyFill="1" applyBorder="1"/>
    <xf numFmtId="0" fontId="0" fillId="15" borderId="0" xfId="0" applyFill="1"/>
    <xf numFmtId="1" fontId="0" fillId="0" borderId="0" xfId="0" applyNumberFormat="1"/>
    <xf numFmtId="0" fontId="0" fillId="13" borderId="53" xfId="0" applyFill="1" applyBorder="1"/>
    <xf numFmtId="0" fontId="0" fillId="0" borderId="43" xfId="0" applyBorder="1"/>
    <xf numFmtId="0" fontId="0" fillId="16" borderId="0" xfId="0" applyFill="1"/>
    <xf numFmtId="1" fontId="0" fillId="16" borderId="0" xfId="0" applyNumberFormat="1" applyFill="1"/>
    <xf numFmtId="1" fontId="0" fillId="16" borderId="0" xfId="2" applyNumberFormat="1" applyFont="1" applyFill="1"/>
    <xf numFmtId="0" fontId="2" fillId="0" borderId="0" xfId="0" applyFont="1"/>
    <xf numFmtId="168" fontId="12" fillId="17" borderId="20" xfId="0" applyNumberFormat="1" applyFont="1" applyFill="1" applyBorder="1"/>
    <xf numFmtId="168" fontId="12" fillId="17" borderId="0" xfId="0" applyNumberFormat="1" applyFont="1" applyFill="1"/>
    <xf numFmtId="164" fontId="12" fillId="17" borderId="0" xfId="0" applyNumberFormat="1" applyFont="1" applyFill="1"/>
    <xf numFmtId="168" fontId="12" fillId="17" borderId="0" xfId="0" applyNumberFormat="1" applyFont="1" applyFill="1" applyAlignment="1">
      <alignment horizontal="center"/>
    </xf>
    <xf numFmtId="168" fontId="12" fillId="18" borderId="0" xfId="0" applyNumberFormat="1" applyFont="1" applyFill="1"/>
    <xf numFmtId="168" fontId="12" fillId="18" borderId="19" xfId="0" applyNumberFormat="1" applyFont="1" applyFill="1" applyBorder="1"/>
    <xf numFmtId="3" fontId="12" fillId="0" borderId="0" xfId="0" applyNumberFormat="1" applyFont="1"/>
    <xf numFmtId="3" fontId="28" fillId="0" borderId="0" xfId="0" applyNumberFormat="1" applyFont="1"/>
    <xf numFmtId="0" fontId="1" fillId="0" borderId="0" xfId="0" applyFont="1"/>
    <xf numFmtId="0" fontId="29" fillId="0" borderId="0" xfId="0" applyFont="1"/>
    <xf numFmtId="166" fontId="0" fillId="0" borderId="0" xfId="0" applyNumberFormat="1"/>
    <xf numFmtId="164" fontId="10" fillId="0" borderId="43" xfId="0" applyNumberFormat="1" applyFont="1" applyBorder="1"/>
    <xf numFmtId="0" fontId="10" fillId="0" borderId="43" xfId="0" applyFont="1" applyBorder="1"/>
    <xf numFmtId="0" fontId="6" fillId="2" borderId="54" xfId="0" applyFont="1" applyFill="1" applyBorder="1"/>
    <xf numFmtId="0" fontId="6" fillId="2" borderId="55" xfId="0" applyFont="1" applyFill="1" applyBorder="1"/>
    <xf numFmtId="0" fontId="10" fillId="0" borderId="55" xfId="0" applyFont="1" applyBorder="1"/>
    <xf numFmtId="0" fontId="10" fillId="0" borderId="56" xfId="0" applyFont="1" applyBorder="1"/>
    <xf numFmtId="0" fontId="10" fillId="0" borderId="57" xfId="0" applyFont="1" applyBorder="1"/>
    <xf numFmtId="0" fontId="10" fillId="0" borderId="58" xfId="0" applyFont="1" applyBorder="1"/>
    <xf numFmtId="169" fontId="10" fillId="0" borderId="58" xfId="0" applyNumberFormat="1" applyFont="1" applyBorder="1"/>
    <xf numFmtId="0" fontId="10" fillId="0" borderId="59" xfId="0" applyFont="1" applyBorder="1"/>
    <xf numFmtId="0" fontId="10" fillId="0" borderId="60" xfId="0" applyFont="1" applyBorder="1"/>
    <xf numFmtId="0" fontId="10" fillId="0" borderId="61" xfId="0" applyFont="1" applyBorder="1"/>
    <xf numFmtId="172" fontId="10" fillId="0" borderId="60" xfId="0" applyNumberFormat="1" applyFont="1" applyBorder="1"/>
    <xf numFmtId="172" fontId="11" fillId="4" borderId="1" xfId="0" applyNumberFormat="1" applyFont="1" applyFill="1" applyBorder="1"/>
    <xf numFmtId="166" fontId="0" fillId="0" borderId="0" xfId="2" applyNumberFormat="1" applyFont="1"/>
    <xf numFmtId="166" fontId="0" fillId="16" borderId="0" xfId="0" applyNumberFormat="1" applyFill="1"/>
    <xf numFmtId="0" fontId="13" fillId="2" borderId="9" xfId="0" applyFont="1" applyFill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  <xf numFmtId="0" fontId="10" fillId="0" borderId="0" xfId="0" applyFont="1" applyAlignment="1">
      <alignment horizontal="center"/>
    </xf>
    <xf numFmtId="0" fontId="0" fillId="0" borderId="0" xfId="0"/>
    <xf numFmtId="0" fontId="10" fillId="0" borderId="0" xfId="0" applyFont="1" applyAlignment="1">
      <alignment horizontal="center" wrapText="1"/>
    </xf>
    <xf numFmtId="0" fontId="8" fillId="2" borderId="2" xfId="0" applyFont="1" applyFill="1" applyBorder="1" applyAlignment="1">
      <alignment horizontal="center"/>
    </xf>
    <xf numFmtId="0" fontId="9" fillId="0" borderId="3" xfId="0" applyFont="1" applyBorder="1"/>
    <xf numFmtId="0" fontId="8" fillId="2" borderId="4" xfId="0" applyFont="1" applyFill="1" applyBorder="1" applyAlignment="1">
      <alignment horizontal="center" wrapText="1"/>
    </xf>
    <xf numFmtId="0" fontId="9" fillId="0" borderId="5" xfId="0" applyFont="1" applyBorder="1"/>
    <xf numFmtId="0" fontId="10" fillId="4" borderId="4" xfId="0" applyFont="1" applyFill="1" applyBorder="1" applyAlignment="1">
      <alignment horizontal="center" wrapText="1"/>
    </xf>
    <xf numFmtId="0" fontId="10" fillId="4" borderId="2" xfId="0" applyFont="1" applyFill="1" applyBorder="1" applyAlignment="1">
      <alignment horizontal="center"/>
    </xf>
    <xf numFmtId="0" fontId="9" fillId="0" borderId="23" xfId="0" applyFont="1" applyBorder="1"/>
    <xf numFmtId="0" fontId="10" fillId="4" borderId="2" xfId="0" applyFont="1" applyFill="1" applyBorder="1" applyAlignment="1">
      <alignment horizontal="center" wrapText="1"/>
    </xf>
    <xf numFmtId="0" fontId="12" fillId="0" borderId="0" xfId="0" applyFont="1" applyAlignment="1">
      <alignment horizontal="center"/>
    </xf>
    <xf numFmtId="0" fontId="19" fillId="0" borderId="38" xfId="0" applyFont="1" applyBorder="1" applyAlignment="1">
      <alignment horizontal="center" wrapText="1"/>
    </xf>
    <xf numFmtId="0" fontId="19" fillId="0" borderId="39" xfId="0" applyFont="1" applyBorder="1" applyAlignment="1">
      <alignment horizontal="center" wrapText="1"/>
    </xf>
    <xf numFmtId="0" fontId="9" fillId="0" borderId="14" xfId="0" applyFont="1" applyBorder="1"/>
    <xf numFmtId="0" fontId="19" fillId="0" borderId="0" xfId="0" applyFont="1" applyAlignment="1">
      <alignment horizontal="center" wrapText="1"/>
    </xf>
    <xf numFmtId="164" fontId="12" fillId="11" borderId="41" xfId="0" applyNumberFormat="1" applyFont="1" applyFill="1" applyBorder="1" applyAlignment="1">
      <alignment horizontal="center"/>
    </xf>
    <xf numFmtId="0" fontId="9" fillId="0" borderId="42" xfId="0" applyFont="1" applyBorder="1"/>
    <xf numFmtId="0" fontId="9" fillId="0" borderId="43" xfId="0" applyFont="1" applyBorder="1"/>
    <xf numFmtId="0" fontId="27" fillId="14" borderId="0" xfId="0" applyFont="1" applyFill="1" applyAlignment="1">
      <alignment horizontal="center"/>
    </xf>
    <xf numFmtId="0" fontId="27" fillId="14" borderId="51" xfId="0" applyFont="1" applyFill="1" applyBorder="1" applyAlignment="1">
      <alignment horizontal="center"/>
    </xf>
    <xf numFmtId="0" fontId="27" fillId="14" borderId="50" xfId="0" applyFont="1" applyFill="1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16535433070865"/>
          <c:y val="0.14393518518518519"/>
          <c:w val="0.69516797900262473"/>
          <c:h val="0.77181357538640982"/>
        </c:manualLayout>
      </c:layout>
      <c:barChart>
        <c:barDir val="bar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E9-4C9C-AD2D-F6A9B7A08A6C}"/>
                </c:ext>
              </c:extLst>
            </c:dLbl>
            <c:dLbl>
              <c:idx val="8"/>
              <c:layout>
                <c:manualLayout>
                  <c:x val="5.5620120712768166E-2"/>
                  <c:y val="-3.3935716554816406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AE0-46CE-9869-8ADE964D94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'Outputsheet(FF)'!$C$3:$C$11</c:f>
              <c:strCache>
                <c:ptCount val="9"/>
                <c:pt idx="0">
                  <c:v>Perpetual Growth</c:v>
                </c:pt>
                <c:pt idx="1">
                  <c:v>EXIT MULTIPLE</c:v>
                </c:pt>
                <c:pt idx="2">
                  <c:v>EV/EBITDA</c:v>
                </c:pt>
                <c:pt idx="3">
                  <c:v>EV/EBIT</c:v>
                </c:pt>
                <c:pt idx="4">
                  <c:v>EV/SALES</c:v>
                </c:pt>
                <c:pt idx="5">
                  <c:v>P/E</c:v>
                </c:pt>
                <c:pt idx="6">
                  <c:v>Market Consensus</c:v>
                </c:pt>
                <c:pt idx="7">
                  <c:v>52 week range</c:v>
                </c:pt>
                <c:pt idx="8">
                  <c:v>Unaffected Price</c:v>
                </c:pt>
              </c:strCache>
            </c:strRef>
          </c:cat>
          <c:val>
            <c:numRef>
              <c:f>'Outputsheet(FF)'!$D$3:$D$11</c:f>
              <c:numCache>
                <c:formatCode>0.0</c:formatCode>
                <c:ptCount val="9"/>
                <c:pt idx="0">
                  <c:v>54.9</c:v>
                </c:pt>
                <c:pt idx="1">
                  <c:v>119</c:v>
                </c:pt>
                <c:pt idx="2">
                  <c:v>26.938416075621589</c:v>
                </c:pt>
                <c:pt idx="3">
                  <c:v>41.1313545871595</c:v>
                </c:pt>
                <c:pt idx="4">
                  <c:v>86.119562276330299</c:v>
                </c:pt>
                <c:pt idx="5">
                  <c:v>39.107809914926889</c:v>
                </c:pt>
                <c:pt idx="6">
                  <c:v>40</c:v>
                </c:pt>
                <c:pt idx="7">
                  <c:v>52.5</c:v>
                </c:pt>
                <c:pt idx="8">
                  <c:v>54.32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9-4C9C-AD2D-F6A9B7A08A6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'Outputsheet(FF)'!$C$3:$C$11</c:f>
              <c:strCache>
                <c:ptCount val="9"/>
                <c:pt idx="0">
                  <c:v>Perpetual Growth</c:v>
                </c:pt>
                <c:pt idx="1">
                  <c:v>EXIT MULTIPLE</c:v>
                </c:pt>
                <c:pt idx="2">
                  <c:v>EV/EBITDA</c:v>
                </c:pt>
                <c:pt idx="3">
                  <c:v>EV/EBIT</c:v>
                </c:pt>
                <c:pt idx="4">
                  <c:v>EV/SALES</c:v>
                </c:pt>
                <c:pt idx="5">
                  <c:v>P/E</c:v>
                </c:pt>
                <c:pt idx="6">
                  <c:v>Market Consensus</c:v>
                </c:pt>
                <c:pt idx="7">
                  <c:v>52 week range</c:v>
                </c:pt>
                <c:pt idx="8">
                  <c:v>Unaffected Price</c:v>
                </c:pt>
              </c:strCache>
            </c:strRef>
          </c:cat>
          <c:val>
            <c:numRef>
              <c:f>'Outputsheet(FF)'!$E$3:$E$11</c:f>
              <c:numCache>
                <c:formatCode>0.0</c:formatCode>
                <c:ptCount val="9"/>
                <c:pt idx="0">
                  <c:v>17.000000000000007</c:v>
                </c:pt>
                <c:pt idx="1">
                  <c:v>14.199999999999989</c:v>
                </c:pt>
                <c:pt idx="2">
                  <c:v>5.4527314826986242</c:v>
                </c:pt>
                <c:pt idx="3">
                  <c:v>5.3308394691737533</c:v>
                </c:pt>
                <c:pt idx="4">
                  <c:v>15.328218955656155</c:v>
                </c:pt>
                <c:pt idx="5">
                  <c:v>8.6906244255393119</c:v>
                </c:pt>
                <c:pt idx="6">
                  <c:v>80</c:v>
                </c:pt>
                <c:pt idx="7">
                  <c:v>45.540000000000006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9-4C9C-AD2D-F6A9B7A08A6C}"/>
            </c:ext>
          </c:extLst>
        </c:ser>
        <c:ser>
          <c:idx val="2"/>
          <c:order val="2"/>
          <c:spPr>
            <a:noFill/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-0.12164495197473178"/>
                  <c:y val="-3.3935716554816406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CAE0-46CE-9869-8ADE964D94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'Outputsheet(FF)'!$C$3:$C$11</c:f>
              <c:strCache>
                <c:ptCount val="9"/>
                <c:pt idx="0">
                  <c:v>Perpetual Growth</c:v>
                </c:pt>
                <c:pt idx="1">
                  <c:v>EXIT MULTIPLE</c:v>
                </c:pt>
                <c:pt idx="2">
                  <c:v>EV/EBITDA</c:v>
                </c:pt>
                <c:pt idx="3">
                  <c:v>EV/EBIT</c:v>
                </c:pt>
                <c:pt idx="4">
                  <c:v>EV/SALES</c:v>
                </c:pt>
                <c:pt idx="5">
                  <c:v>P/E</c:v>
                </c:pt>
                <c:pt idx="6">
                  <c:v>Market Consensus</c:v>
                </c:pt>
                <c:pt idx="7">
                  <c:v>52 week range</c:v>
                </c:pt>
                <c:pt idx="8">
                  <c:v>Unaffected Price</c:v>
                </c:pt>
              </c:strCache>
            </c:strRef>
          </c:cat>
          <c:val>
            <c:numRef>
              <c:f>'Outputsheet(FF)'!$F$3:$F$11</c:f>
              <c:numCache>
                <c:formatCode>0.0</c:formatCode>
                <c:ptCount val="9"/>
                <c:pt idx="0">
                  <c:v>71.900000000000006</c:v>
                </c:pt>
                <c:pt idx="1">
                  <c:v>133.19999999999999</c:v>
                </c:pt>
                <c:pt idx="2">
                  <c:v>32.391147558320213</c:v>
                </c:pt>
                <c:pt idx="3">
                  <c:v>46.462194056333253</c:v>
                </c:pt>
                <c:pt idx="4">
                  <c:v>101.44778123198645</c:v>
                </c:pt>
                <c:pt idx="5">
                  <c:v>47.798434340466201</c:v>
                </c:pt>
                <c:pt idx="6">
                  <c:v>120</c:v>
                </c:pt>
                <c:pt idx="7">
                  <c:v>98.04</c:v>
                </c:pt>
                <c:pt idx="8">
                  <c:v>54.32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E9-4C9C-AD2D-F6A9B7A08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578879"/>
        <c:axId val="2011580543"/>
      </c:barChart>
      <c:catAx>
        <c:axId val="2011578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80543"/>
        <c:crosses val="autoZero"/>
        <c:auto val="1"/>
        <c:lblAlgn val="ctr"/>
        <c:lblOffset val="100"/>
        <c:noMultiLvlLbl val="0"/>
      </c:catAx>
      <c:valAx>
        <c:axId val="2011580543"/>
        <c:scaling>
          <c:orientation val="minMax"/>
          <c:max val="150"/>
          <c:min val="15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7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2</xdr:row>
      <xdr:rowOff>123825</xdr:rowOff>
    </xdr:from>
    <xdr:ext cx="152400" cy="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</xdr:row>
      <xdr:rowOff>123825</xdr:rowOff>
    </xdr:from>
    <xdr:ext cx="15240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2</xdr:row>
      <xdr:rowOff>123825</xdr:rowOff>
    </xdr:from>
    <xdr:ext cx="152400" cy="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</xdr:row>
      <xdr:rowOff>123825</xdr:rowOff>
    </xdr:from>
    <xdr:ext cx="15240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17</xdr:col>
      <xdr:colOff>0</xdr:colOff>
      <xdr:row>56</xdr:row>
      <xdr:rowOff>0</xdr:rowOff>
    </xdr:from>
    <xdr:to>
      <xdr:col>29</xdr:col>
      <xdr:colOff>314325</xdr:colOff>
      <xdr:row>85</xdr:row>
      <xdr:rowOff>111538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0" y="111442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40</xdr:col>
      <xdr:colOff>438150</xdr:colOff>
      <xdr:row>85</xdr:row>
      <xdr:rowOff>111538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26950" y="11144250"/>
          <a:ext cx="10058400" cy="56550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2</xdr:row>
      <xdr:rowOff>123825</xdr:rowOff>
    </xdr:from>
    <xdr:ext cx="152400" cy="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43725" y="52387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10125" y="2028825"/>
          <a:ext cx="9525" cy="47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</xdr:row>
      <xdr:rowOff>123825</xdr:rowOff>
    </xdr:from>
    <xdr:ext cx="15240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43725" y="52387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10125" y="2028825"/>
          <a:ext cx="9525" cy="476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17</xdr:col>
      <xdr:colOff>0</xdr:colOff>
      <xdr:row>56</xdr:row>
      <xdr:rowOff>0</xdr:rowOff>
    </xdr:from>
    <xdr:to>
      <xdr:col>29</xdr:col>
      <xdr:colOff>326335</xdr:colOff>
      <xdr:row>86</xdr:row>
      <xdr:rowOff>91935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022" y="10808804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40</xdr:col>
      <xdr:colOff>395356</xdr:colOff>
      <xdr:row>86</xdr:row>
      <xdr:rowOff>91935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37391" y="10808804"/>
          <a:ext cx="10058400" cy="565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2</xdr:row>
      <xdr:rowOff>123825</xdr:rowOff>
    </xdr:from>
    <xdr:ext cx="152400" cy="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</xdr:row>
      <xdr:rowOff>123825</xdr:rowOff>
    </xdr:from>
    <xdr:ext cx="15240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19</xdr:col>
      <xdr:colOff>0</xdr:colOff>
      <xdr:row>56</xdr:row>
      <xdr:rowOff>0</xdr:rowOff>
    </xdr:from>
    <xdr:to>
      <xdr:col>28</xdr:col>
      <xdr:colOff>247958</xdr:colOff>
      <xdr:row>95</xdr:row>
      <xdr:rowOff>49823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5269" y="11400692"/>
          <a:ext cx="7780035" cy="77724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</xdr:row>
      <xdr:rowOff>0</xdr:rowOff>
    </xdr:from>
    <xdr:to>
      <xdr:col>37</xdr:col>
      <xdr:colOff>668689</xdr:colOff>
      <xdr:row>94</xdr:row>
      <xdr:rowOff>170325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3808" y="11400692"/>
          <a:ext cx="8640381" cy="76877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2</xdr:row>
      <xdr:rowOff>123825</xdr:rowOff>
    </xdr:from>
    <xdr:ext cx="152400" cy="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</xdr:row>
      <xdr:rowOff>123825</xdr:rowOff>
    </xdr:from>
    <xdr:ext cx="152400" cy="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24700" y="520065"/>
          <a:ext cx="152400" cy="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10</xdr:row>
      <xdr:rowOff>28575</xdr:rowOff>
    </xdr:from>
    <xdr:ext cx="9525" cy="47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41570" y="2009775"/>
          <a:ext cx="9525" cy="476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18</xdr:col>
      <xdr:colOff>488830</xdr:colOff>
      <xdr:row>51</xdr:row>
      <xdr:rowOff>172529</xdr:rowOff>
    </xdr:from>
    <xdr:to>
      <xdr:col>28</xdr:col>
      <xdr:colOff>206998</xdr:colOff>
      <xdr:row>91</xdr:row>
      <xdr:rowOff>166778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7585" y="10351699"/>
          <a:ext cx="8028281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934527</xdr:colOff>
      <xdr:row>50</xdr:row>
      <xdr:rowOff>186906</xdr:rowOff>
    </xdr:from>
    <xdr:to>
      <xdr:col>36</xdr:col>
      <xdr:colOff>770625</xdr:colOff>
      <xdr:row>94</xdr:row>
      <xdr:rowOff>7326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3395" y="10164793"/>
          <a:ext cx="7772400" cy="84037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58614</xdr:colOff>
      <xdr:row>1</xdr:row>
      <xdr:rowOff>55684</xdr:rowOff>
    </xdr:from>
    <xdr:to>
      <xdr:col>16</xdr:col>
      <xdr:colOff>133349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</xdr:colOff>
      <xdr:row>3</xdr:row>
      <xdr:rowOff>152400</xdr:rowOff>
    </xdr:from>
    <xdr:to>
      <xdr:col>10</xdr:col>
      <xdr:colOff>60081</xdr:colOff>
      <xdr:row>17</xdr:row>
      <xdr:rowOff>112101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CxnSpPr/>
      </xdr:nvCxnSpPr>
      <xdr:spPr>
        <a:xfrm>
          <a:off x="7553325" y="723900"/>
          <a:ext cx="31506" cy="2626701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</xdr:colOff>
      <xdr:row>4</xdr:row>
      <xdr:rowOff>19050</xdr:rowOff>
    </xdr:from>
    <xdr:to>
      <xdr:col>11</xdr:col>
      <xdr:colOff>174380</xdr:colOff>
      <xdr:row>17</xdr:row>
      <xdr:rowOff>99647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8267700" y="781050"/>
          <a:ext cx="41030" cy="2557097"/>
        </a:xfrm>
        <a:prstGeom prst="line">
          <a:avLst/>
        </a:prstGeom>
        <a:ln w="9525">
          <a:solidFill>
            <a:schemeClr val="accent6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4</xdr:row>
      <xdr:rowOff>19050</xdr:rowOff>
    </xdr:from>
    <xdr:to>
      <xdr:col>15</xdr:col>
      <xdr:colOff>57882</xdr:colOff>
      <xdr:row>17</xdr:row>
      <xdr:rowOff>65210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0591800" y="781050"/>
          <a:ext cx="38832" cy="252266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yush/Downloads/Trading%20Comps%20Output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Yum!%20Brand%20EER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"/>
      <sheetName val="Output"/>
      <sheetName val="Input"/>
      <sheetName val="Pepsico"/>
      <sheetName val="Hershey"/>
      <sheetName val="KDP"/>
      <sheetName val="CampbellSoup"/>
      <sheetName val="KraftHeinz"/>
      <sheetName val="Mondelez"/>
      <sheetName val="GeneralMills"/>
      <sheetName val="Kellogg"/>
      <sheetName val="Constellation"/>
      <sheetName val="HormelFoods"/>
    </sheetNames>
    <sheetDataSet>
      <sheetData sheetId="0">
        <row r="6">
          <cell r="C6">
            <v>0.1</v>
          </cell>
        </row>
      </sheetData>
      <sheetData sheetId="1">
        <row r="11">
          <cell r="B11" t="str">
            <v>F10</v>
          </cell>
          <cell r="D11" t="str">
            <v>F33</v>
          </cell>
          <cell r="E11" t="str">
            <v>F18</v>
          </cell>
          <cell r="F11" t="str">
            <v>F32</v>
          </cell>
          <cell r="G11" t="str">
            <v>K59</v>
          </cell>
          <cell r="H11" t="str">
            <v>K65</v>
          </cell>
          <cell r="I11" t="str">
            <v>K63</v>
          </cell>
          <cell r="J11" t="str">
            <v>K74</v>
          </cell>
          <cell r="L11" t="str">
            <v>L59</v>
          </cell>
          <cell r="M11" t="str">
            <v>L65</v>
          </cell>
          <cell r="N11" t="str">
            <v>L63</v>
          </cell>
          <cell r="O11" t="str">
            <v>L74</v>
          </cell>
          <cell r="Q11" t="str">
            <v>M59</v>
          </cell>
          <cell r="R11" t="str">
            <v>M65</v>
          </cell>
          <cell r="S11" t="str">
            <v>M63</v>
          </cell>
          <cell r="T11" t="str">
            <v>M74</v>
          </cell>
          <cell r="U11" t="str">
            <v>P65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enue Build-UP"/>
      <sheetName val="Income Statment"/>
      <sheetName val="Balance Sheet"/>
      <sheetName val="Cash Flow Statment "/>
      <sheetName val="Debt Sch."/>
      <sheetName val="Fixed Assets Sch."/>
      <sheetName val="Scheduel"/>
      <sheetName val="DCF"/>
      <sheetName val="Relative Analysis"/>
      <sheetName val="Yum! Brand Dilution"/>
      <sheetName val="BETA"/>
      <sheetName val="WACC"/>
      <sheetName val="Output"/>
      <sheetName val="For Graph"/>
      <sheetName val="Wendys"/>
      <sheetName val="Starbucks"/>
      <sheetName val="Cheesecakefactory"/>
      <sheetName val="Darden"/>
      <sheetName val="CrackerBarrelOldCountryStore"/>
      <sheetName val="Texasroadhouse"/>
      <sheetName val="BrinkerInternational"/>
      <sheetName val="Chipotle"/>
      <sheetName val="Football Field"/>
      <sheetName val="Dupont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5">
          <cell r="C15">
            <v>19.48</v>
          </cell>
        </row>
        <row r="16">
          <cell r="C16">
            <v>203.84508500000001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998"/>
  <sheetViews>
    <sheetView showGridLines="0" tabSelected="1" zoomScale="70" zoomScaleNormal="70" workbookViewId="0">
      <selection activeCell="K43" sqref="K43"/>
    </sheetView>
  </sheetViews>
  <sheetFormatPr defaultColWidth="14.42578125" defaultRowHeight="15" customHeight="1"/>
  <cols>
    <col min="1" max="1" width="14.5703125" customWidth="1"/>
    <col min="2" max="12" width="12.5703125" customWidth="1"/>
    <col min="13" max="13" width="14.140625" customWidth="1"/>
    <col min="14" max="14" width="17.85546875" customWidth="1"/>
    <col min="15" max="15" width="17.5703125" customWidth="1"/>
    <col min="16" max="16" width="15.5703125" customWidth="1"/>
    <col min="17" max="26" width="8.7109375" customWidth="1"/>
  </cols>
  <sheetData>
    <row r="1" spans="1:24" ht="14.25" customHeight="1"/>
    <row r="2" spans="1:24" ht="14.25" customHeight="1">
      <c r="A2" s="1" t="s">
        <v>0</v>
      </c>
      <c r="C2" s="2" t="s">
        <v>152</v>
      </c>
      <c r="G2" t="s">
        <v>10</v>
      </c>
      <c r="H2">
        <f>IF($G$2=Output!$F$19,1,IF($G$2=Output!$F$20,2,IF($G$2=Output!$F$21,3)))</f>
        <v>3</v>
      </c>
      <c r="W2" s="3" t="s">
        <v>1</v>
      </c>
      <c r="X2">
        <v>1</v>
      </c>
    </row>
    <row r="3" spans="1:24" ht="14.25" customHeight="1">
      <c r="W3" s="3" t="s">
        <v>2</v>
      </c>
      <c r="X3">
        <v>2</v>
      </c>
    </row>
    <row r="4" spans="1:24" ht="14.25" customHeight="1">
      <c r="B4" s="4"/>
      <c r="C4" s="202" t="s">
        <v>3</v>
      </c>
      <c r="D4" s="203"/>
      <c r="E4" s="202" t="s">
        <v>155</v>
      </c>
      <c r="F4" s="203"/>
      <c r="G4" s="204" t="s">
        <v>4</v>
      </c>
      <c r="H4" s="204" t="s">
        <v>5</v>
      </c>
      <c r="I4" s="204" t="s">
        <v>6</v>
      </c>
      <c r="J4" s="204" t="s">
        <v>7</v>
      </c>
      <c r="K4" s="204" t="s">
        <v>8</v>
      </c>
      <c r="L4" s="202" t="s">
        <v>156</v>
      </c>
      <c r="M4" s="203"/>
      <c r="N4" s="204" t="s">
        <v>9</v>
      </c>
      <c r="O4" s="202" t="s">
        <v>157</v>
      </c>
      <c r="P4" s="203"/>
      <c r="W4" s="3" t="s">
        <v>10</v>
      </c>
      <c r="X4">
        <v>3</v>
      </c>
    </row>
    <row r="5" spans="1:24" ht="14.25" customHeight="1">
      <c r="B5" s="4" t="s">
        <v>11</v>
      </c>
      <c r="C5" s="4" t="s">
        <v>12</v>
      </c>
      <c r="D5" s="4" t="s">
        <v>13</v>
      </c>
      <c r="E5" s="4" t="s">
        <v>12</v>
      </c>
      <c r="F5" s="4" t="s">
        <v>13</v>
      </c>
      <c r="G5" s="205"/>
      <c r="H5" s="205"/>
      <c r="I5" s="205"/>
      <c r="J5" s="205"/>
      <c r="K5" s="205"/>
      <c r="L5" s="4" t="s">
        <v>12</v>
      </c>
      <c r="M5" s="4" t="s">
        <v>13</v>
      </c>
      <c r="N5" s="205"/>
      <c r="O5" s="4" t="s">
        <v>12</v>
      </c>
      <c r="P5" s="4" t="s">
        <v>13</v>
      </c>
    </row>
    <row r="6" spans="1:24" ht="14.25" customHeight="1">
      <c r="B6" t="s">
        <v>40</v>
      </c>
      <c r="C6" s="5">
        <v>0.1</v>
      </c>
      <c r="D6" s="5">
        <v>0.1</v>
      </c>
      <c r="G6" s="6"/>
      <c r="H6" s="6"/>
      <c r="I6" s="6"/>
      <c r="J6" s="6"/>
      <c r="K6" s="6"/>
      <c r="N6" s="6"/>
    </row>
    <row r="7" spans="1:24" ht="14.25" customHeight="1">
      <c r="A7" s="3" t="s">
        <v>14</v>
      </c>
      <c r="B7" s="7">
        <f>B62</f>
        <v>7107</v>
      </c>
      <c r="C7" s="8">
        <f ca="1">CHOOSE($H$2,Output!$H$19,Output!$H$20,Output!$H$21)*(1-'Valuation '!$C$6)</f>
        <v>9.3246751876870757</v>
      </c>
      <c r="D7" s="8">
        <f ca="1">CHOOSE($H$2,Output!$H$19,Output!$H$20,Output!$H$21)*(1+'Valuation '!$C$6)</f>
        <v>11.396825229395315</v>
      </c>
      <c r="E7" s="9">
        <f ca="1">$B7*$C7</f>
        <v>66270.466558892047</v>
      </c>
      <c r="F7" s="9">
        <f ca="1">$B7*$D7</f>
        <v>80997.2369053125</v>
      </c>
      <c r="G7" s="10">
        <v>0</v>
      </c>
      <c r="H7" s="10">
        <v>7909</v>
      </c>
      <c r="I7" s="10">
        <v>0</v>
      </c>
      <c r="J7" s="10">
        <v>11582</v>
      </c>
      <c r="K7" s="10">
        <v>0</v>
      </c>
      <c r="L7" s="11">
        <f ca="1">E7+J7+K7-H7-I7-G7</f>
        <v>69943.466558892047</v>
      </c>
      <c r="M7" s="11">
        <f ca="1">F7-H7-G7-I7+J7+K7</f>
        <v>84670.2369053125</v>
      </c>
      <c r="N7" s="12">
        <f>$C$45</f>
        <v>1529.7</v>
      </c>
      <c r="O7" s="13">
        <f ca="1">L7/N7</f>
        <v>45.723649446879811</v>
      </c>
      <c r="P7" s="13">
        <f ca="1">M7/N7</f>
        <v>55.350877234302473</v>
      </c>
    </row>
    <row r="8" spans="1:24" ht="14.25" customHeight="1">
      <c r="A8" s="3" t="s">
        <v>15</v>
      </c>
      <c r="B8" s="7">
        <f>C62</f>
        <v>4339</v>
      </c>
      <c r="C8" s="8">
        <f ca="1">CHOOSE($H$2,Output!$M$19,Output!$M$20,Output!$M$21)*(1-'Valuation '!$C$6)</f>
        <v>8.6505404634428089</v>
      </c>
      <c r="D8" s="8">
        <f ca="1">CHOOSE($H$2,Output!$M$19,Output!$M$20,Output!$M$21)*(1+'Valuation '!$C$6)</f>
        <v>10.572882788652322</v>
      </c>
      <c r="E8" s="9">
        <f ca="1">$B8*$C8</f>
        <v>37534.695070878348</v>
      </c>
      <c r="F8" s="9">
        <f ca="1">$B8*$D8</f>
        <v>45875.738419962428</v>
      </c>
      <c r="G8" s="10">
        <v>0</v>
      </c>
      <c r="H8" s="10">
        <v>7909</v>
      </c>
      <c r="I8" s="10">
        <v>0</v>
      </c>
      <c r="J8" s="10">
        <v>11582</v>
      </c>
      <c r="K8" s="10">
        <v>0</v>
      </c>
      <c r="L8" s="11">
        <f ca="1">E8+J8+K8-H8-I8-G8</f>
        <v>41207.695070878348</v>
      </c>
      <c r="M8" s="11">
        <f ca="1">F8-H8-G8-I8+J8+K8</f>
        <v>49548.738419962428</v>
      </c>
      <c r="N8" s="12">
        <f>$C$45</f>
        <v>1529.7</v>
      </c>
      <c r="O8" s="13">
        <f ca="1">L8/N8</f>
        <v>26.938416075621589</v>
      </c>
      <c r="P8" s="13">
        <f ca="1">M8/N8</f>
        <v>32.391147558320213</v>
      </c>
    </row>
    <row r="9" spans="1:24" ht="14.25" customHeight="1">
      <c r="A9" s="3" t="s">
        <v>16</v>
      </c>
      <c r="B9" s="7">
        <f>D62</f>
        <v>4325</v>
      </c>
      <c r="C9" s="8">
        <f ca="1">CHOOSE($H$2,Output!$R$19,Output!$R$20,Output!$R$21)*(1-'Valuation '!$C$6)</f>
        <v>8.2226152726347834</v>
      </c>
      <c r="D9" s="8">
        <f ca="1">CHOOSE($H$2,Output!$R$19,Output!$R$20,Output!$R$21)*(1+'Valuation '!$C$6)</f>
        <v>10.04986311099807</v>
      </c>
      <c r="E9" s="9">
        <f ca="1">$B9*$C9</f>
        <v>35562.811054145437</v>
      </c>
      <c r="F9" s="9">
        <f ca="1">$B9*$D9</f>
        <v>43465.65795506665</v>
      </c>
      <c r="G9" s="10">
        <v>0</v>
      </c>
      <c r="H9" s="10">
        <v>7909</v>
      </c>
      <c r="I9" s="10">
        <v>0</v>
      </c>
      <c r="J9" s="10">
        <v>11582</v>
      </c>
      <c r="K9" s="10">
        <v>0</v>
      </c>
      <c r="L9" s="11">
        <f ca="1">E9+J9+K9-H9-I9-G9</f>
        <v>39235.811054145437</v>
      </c>
      <c r="M9" s="11">
        <f ca="1">F9-H9-G9-I9+J9+K9</f>
        <v>47138.65795506665</v>
      </c>
      <c r="N9" s="12">
        <f>$C$45</f>
        <v>1529.7</v>
      </c>
      <c r="O9" s="13">
        <f ca="1">L9/N9</f>
        <v>25.649350234781615</v>
      </c>
      <c r="P9" s="13">
        <f ca="1">M9/N9</f>
        <v>30.81562264173802</v>
      </c>
    </row>
    <row r="10" spans="1:24" ht="14.25" customHeight="1"/>
    <row r="11" spans="1:24" ht="14.25" customHeight="1">
      <c r="L11" s="148" t="s">
        <v>158</v>
      </c>
      <c r="O11" s="14">
        <f ca="1">MEDIAN(O7:O9)</f>
        <v>26.938416075621589</v>
      </c>
      <c r="P11" s="14">
        <f ca="1">MEDIAN(P7:P9)</f>
        <v>32.391147558320213</v>
      </c>
    </row>
    <row r="12" spans="1:24" ht="14.25" customHeight="1"/>
    <row r="13" spans="1:24" ht="14.25" customHeight="1">
      <c r="B13" s="4"/>
      <c r="C13" s="202" t="s">
        <v>3</v>
      </c>
      <c r="D13" s="203"/>
      <c r="E13" s="202" t="s">
        <v>155</v>
      </c>
      <c r="F13" s="203"/>
      <c r="G13" s="204" t="s">
        <v>4</v>
      </c>
      <c r="H13" s="204" t="s">
        <v>5</v>
      </c>
      <c r="I13" s="204" t="s">
        <v>6</v>
      </c>
      <c r="J13" s="204" t="s">
        <v>7</v>
      </c>
      <c r="K13" s="204" t="s">
        <v>8</v>
      </c>
      <c r="L13" s="202" t="s">
        <v>156</v>
      </c>
      <c r="M13" s="203"/>
      <c r="N13" s="204" t="s">
        <v>9</v>
      </c>
      <c r="O13" s="202" t="s">
        <v>157</v>
      </c>
      <c r="P13" s="203"/>
    </row>
    <row r="14" spans="1:24" ht="14.25" customHeight="1">
      <c r="B14" s="4" t="s">
        <v>11</v>
      </c>
      <c r="C14" s="4" t="s">
        <v>12</v>
      </c>
      <c r="D14" s="4" t="s">
        <v>13</v>
      </c>
      <c r="E14" s="4" t="s">
        <v>12</v>
      </c>
      <c r="F14" s="4" t="s">
        <v>13</v>
      </c>
      <c r="G14" s="205"/>
      <c r="H14" s="205"/>
      <c r="I14" s="205"/>
      <c r="J14" s="205"/>
      <c r="K14" s="205"/>
      <c r="L14" s="4" t="s">
        <v>12</v>
      </c>
      <c r="M14" s="4" t="s">
        <v>13</v>
      </c>
      <c r="N14" s="205"/>
      <c r="O14" s="4" t="s">
        <v>12</v>
      </c>
      <c r="P14" s="4" t="s">
        <v>13</v>
      </c>
    </row>
    <row r="15" spans="1:24" ht="14.25" customHeight="1">
      <c r="B15" t="s">
        <v>41</v>
      </c>
      <c r="C15" s="5">
        <v>0.1</v>
      </c>
      <c r="D15" s="5">
        <v>0.1</v>
      </c>
      <c r="G15" s="6"/>
      <c r="H15" s="6"/>
      <c r="I15" s="6"/>
      <c r="J15" s="6"/>
      <c r="K15" s="6"/>
      <c r="N15" s="6"/>
    </row>
    <row r="16" spans="1:24" ht="14.25" customHeight="1">
      <c r="A16" s="3" t="s">
        <v>17</v>
      </c>
      <c r="B16" s="7">
        <f>B63</f>
        <v>6311</v>
      </c>
      <c r="C16" s="8">
        <f ca="1">CHOOSE($H$2,Output!$I$19,Output!$I$20,Output!$I$21)*(1-'Valuation '!$C$15)</f>
        <v>10.301178172697872</v>
      </c>
      <c r="D16" s="8">
        <f ca="1">CHOOSE($H$2,Output!$I$19,Output!$I$20,Output!$I$21)*(1+'Valuation '!$C$15)</f>
        <v>12.590328877741843</v>
      </c>
      <c r="E16" s="9">
        <f ca="1">B16*C16</f>
        <v>65010.735447896273</v>
      </c>
      <c r="F16" s="9">
        <f ca="1">B16*D16</f>
        <v>79457.565547428778</v>
      </c>
      <c r="G16" s="10">
        <f>G$7</f>
        <v>0</v>
      </c>
      <c r="H16" s="10">
        <f>H$7</f>
        <v>7909</v>
      </c>
      <c r="I16" s="10">
        <f>I$7</f>
        <v>0</v>
      </c>
      <c r="J16" s="10">
        <f>J$7</f>
        <v>11582</v>
      </c>
      <c r="K16" s="10">
        <f>1867+1263+19262+158</f>
        <v>22550</v>
      </c>
      <c r="L16" s="11">
        <f ca="1">E16+J16+K16-H16-I16-G16</f>
        <v>91233.735447896266</v>
      </c>
      <c r="M16" s="11">
        <f ca="1">F16-H16-G16-I16+J16+K16</f>
        <v>105680.56554742878</v>
      </c>
      <c r="N16" s="12">
        <f>$C$45</f>
        <v>1529.7</v>
      </c>
      <c r="O16" s="13">
        <f ca="1">L16/N16</f>
        <v>59.641586878405086</v>
      </c>
      <c r="P16" s="13">
        <f ca="1">M16/N16</f>
        <v>69.085811301188969</v>
      </c>
    </row>
    <row r="17" spans="1:16" ht="14.25" customHeight="1">
      <c r="A17" s="3" t="s">
        <v>18</v>
      </c>
      <c r="B17" s="7">
        <f>C63</f>
        <v>3543</v>
      </c>
      <c r="C17" s="8">
        <f ca="1">CHOOSE($H$2,Output!$N$19,Output!$N$20,Output!$N$21)*(1-'Valuation '!$C$15)</f>
        <v>10.357220748511965</v>
      </c>
      <c r="D17" s="8">
        <f ca="1">CHOOSE($H$2,Output!$N$19,Output!$N$20,Output!$N$21)*(1+'Valuation '!$C$15)</f>
        <v>12.658825359292402</v>
      </c>
      <c r="E17" s="9">
        <f ca="1">B17*C17</f>
        <v>36695.633111977892</v>
      </c>
      <c r="F17" s="9">
        <f ca="1">B17*D17</f>
        <v>44850.218247972982</v>
      </c>
      <c r="G17" s="10">
        <f t="shared" ref="G17:J18" si="0">G16</f>
        <v>0</v>
      </c>
      <c r="H17" s="10">
        <f t="shared" si="0"/>
        <v>7909</v>
      </c>
      <c r="I17" s="10">
        <f t="shared" si="0"/>
        <v>0</v>
      </c>
      <c r="J17" s="10">
        <f t="shared" si="0"/>
        <v>11582</v>
      </c>
      <c r="K17" s="10">
        <f>1867+1263+19262+158</f>
        <v>22550</v>
      </c>
      <c r="L17" s="11">
        <f ca="1">E17+J17+K17-H17-I17-G17</f>
        <v>62918.633111977892</v>
      </c>
      <c r="M17" s="11">
        <f ca="1">F17-H17-G17-I17+J17+K17</f>
        <v>71073.218247972982</v>
      </c>
      <c r="N17" s="12">
        <f>N16</f>
        <v>1529.7</v>
      </c>
      <c r="O17" s="13">
        <f ca="1">L17/N17</f>
        <v>41.1313545871595</v>
      </c>
      <c r="P17" s="13">
        <f ca="1">M17/N17</f>
        <v>46.462194056333253</v>
      </c>
    </row>
    <row r="18" spans="1:16" ht="14.25" customHeight="1">
      <c r="A18" s="3" t="s">
        <v>19</v>
      </c>
      <c r="B18" s="7">
        <f>D63</f>
        <v>3544</v>
      </c>
      <c r="C18" s="8">
        <f ca="1">CHOOSE($H$2,Output!$S$19,Output!$S$20,Output!$S$21)*(1-'Valuation '!$C$15)</f>
        <v>9.5187555381155065</v>
      </c>
      <c r="D18" s="8">
        <f ca="1">CHOOSE($H$2,Output!$S$19,Output!$S$20,Output!$S$21)*(1+'Valuation '!$C$15)</f>
        <v>11.634034546585619</v>
      </c>
      <c r="E18" s="9">
        <f ca="1">B18*C18</f>
        <v>33734.469627081358</v>
      </c>
      <c r="F18" s="9">
        <f ca="1">B18*D18</f>
        <v>41231.018433099438</v>
      </c>
      <c r="G18" s="10">
        <f t="shared" si="0"/>
        <v>0</v>
      </c>
      <c r="H18" s="10">
        <f t="shared" si="0"/>
        <v>7909</v>
      </c>
      <c r="I18" s="10">
        <f t="shared" si="0"/>
        <v>0</v>
      </c>
      <c r="J18" s="10">
        <f t="shared" si="0"/>
        <v>11582</v>
      </c>
      <c r="K18" s="10">
        <f>1867+1263+19262+158</f>
        <v>22550</v>
      </c>
      <c r="L18" s="11">
        <f ca="1">E18+J18+K18-H18-I18-G18</f>
        <v>59957.469627081358</v>
      </c>
      <c r="M18" s="11">
        <f ca="1">F18-H18-G18-I18+J18+K18</f>
        <v>67454.018433099438</v>
      </c>
      <c r="N18" s="12">
        <f>N17</f>
        <v>1529.7</v>
      </c>
      <c r="O18" s="13">
        <f ca="1">L18/N18</f>
        <v>39.195574051828039</v>
      </c>
      <c r="P18" s="13">
        <f ca="1">M18/N18</f>
        <v>44.09624006870591</v>
      </c>
    </row>
    <row r="19" spans="1:16" ht="14.25" customHeight="1"/>
    <row r="20" spans="1:16" ht="14.25" customHeight="1">
      <c r="L20" s="148" t="s">
        <v>158</v>
      </c>
      <c r="O20" s="14">
        <f ca="1">MEDIAN(O16:O18)</f>
        <v>41.1313545871595</v>
      </c>
      <c r="P20" s="14">
        <f ca="1">MEDIAN(P16:P18)</f>
        <v>46.462194056333253</v>
      </c>
    </row>
    <row r="21" spans="1:16" ht="14.25" customHeight="1"/>
    <row r="22" spans="1:16" ht="14.25" customHeight="1">
      <c r="B22" s="4"/>
      <c r="C22" s="202" t="s">
        <v>3</v>
      </c>
      <c r="D22" s="203"/>
      <c r="E22" s="202" t="s">
        <v>155</v>
      </c>
      <c r="F22" s="203"/>
      <c r="G22" s="204" t="s">
        <v>4</v>
      </c>
      <c r="H22" s="204" t="s">
        <v>5</v>
      </c>
      <c r="I22" s="204" t="s">
        <v>6</v>
      </c>
      <c r="J22" s="204" t="s">
        <v>7</v>
      </c>
      <c r="K22" s="204" t="s">
        <v>8</v>
      </c>
      <c r="L22" s="202" t="s">
        <v>156</v>
      </c>
      <c r="M22" s="203"/>
      <c r="N22" s="204" t="s">
        <v>9</v>
      </c>
      <c r="O22" s="202" t="s">
        <v>157</v>
      </c>
      <c r="P22" s="203"/>
    </row>
    <row r="23" spans="1:16" ht="14.25" customHeight="1">
      <c r="B23" s="4" t="s">
        <v>11</v>
      </c>
      <c r="C23" s="4" t="s">
        <v>12</v>
      </c>
      <c r="D23" s="4" t="s">
        <v>13</v>
      </c>
      <c r="E23" s="4" t="s">
        <v>12</v>
      </c>
      <c r="F23" s="4" t="s">
        <v>13</v>
      </c>
      <c r="G23" s="205"/>
      <c r="H23" s="205"/>
      <c r="I23" s="205"/>
      <c r="J23" s="205"/>
      <c r="K23" s="205"/>
      <c r="L23" s="4" t="s">
        <v>12</v>
      </c>
      <c r="M23" s="4" t="s">
        <v>13</v>
      </c>
      <c r="N23" s="205"/>
      <c r="O23" s="4" t="s">
        <v>12</v>
      </c>
      <c r="P23" s="4" t="s">
        <v>13</v>
      </c>
    </row>
    <row r="24" spans="1:16" ht="14.25" customHeight="1">
      <c r="B24" t="s">
        <v>162</v>
      </c>
      <c r="C24" s="5">
        <v>0.1</v>
      </c>
      <c r="D24" s="5">
        <v>0.1</v>
      </c>
      <c r="G24" s="6"/>
      <c r="H24" s="6"/>
      <c r="I24" s="6"/>
      <c r="J24" s="6"/>
      <c r="K24" s="6"/>
      <c r="N24" s="6"/>
    </row>
    <row r="25" spans="1:16" ht="14.25" customHeight="1">
      <c r="A25" s="3" t="s">
        <v>20</v>
      </c>
      <c r="B25" s="7">
        <f>B61</f>
        <v>51362</v>
      </c>
      <c r="C25" s="8">
        <f ca="1">CHOOSE($H$2,Output!$G$19,Output!$G$20,Output!$G$21)*(1-'Valuation '!$C$24)</f>
        <v>2.2768033702880746</v>
      </c>
      <c r="D25" s="8">
        <f ca="1">CHOOSE($H$2,Output!$G$19,Output!$G$20,Output!$G$21)*(1+'Valuation '!$C$24)</f>
        <v>2.7827596747965355</v>
      </c>
      <c r="E25" s="145">
        <f ca="1">B25*C25</f>
        <v>116941.17470473608</v>
      </c>
      <c r="F25" s="145">
        <f ca="1">B25*D25</f>
        <v>142928.10241689967</v>
      </c>
      <c r="G25" s="10">
        <f>G$7</f>
        <v>0</v>
      </c>
      <c r="H25" s="10">
        <f>H$7</f>
        <v>7909</v>
      </c>
      <c r="I25" s="10">
        <f>I$7</f>
        <v>0</v>
      </c>
      <c r="J25" s="10">
        <f>J$7</f>
        <v>11582</v>
      </c>
      <c r="K25" s="10">
        <f>1867+1263+19262+158</f>
        <v>22550</v>
      </c>
      <c r="L25" s="11">
        <f ca="1">E25+J25+K25-H25-I25-G25</f>
        <v>143164.1747047361</v>
      </c>
      <c r="M25" s="11">
        <f ca="1">F25-H25-G25-I25+J25+K25</f>
        <v>169151.10241689967</v>
      </c>
      <c r="N25" s="12">
        <f>$C$45</f>
        <v>1529.7</v>
      </c>
      <c r="O25" s="13">
        <f ca="1">L25/N25</f>
        <v>93.589706939096615</v>
      </c>
      <c r="P25" s="13">
        <f ca="1">M25/N25</f>
        <v>110.57795804203417</v>
      </c>
    </row>
    <row r="26" spans="1:16" ht="14.25" customHeight="1">
      <c r="A26" s="3" t="s">
        <v>21</v>
      </c>
      <c r="B26" s="7">
        <f>C61</f>
        <v>45881</v>
      </c>
      <c r="C26" s="8">
        <f ca="1">CHOOSE($H$2,Output!$L$19,Output!$L$20,Output!$L$21)*(1-'Valuation '!$C$24)</f>
        <v>2.2997339729757953</v>
      </c>
      <c r="D26" s="8">
        <f ca="1">CHOOSE($H$2,Output!$L$19,Output!$L$20,Output!$L$21)*(1+'Valuation '!$C$24)</f>
        <v>2.8107859669704167</v>
      </c>
      <c r="E26" s="145">
        <f ca="1">B26*C26</f>
        <v>105514.09441410247</v>
      </c>
      <c r="F26" s="145">
        <f ca="1">B26*D26</f>
        <v>128961.67095056969</v>
      </c>
      <c r="G26" s="10">
        <f>G25</f>
        <v>0</v>
      </c>
      <c r="H26" s="10">
        <f t="shared" ref="H26:J27" si="1">H25</f>
        <v>7909</v>
      </c>
      <c r="I26" s="10">
        <f t="shared" si="1"/>
        <v>0</v>
      </c>
      <c r="J26" s="10">
        <f t="shared" si="1"/>
        <v>11582</v>
      </c>
      <c r="K26" s="10">
        <f>1867+1263+19262+158</f>
        <v>22550</v>
      </c>
      <c r="L26" s="11">
        <f ca="1">E26+J26+K26-H26-I26-G26</f>
        <v>131737.09441410247</v>
      </c>
      <c r="M26" s="11">
        <f ca="1">F26-H26-G26-I26+J26+K26</f>
        <v>155184.67095056968</v>
      </c>
      <c r="N26" s="12">
        <f>$C$45</f>
        <v>1529.7</v>
      </c>
      <c r="O26" s="13">
        <f ca="1">L26/N26</f>
        <v>86.119562276330299</v>
      </c>
      <c r="P26" s="13">
        <f ca="1">M26/N26</f>
        <v>101.44778123198645</v>
      </c>
    </row>
    <row r="27" spans="1:16" ht="14.25" customHeight="1">
      <c r="A27" s="3" t="s">
        <v>22</v>
      </c>
      <c r="B27" s="7">
        <f>D61</f>
        <v>45451</v>
      </c>
      <c r="C27" s="8">
        <f ca="1">CHOOSE($H$2,Output!$Q$19,Output!$Q$20,Output!$Q$21)*(1-'Valuation '!$C$24)</f>
        <v>2.1740147267306074</v>
      </c>
      <c r="D27" s="8">
        <f ca="1">CHOOSE($H$2,Output!$Q$19,Output!$Q$20,Output!$Q$21)*(1+'Valuation '!$C$24)</f>
        <v>2.6571291104485204</v>
      </c>
      <c r="E27" s="145">
        <f ca="1">B27*C27</f>
        <v>98811.14334463283</v>
      </c>
      <c r="F27" s="145">
        <f ca="1">B27*D27</f>
        <v>120769.1751989957</v>
      </c>
      <c r="G27" s="10">
        <f>G26</f>
        <v>0</v>
      </c>
      <c r="H27" s="10">
        <f t="shared" si="1"/>
        <v>7909</v>
      </c>
      <c r="I27" s="10">
        <f t="shared" si="1"/>
        <v>0</v>
      </c>
      <c r="J27" s="10">
        <f t="shared" si="1"/>
        <v>11582</v>
      </c>
      <c r="K27" s="10">
        <f>1867+1263+19262+158</f>
        <v>22550</v>
      </c>
      <c r="L27" s="11">
        <f ca="1">E27+J27+K27-H27-I27-G27</f>
        <v>125034.14334463282</v>
      </c>
      <c r="M27" s="11">
        <f ca="1">F27-H27-G27-I27+J27+K27</f>
        <v>146992.17519899568</v>
      </c>
      <c r="N27" s="12">
        <f>$C$45</f>
        <v>1529.7</v>
      </c>
      <c r="O27" s="13">
        <f ca="1">L27/N27</f>
        <v>81.737689314658311</v>
      </c>
      <c r="P27" s="13">
        <f ca="1">M27/N27</f>
        <v>96.092158723276256</v>
      </c>
    </row>
    <row r="28" spans="1:16" ht="14.25" customHeight="1"/>
    <row r="29" spans="1:16" ht="14.25" customHeight="1">
      <c r="L29" s="148" t="s">
        <v>158</v>
      </c>
      <c r="O29" s="14">
        <f ca="1">MEDIAN(O25:O27)</f>
        <v>86.119562276330299</v>
      </c>
      <c r="P29" s="14">
        <f ca="1">MEDIAN(P25:P27)</f>
        <v>101.44778123198645</v>
      </c>
    </row>
    <row r="30" spans="1:16" ht="14.25" customHeight="1"/>
    <row r="31" spans="1:16" ht="14.25" customHeight="1">
      <c r="B31" s="4"/>
      <c r="C31" s="202" t="s">
        <v>3</v>
      </c>
      <c r="D31" s="203"/>
      <c r="E31" s="199"/>
      <c r="F31" s="200"/>
      <c r="G31" s="201"/>
      <c r="H31" s="201"/>
      <c r="I31" s="201"/>
      <c r="J31" s="201"/>
      <c r="K31" s="201"/>
      <c r="L31" s="199"/>
      <c r="M31" s="200"/>
      <c r="N31" s="201"/>
      <c r="O31" s="202" t="s">
        <v>157</v>
      </c>
      <c r="P31" s="203"/>
    </row>
    <row r="32" spans="1:16" ht="14.25" customHeight="1">
      <c r="B32" s="4" t="s">
        <v>11</v>
      </c>
      <c r="C32" s="4" t="s">
        <v>12</v>
      </c>
      <c r="D32" s="4" t="s">
        <v>13</v>
      </c>
      <c r="G32" s="200"/>
      <c r="H32" s="200"/>
      <c r="I32" s="200"/>
      <c r="J32" s="200"/>
      <c r="K32" s="200"/>
      <c r="N32" s="200"/>
      <c r="O32" s="4" t="s">
        <v>12</v>
      </c>
      <c r="P32" s="4" t="s">
        <v>13</v>
      </c>
    </row>
    <row r="33" spans="1:16" ht="14.25" customHeight="1">
      <c r="C33" s="5">
        <v>0.1</v>
      </c>
      <c r="D33" s="5">
        <v>0.1</v>
      </c>
      <c r="G33" s="6"/>
      <c r="H33" s="6"/>
      <c r="I33" s="6"/>
      <c r="J33" s="6"/>
      <c r="K33" s="6"/>
      <c r="N33" s="6"/>
    </row>
    <row r="34" spans="1:16" ht="14.25" customHeight="1">
      <c r="A34" s="3" t="s">
        <v>23</v>
      </c>
      <c r="B34" s="193">
        <f>C65</f>
        <v>2.13</v>
      </c>
      <c r="C34" s="8">
        <f ca="1">CHOOSE($H$2,Output!$O$19,Output!$O$20,Output!$O$21)*(1-'Valuation '!$C$33)</f>
        <v>19.462174300948721</v>
      </c>
      <c r="D34" s="8">
        <f ca="1">CHOOSE($H$2,Output!$O$19,Output!$O$20,Output!$O$21)*(1+'Valuation '!$C$33)</f>
        <v>23.787101923381773</v>
      </c>
      <c r="E34" s="11"/>
      <c r="F34" s="11"/>
      <c r="G34" s="18"/>
      <c r="H34" s="18"/>
      <c r="I34" s="18"/>
      <c r="J34" s="18"/>
      <c r="K34" s="18"/>
      <c r="L34" s="11"/>
      <c r="M34" s="11"/>
      <c r="N34" s="19"/>
      <c r="O34" s="13">
        <f ca="1">$B34*C34</f>
        <v>41.454431261020773</v>
      </c>
      <c r="P34" s="13">
        <f ca="1">$B34*D34</f>
        <v>50.666527096803172</v>
      </c>
    </row>
    <row r="35" spans="1:16" ht="14.25" customHeight="1">
      <c r="A35" s="3" t="s">
        <v>24</v>
      </c>
      <c r="B35" s="193">
        <f>D65</f>
        <v>2.0499999999999998</v>
      </c>
      <c r="C35" s="8">
        <f ca="1">CHOOSE($H$2,Output!$T$19,Output!$T$20,Output!$T$21)*(1-'Valuation '!$C$33)</f>
        <v>17.932287106747808</v>
      </c>
      <c r="D35" s="8">
        <f ca="1">CHOOSE($H$2,Output!$T$19,Output!$T$20,Output!$T$21)*(1+'Valuation '!$C$33)</f>
        <v>21.917239797136208</v>
      </c>
      <c r="E35" s="11"/>
      <c r="F35" s="11"/>
      <c r="G35" s="18"/>
      <c r="H35" s="18"/>
      <c r="I35" s="18"/>
      <c r="J35" s="18"/>
      <c r="K35" s="18"/>
      <c r="L35" s="11"/>
      <c r="M35" s="11"/>
      <c r="N35" s="19"/>
      <c r="O35" s="13">
        <f ca="1">$B35*C35</f>
        <v>36.761188568832999</v>
      </c>
      <c r="P35" s="13">
        <f ca="1">$B35*D35</f>
        <v>44.930341584129224</v>
      </c>
    </row>
    <row r="36" spans="1:16" ht="14.25" customHeight="1"/>
    <row r="37" spans="1:16" ht="14.25" customHeight="1">
      <c r="L37" s="148" t="s">
        <v>158</v>
      </c>
      <c r="O37" s="14">
        <f ca="1">MEDIAN(O34:O35)</f>
        <v>39.107809914926889</v>
      </c>
      <c r="P37" s="14">
        <f ca="1">MEDIAN(P34:P35)</f>
        <v>47.798434340466201</v>
      </c>
    </row>
    <row r="38" spans="1:16" ht="14.25" customHeight="1">
      <c r="O38" s="13"/>
      <c r="P38" s="13"/>
    </row>
    <row r="39" spans="1:16" ht="14.25" customHeight="1">
      <c r="O39" s="13"/>
      <c r="P39" s="13"/>
    </row>
    <row r="40" spans="1:16" ht="14.25" customHeight="1">
      <c r="N40" s="13"/>
      <c r="O40" s="13"/>
      <c r="P40" s="13"/>
    </row>
    <row r="41" spans="1:16" ht="14.25" customHeight="1"/>
    <row r="42" spans="1:16" ht="14.25" customHeight="1">
      <c r="A42" s="20" t="s">
        <v>154</v>
      </c>
      <c r="B42" s="20"/>
      <c r="C42" s="20"/>
    </row>
    <row r="43" spans="1:16" ht="14.25" customHeight="1"/>
    <row r="44" spans="1:16" ht="14.25" customHeight="1">
      <c r="A44" s="3" t="s">
        <v>25</v>
      </c>
      <c r="C44" s="21">
        <f>1517600000/10^6</f>
        <v>1517.6</v>
      </c>
    </row>
    <row r="45" spans="1:16" ht="14.25" customHeight="1">
      <c r="A45" s="3" t="s">
        <v>26</v>
      </c>
      <c r="C45" s="22">
        <f>1529700000/10^6</f>
        <v>1529.7</v>
      </c>
    </row>
    <row r="46" spans="1:16" ht="14.25" customHeight="1"/>
    <row r="47" spans="1:16" ht="14.25" customHeight="1"/>
    <row r="48" spans="1:16" ht="14.25" customHeight="1">
      <c r="A48" s="148" t="s">
        <v>153</v>
      </c>
      <c r="C48" s="21">
        <v>93.31</v>
      </c>
    </row>
    <row r="49" spans="1:10" ht="14.25" customHeight="1">
      <c r="A49" s="196" t="s">
        <v>27</v>
      </c>
      <c r="B49" s="197"/>
      <c r="C49" s="197"/>
      <c r="D49" s="197"/>
      <c r="E49" s="197"/>
      <c r="F49" s="197"/>
      <c r="G49" s="197"/>
      <c r="H49" s="198"/>
    </row>
    <row r="50" spans="1:10" ht="14.25" customHeight="1">
      <c r="A50" s="23"/>
      <c r="B50" s="24"/>
      <c r="C50" s="24" t="s">
        <v>28</v>
      </c>
      <c r="D50" s="25"/>
      <c r="E50" s="26" t="s">
        <v>29</v>
      </c>
      <c r="F50" s="26"/>
      <c r="G50" s="26"/>
      <c r="H50" s="27" t="s">
        <v>30</v>
      </c>
    </row>
    <row r="51" spans="1:10" ht="14.25" customHeight="1">
      <c r="A51" s="28"/>
      <c r="B51" s="29" t="s">
        <v>31</v>
      </c>
      <c r="C51" s="29" t="s">
        <v>32</v>
      </c>
      <c r="D51" s="29" t="s">
        <v>33</v>
      </c>
      <c r="E51" s="29" t="s">
        <v>34</v>
      </c>
      <c r="F51" s="29" t="s">
        <v>35</v>
      </c>
      <c r="G51" s="30" t="s">
        <v>36</v>
      </c>
      <c r="H51" s="31" t="s">
        <v>37</v>
      </c>
    </row>
    <row r="52" spans="1:10" ht="14.25" customHeight="1">
      <c r="A52" s="32"/>
      <c r="B52" s="33">
        <v>73.7</v>
      </c>
      <c r="C52" s="34">
        <v>117.52</v>
      </c>
      <c r="D52" s="35" t="str">
        <f>IF(C52&lt;$C$48,"Yes","No")</f>
        <v>No</v>
      </c>
      <c r="E52" s="36">
        <f>IF(D52="Yes",B52,0)</f>
        <v>0</v>
      </c>
      <c r="F52" s="37">
        <f>E52*C52</f>
        <v>0</v>
      </c>
      <c r="G52" s="36">
        <f>F52/$C$48</f>
        <v>0</v>
      </c>
      <c r="H52" s="38">
        <f>E52-G52</f>
        <v>0</v>
      </c>
      <c r="I52" s="146">
        <f>B52*(1-C52/C48)</f>
        <v>-19.122034079948548</v>
      </c>
      <c r="J52" t="b">
        <f>H52=I52</f>
        <v>0</v>
      </c>
    </row>
    <row r="53" spans="1:10" ht="14.25" customHeight="1">
      <c r="A53" s="32"/>
      <c r="B53" s="33"/>
      <c r="C53" s="34"/>
      <c r="D53" s="35" t="str">
        <f>IF(C53&lt;$C$48,"Yes","No")</f>
        <v>Yes</v>
      </c>
      <c r="E53" s="36">
        <f>IF(D53="Yes",B53,0)</f>
        <v>0</v>
      </c>
      <c r="F53" s="37">
        <f>E53*C53</f>
        <v>0</v>
      </c>
      <c r="G53" s="36">
        <f>F53/$C$48</f>
        <v>0</v>
      </c>
      <c r="H53" s="38">
        <f>E53-G53</f>
        <v>0</v>
      </c>
    </row>
    <row r="54" spans="1:10" ht="14.25" customHeight="1">
      <c r="A54" s="28"/>
      <c r="B54" s="30"/>
      <c r="C54" s="30"/>
      <c r="D54" s="30"/>
      <c r="E54" s="30"/>
      <c r="F54" s="30"/>
      <c r="G54" s="30"/>
      <c r="H54" s="39">
        <f>SUM(H52:H53)</f>
        <v>0</v>
      </c>
    </row>
    <row r="55" spans="1:10" ht="14.25" customHeight="1"/>
    <row r="56" spans="1:10" ht="14.25" customHeight="1"/>
    <row r="57" spans="1:10" ht="14.25" customHeight="1"/>
    <row r="58" spans="1:10" ht="14.25" customHeight="1"/>
    <row r="59" spans="1:10" ht="14.25" customHeight="1"/>
    <row r="60" spans="1:10" ht="14.25" customHeight="1">
      <c r="A60" s="182" t="s">
        <v>152</v>
      </c>
      <c r="B60" s="183">
        <v>2024</v>
      </c>
      <c r="C60" s="183">
        <v>2025</v>
      </c>
      <c r="D60" s="183">
        <v>2026</v>
      </c>
      <c r="E60" s="183"/>
      <c r="F60" s="184"/>
      <c r="G60" s="185"/>
    </row>
    <row r="61" spans="1:10" ht="14.25" customHeight="1">
      <c r="A61" s="186" t="s">
        <v>39</v>
      </c>
      <c r="B61" s="164">
        <v>51362</v>
      </c>
      <c r="C61" s="164">
        <v>45881</v>
      </c>
      <c r="D61" s="164">
        <v>45451</v>
      </c>
      <c r="E61" s="164"/>
      <c r="F61" s="164"/>
      <c r="G61" s="187"/>
    </row>
    <row r="62" spans="1:10" ht="14.25" customHeight="1">
      <c r="A62" s="186" t="s">
        <v>40</v>
      </c>
      <c r="B62" s="164">
        <v>7107</v>
      </c>
      <c r="C62" s="164">
        <v>4339</v>
      </c>
      <c r="D62" s="164">
        <v>4325</v>
      </c>
      <c r="E62" s="164"/>
      <c r="F62" s="164"/>
      <c r="G62" s="188"/>
    </row>
    <row r="63" spans="1:10" ht="14.25" customHeight="1">
      <c r="A63" s="186" t="s">
        <v>41</v>
      </c>
      <c r="B63" s="180">
        <v>6311</v>
      </c>
      <c r="C63" s="180">
        <v>3543</v>
      </c>
      <c r="D63" s="180">
        <v>3544</v>
      </c>
      <c r="E63" s="181"/>
      <c r="F63" s="181"/>
      <c r="G63" s="187"/>
    </row>
    <row r="64" spans="1:10" ht="14.25" customHeight="1">
      <c r="A64" s="186" t="s">
        <v>210</v>
      </c>
      <c r="B64" s="180">
        <v>5700</v>
      </c>
      <c r="C64" s="180">
        <v>3175</v>
      </c>
      <c r="D64" s="180">
        <v>3158</v>
      </c>
      <c r="E64" s="181"/>
      <c r="F64" s="181"/>
      <c r="G64" s="187"/>
    </row>
    <row r="65" spans="1:7" ht="14.25" customHeight="1">
      <c r="A65" s="189" t="s">
        <v>211</v>
      </c>
      <c r="B65" s="192">
        <v>3.73</v>
      </c>
      <c r="C65" s="192">
        <v>2.13</v>
      </c>
      <c r="D65" s="192">
        <v>2.0499999999999998</v>
      </c>
      <c r="E65" s="190"/>
      <c r="F65" s="190"/>
      <c r="G65" s="191"/>
    </row>
    <row r="66" spans="1:7" ht="14.25" customHeight="1">
      <c r="A66" s="40" t="s">
        <v>42</v>
      </c>
      <c r="F66" t="s">
        <v>209</v>
      </c>
    </row>
    <row r="67" spans="1:7" ht="14.25" customHeight="1"/>
    <row r="68" spans="1:7" ht="14.25" customHeight="1"/>
    <row r="69" spans="1:7" ht="14.25" customHeight="1"/>
    <row r="70" spans="1:7" ht="14.25" customHeight="1"/>
    <row r="71" spans="1:7" ht="14.25" customHeight="1"/>
    <row r="72" spans="1:7" ht="14.25" customHeight="1"/>
    <row r="73" spans="1:7" ht="14.25" customHeight="1"/>
    <row r="74" spans="1:7" ht="14.25" customHeight="1"/>
    <row r="75" spans="1:7" ht="14.25" customHeight="1"/>
    <row r="76" spans="1:7" ht="14.25" customHeight="1"/>
    <row r="77" spans="1:7" ht="14.25" customHeight="1"/>
    <row r="78" spans="1:7" ht="14.25" customHeight="1"/>
    <row r="79" spans="1:7" ht="14.25" customHeight="1"/>
    <row r="80" spans="1:7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mergeCells count="41">
    <mergeCell ref="L4:M4"/>
    <mergeCell ref="N4:N5"/>
    <mergeCell ref="O4:P4"/>
    <mergeCell ref="C4:D4"/>
    <mergeCell ref="E4:F4"/>
    <mergeCell ref="G4:G5"/>
    <mergeCell ref="H4:H5"/>
    <mergeCell ref="I4:I5"/>
    <mergeCell ref="J4:J5"/>
    <mergeCell ref="K4:K5"/>
    <mergeCell ref="L13:M13"/>
    <mergeCell ref="N13:N14"/>
    <mergeCell ref="O13:P13"/>
    <mergeCell ref="C13:D13"/>
    <mergeCell ref="E13:F13"/>
    <mergeCell ref="G13:G14"/>
    <mergeCell ref="H13:H14"/>
    <mergeCell ref="I13:I14"/>
    <mergeCell ref="J13:J14"/>
    <mergeCell ref="K13:K14"/>
    <mergeCell ref="L22:M22"/>
    <mergeCell ref="N22:N23"/>
    <mergeCell ref="O22:P22"/>
    <mergeCell ref="C22:D22"/>
    <mergeCell ref="E22:F22"/>
    <mergeCell ref="G22:G23"/>
    <mergeCell ref="H22:H23"/>
    <mergeCell ref="I22:I23"/>
    <mergeCell ref="J22:J23"/>
    <mergeCell ref="K22:K23"/>
    <mergeCell ref="A49:H49"/>
    <mergeCell ref="L31:M31"/>
    <mergeCell ref="N31:N32"/>
    <mergeCell ref="O31:P31"/>
    <mergeCell ref="C31:D31"/>
    <mergeCell ref="E31:F31"/>
    <mergeCell ref="G31:G32"/>
    <mergeCell ref="H31:H32"/>
    <mergeCell ref="I31:I32"/>
    <mergeCell ref="J31:J32"/>
    <mergeCell ref="K31:K32"/>
  </mergeCells>
  <dataValidations count="1">
    <dataValidation type="list" allowBlank="1" showInputMessage="1" showErrorMessage="1" sqref="G2">
      <formula1>$W$2:$W$4</formula1>
    </dataValidation>
  </dataValidations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showGridLines="0" workbookViewId="0">
      <pane xSplit="1" ySplit="13" topLeftCell="E14" activePane="bottomRight" state="frozen"/>
      <selection pane="topRight" activeCell="B1" sqref="B1"/>
      <selection pane="bottomLeft" activeCell="A14" sqref="A14"/>
      <selection pane="bottomRight" activeCell="N23" sqref="N23"/>
    </sheetView>
  </sheetViews>
  <sheetFormatPr defaultColWidth="14.42578125" defaultRowHeight="15" customHeight="1"/>
  <cols>
    <col min="1" max="1" width="26.140625" customWidth="1"/>
    <col min="2" max="4" width="8.7109375" customWidth="1"/>
    <col min="5" max="5" width="9.85546875" customWidth="1"/>
    <col min="6" max="6" width="15" customWidth="1"/>
    <col min="7" max="7" width="8.7109375" customWidth="1"/>
    <col min="8" max="8" width="9.85546875" bestFit="1" customWidth="1"/>
    <col min="9" max="10" width="8.7109375" customWidth="1"/>
    <col min="11" max="11" width="1.85546875" customWidth="1"/>
    <col min="12" max="12" width="8.7109375" customWidth="1"/>
    <col min="13" max="13" width="10.42578125" customWidth="1"/>
    <col min="14" max="15" width="8.7109375" customWidth="1"/>
    <col min="16" max="16" width="1.85546875" customWidth="1"/>
    <col min="17" max="17" width="8.7109375" customWidth="1"/>
    <col min="18" max="18" width="10.42578125" customWidth="1"/>
    <col min="19" max="26" width="8.7109375" customWidth="1"/>
  </cols>
  <sheetData>
    <row r="1" spans="1:21" ht="14.25" customHeight="1">
      <c r="A1" s="41" t="s">
        <v>43</v>
      </c>
    </row>
    <row r="2" spans="1:21" ht="14.25" customHeight="1">
      <c r="A2" s="3" t="s">
        <v>44</v>
      </c>
    </row>
    <row r="3" spans="1:21" ht="0.75" customHeight="1"/>
    <row r="4" spans="1:21" ht="0.75" customHeight="1"/>
    <row r="5" spans="1:21" ht="14.25" customHeight="1"/>
    <row r="6" spans="1:21" ht="14.25" customHeight="1">
      <c r="A6" s="3" t="s">
        <v>45</v>
      </c>
      <c r="C6" s="15" t="s">
        <v>161</v>
      </c>
    </row>
    <row r="7" spans="1:21" ht="14.25" customHeight="1">
      <c r="A7" s="3" t="s">
        <v>46</v>
      </c>
      <c r="C7" s="15" t="s">
        <v>47</v>
      </c>
    </row>
    <row r="8" spans="1:21" ht="14.25" customHeight="1">
      <c r="A8" s="3" t="s">
        <v>48</v>
      </c>
      <c r="C8" s="15" t="s">
        <v>49</v>
      </c>
    </row>
    <row r="9" spans="1:21" ht="0.75" customHeight="1"/>
    <row r="10" spans="1:21" ht="0.75" customHeight="1"/>
    <row r="11" spans="1:21" ht="14.25" customHeight="1">
      <c r="B11" s="42" t="s">
        <v>50</v>
      </c>
      <c r="C11" s="42"/>
      <c r="D11" s="42" t="s">
        <v>51</v>
      </c>
      <c r="E11" s="42" t="s">
        <v>52</v>
      </c>
      <c r="F11" s="42" t="s">
        <v>53</v>
      </c>
      <c r="G11" s="42" t="s">
        <v>54</v>
      </c>
      <c r="H11" s="42" t="s">
        <v>55</v>
      </c>
      <c r="I11" s="42" t="s">
        <v>56</v>
      </c>
      <c r="J11" s="42" t="s">
        <v>57</v>
      </c>
      <c r="K11" s="42"/>
      <c r="L11" s="42" t="s">
        <v>58</v>
      </c>
      <c r="M11" s="42" t="s">
        <v>59</v>
      </c>
      <c r="N11" s="42" t="s">
        <v>60</v>
      </c>
      <c r="O11" s="42" t="s">
        <v>61</v>
      </c>
      <c r="Q11" s="3" t="s">
        <v>62</v>
      </c>
      <c r="R11" s="42" t="s">
        <v>63</v>
      </c>
      <c r="S11" s="42" t="s">
        <v>64</v>
      </c>
      <c r="T11" s="42" t="s">
        <v>65</v>
      </c>
      <c r="U11" s="42" t="s">
        <v>66</v>
      </c>
    </row>
    <row r="12" spans="1:21" ht="14.25" customHeight="1">
      <c r="A12" s="15"/>
      <c r="B12" s="206" t="s">
        <v>67</v>
      </c>
      <c r="C12" s="206" t="s">
        <v>68</v>
      </c>
      <c r="D12" s="15"/>
      <c r="E12" s="15"/>
      <c r="F12" s="15"/>
      <c r="G12" s="207" t="s">
        <v>69</v>
      </c>
      <c r="H12" s="208"/>
      <c r="I12" s="208"/>
      <c r="J12" s="203"/>
      <c r="L12" s="207" t="s">
        <v>70</v>
      </c>
      <c r="M12" s="208"/>
      <c r="N12" s="208"/>
      <c r="O12" s="203"/>
      <c r="P12" s="17"/>
      <c r="Q12" s="209" t="s">
        <v>71</v>
      </c>
      <c r="R12" s="208"/>
      <c r="S12" s="208"/>
      <c r="T12" s="203"/>
      <c r="U12" s="16"/>
    </row>
    <row r="13" spans="1:21" ht="14.25" customHeight="1">
      <c r="A13" s="43" t="s">
        <v>72</v>
      </c>
      <c r="B13" s="205"/>
      <c r="C13" s="205"/>
      <c r="D13" s="44" t="s">
        <v>73</v>
      </c>
      <c r="E13" s="44" t="s">
        <v>74</v>
      </c>
      <c r="F13" s="44" t="s">
        <v>75</v>
      </c>
      <c r="G13" s="44" t="s">
        <v>76</v>
      </c>
      <c r="H13" s="44" t="s">
        <v>77</v>
      </c>
      <c r="I13" s="44" t="s">
        <v>78</v>
      </c>
      <c r="J13" s="44" t="s">
        <v>79</v>
      </c>
      <c r="K13" s="17"/>
      <c r="L13" s="44" t="s">
        <v>76</v>
      </c>
      <c r="M13" s="44" t="s">
        <v>77</v>
      </c>
      <c r="N13" s="44" t="s">
        <v>78</v>
      </c>
      <c r="O13" s="44" t="s">
        <v>79</v>
      </c>
      <c r="P13" s="17"/>
      <c r="Q13" s="44" t="s">
        <v>76</v>
      </c>
      <c r="R13" s="44" t="s">
        <v>77</v>
      </c>
      <c r="S13" s="44" t="s">
        <v>78</v>
      </c>
      <c r="T13" s="44" t="s">
        <v>79</v>
      </c>
      <c r="U13" s="15" t="s">
        <v>80</v>
      </c>
    </row>
    <row r="14" spans="1:21" ht="14.25" customHeight="1">
      <c r="A14" s="150" t="s">
        <v>196</v>
      </c>
      <c r="B14" t="str">
        <f ca="1">INDIRECT($A14&amp;"!"&amp;B$11)</f>
        <v>USD</v>
      </c>
      <c r="C14" s="149">
        <v>1</v>
      </c>
      <c r="D14" s="45">
        <f ca="1">INDIRECT($A14&amp;"!"&amp;D$11)</f>
        <v>103.5</v>
      </c>
      <c r="E14" s="45">
        <f t="array" aca="1" ref="E14" ca="1">INDIRECT($A14&amp;"!"&amp;E$11)*$C14</f>
        <v>6724.8296149897333</v>
      </c>
      <c r="F14" s="45">
        <f t="array" aca="1" ref="F14" ca="1">INDIRECT($A14&amp;"!"&amp;F$11)*$C14</f>
        <v>6916.2006149897343</v>
      </c>
      <c r="G14" s="46">
        <f ca="1">$F14/(INDIRECT($A14&amp;"!"&amp;G$11)*$C14)</f>
        <v>1.6860113422147185</v>
      </c>
      <c r="H14" s="46">
        <f t="array" aca="1" ref="H14" ca="1">$F14/(INDIRECT($A14&amp;"!"&amp;H$11)*$C14)</f>
        <v>7.0542883086311896</v>
      </c>
      <c r="I14" s="46">
        <f t="array" aca="1" ref="I14" ca="1">$F14/(INDIRECT($A14&amp;"!"&amp;I$11)*$C14)</f>
        <v>7.5953377389148011</v>
      </c>
      <c r="J14" s="46">
        <f t="array" aca="1" ref="J14" ca="1">$E14/(INDIRECT($A14&amp;"!"&amp;J$11)*$C14)</f>
        <v>7.0782390105473514</v>
      </c>
      <c r="K14" s="46"/>
      <c r="L14" s="46">
        <f t="array" aca="1" ref="L14" ca="1">$F14/(INDIRECT($A14&amp;"!"&amp;L$11)*$C14)</f>
        <v>1.6860557325669756</v>
      </c>
      <c r="M14" s="46">
        <f t="array" aca="1" ref="M14" ca="1">$F14/(INDIRECT($A14&amp;"!"&amp;M$11)*$C14)</f>
        <v>6.1751791205265487</v>
      </c>
      <c r="N14" s="46">
        <f t="array" aca="1" ref="N14" ca="1">$F14/(INDIRECT($A14&amp;"!"&amp;N$11)*$C14)</f>
        <v>6.5868577285616521</v>
      </c>
      <c r="O14" s="46">
        <f t="array" aca="1" ref="O14" ca="1">$E14/(INDIRECT($A14&amp;"!"&amp;O$11)*$C14)</f>
        <v>7.0780229607301681</v>
      </c>
      <c r="P14" s="46"/>
      <c r="Q14" s="46">
        <f t="array" aca="1" ref="Q14" ca="1">$F14/(INDIRECT($A14&amp;"!"&amp;Q$11)*$C14)</f>
        <v>1.6541977074837919</v>
      </c>
      <c r="R14" s="46">
        <f t="array" aca="1" ref="R14" ca="1">$F14/(INDIRECT($A14&amp;"!"&amp;R$11)*$C14)</f>
        <v>6.4516796781620656</v>
      </c>
      <c r="S14" s="46">
        <f t="array" aca="1" ref="S14" ca="1">$F14/(INDIRECT($A14&amp;"!"&amp;S$11)*$C14)</f>
        <v>6.9425824282169586</v>
      </c>
      <c r="T14" s="46">
        <f t="array" aca="1" ref="T14" ca="1">$E14/(INDIRECT($A14&amp;"!"&amp;T$11)*$C14)</f>
        <v>9.0826980213259496</v>
      </c>
      <c r="U14" s="144">
        <f t="array" aca="1" ref="U14" ca="1">INDIRECT($A14&amp;"!"&amp;U$11)</f>
        <v>3.7843952635439271E-2</v>
      </c>
    </row>
    <row r="15" spans="1:21" ht="14.25" customHeight="1">
      <c r="A15" s="168" t="s">
        <v>200</v>
      </c>
      <c r="B15" t="str">
        <f t="array" aca="1" ref="B15" ca="1">INDIRECT($A15&amp;"!"&amp;[1]Output!B$11)</f>
        <v>USD</v>
      </c>
      <c r="C15" s="149">
        <v>1</v>
      </c>
      <c r="D15" s="45">
        <f t="array" aca="1" ref="D15" ca="1">INDIRECT($A15&amp;"!"&amp;[1]Output!D$11)</f>
        <v>211.76</v>
      </c>
      <c r="E15" s="45">
        <f t="array" aca="1" ref="E15" ca="1">INDIRECT($A15&amp;"!"&amp;[1]Output!E$11)*$C15</f>
        <v>5478.4429599999994</v>
      </c>
      <c r="F15" s="45">
        <f t="array" aca="1" ref="F15" ca="1">INDIRECT($A15&amp;"!"&amp;[1]Output!F$11)*$C15</f>
        <v>4121.4429599999994</v>
      </c>
      <c r="G15" s="46">
        <f t="array" aca="1" ref="G15" ca="1">$F15/(INDIRECT($A15&amp;"!"&amp;[1]Output!G$11)*$C15)</f>
        <v>0.83708086172894169</v>
      </c>
      <c r="H15" s="46">
        <f t="array" aca="1" ref="H15" ca="1">$F15/(INDIRECT($A15&amp;"!"&amp;[1]Output!H$11)*$C15)</f>
        <v>3.2103190890247859</v>
      </c>
      <c r="I15" s="46">
        <f t="array" aca="1" ref="I15" ca="1">$F15/(INDIRECT($A15&amp;"!"&amp;[1]Output!I$11)*$C15)</f>
        <v>3.3887481643855435</v>
      </c>
      <c r="J15" s="46">
        <f t="array" aca="1" ref="J15" ca="1">$E15/(INDIRECT($A15&amp;"!"&amp;[1]Output!J$11)*$C15)</f>
        <v>5.8961561418708399</v>
      </c>
      <c r="K15" s="46"/>
      <c r="L15" s="46">
        <f t="array" aca="1" ref="L15" ca="1">$F15/(INDIRECT($A15&amp;"!"&amp;[1]Output!L$11)*$C15)</f>
        <v>0.96115740671641781</v>
      </c>
      <c r="M15" s="46">
        <f t="array" aca="1" ref="M15" ca="1">$F15/(INDIRECT($A15&amp;"!"&amp;[1]Output!M$11)*$C15)</f>
        <v>4.183781301390721</v>
      </c>
      <c r="N15" s="46">
        <f t="array" aca="1" ref="N15" ca="1">$F15/(INDIRECT($A15&amp;"!"&amp;[1]Output!N$11)*$C15)</f>
        <v>4.4436042695417779</v>
      </c>
      <c r="O15" s="46">
        <f t="array" aca="1" ref="O15" ca="1">$E15/(INDIRECT($A15&amp;"!"&amp;[1]Output!O$11)*$C15)</f>
        <v>7.2122735123749333</v>
      </c>
      <c r="P15" s="46"/>
      <c r="Q15" s="46">
        <f t="array" aca="1" ref="Q15" ca="1">$F15/(INDIRECT($A15&amp;"!"&amp;[1]Output!Q$11)*$C15)</f>
        <v>0.8287639171526241</v>
      </c>
      <c r="R15" s="46">
        <f t="array" aca="1" ref="R15" ca="1">$F15/(INDIRECT($A15&amp;"!"&amp;[1]Output!R$11)*$C15)</f>
        <v>3.5016507731520812</v>
      </c>
      <c r="S15" s="46">
        <f t="array" aca="1" ref="S15" ca="1">$F15/(INDIRECT($A15&amp;"!"&amp;[1]Output!S$11)*$C15)</f>
        <v>3.7030035579514817</v>
      </c>
      <c r="T15" s="46">
        <f t="array" aca="1" ref="T15" ca="1">$E15/(INDIRECT($A15&amp;"!"&amp;[1]Output!T$11)*$C15)</f>
        <v>6.075008826790862</v>
      </c>
      <c r="U15" s="144">
        <f t="array" aca="1" ref="U15" ca="1">INDIRECT($A15&amp;"!"&amp;[1]Output!U$11)</f>
        <v>8.0901707134990897E-2</v>
      </c>
    </row>
    <row r="16" spans="1:21" ht="14.25" customHeight="1">
      <c r="A16" s="150" t="s">
        <v>168</v>
      </c>
      <c r="B16" t="str">
        <f t="array" aca="1" ref="B16" ca="1">INDIRECT($A16&amp;"!"&amp;[1]Output!B$11)</f>
        <v>USD</v>
      </c>
      <c r="C16" s="149">
        <v>1</v>
      </c>
      <c r="D16" s="45">
        <f t="array" aca="1" ref="D16" ca="1">INDIRECT($A16&amp;"!"&amp;[1]Output!D$11)</f>
        <v>395.48</v>
      </c>
      <c r="E16" s="45">
        <f t="array" aca="1" ref="E16" ca="1">INDIRECT($A16&amp;"!"&amp;[1]Output!E$11)*$C16</f>
        <v>50211.672330000001</v>
      </c>
      <c r="F16" s="45">
        <f t="array" aca="1" ref="F16" ca="1">INDIRECT($A16&amp;"!"&amp;[1]Output!F$11)*$C16</f>
        <v>49661.672330000001</v>
      </c>
      <c r="G16" s="46">
        <f t="array" aca="1" ref="G16" ca="1">$F16/(INDIRECT($A16&amp;"!"&amp;[1]Output!G$11)*$C16)</f>
        <v>5.0610920635250638</v>
      </c>
      <c r="H16" s="46">
        <f t="array" aca="1" ref="H16" ca="1">$F16/(INDIRECT($A16&amp;"!"&amp;[1]Output!H$11)*$C16)</f>
        <v>20.280135908271205</v>
      </c>
      <c r="I16" s="46">
        <f t="array" aca="1" ref="I16" ca="1">$F16/(INDIRECT($A16&amp;"!"&amp;[1]Output!I$11)*$C16)</f>
        <v>21.291661645473617</v>
      </c>
      <c r="J16" s="46">
        <f t="array" aca="1" ref="J16" ca="1">$E16/(INDIRECT($A16&amp;"!"&amp;[1]Output!J$11)*$C16)</f>
        <v>29.412416962919096</v>
      </c>
      <c r="K16" s="47"/>
      <c r="L16" s="46">
        <f t="array" aca="1" ref="L16" ca="1">$F16/(INDIRECT($A16&amp;"!"&amp;[1]Output!L$11)*$C16)</f>
        <v>5.1628726821914963</v>
      </c>
      <c r="M16" s="46">
        <f t="array" aca="1" ref="M16" ca="1">$F16/(INDIRECT($A16&amp;"!"&amp;[1]Output!M$11)*$C16)</f>
        <v>19.027460662835249</v>
      </c>
      <c r="N16" s="46">
        <f t="array" aca="1" ref="N16" ca="1">$F16/(INDIRECT($A16&amp;"!"&amp;[1]Output!N$11)*$C16)</f>
        <v>22.259826234872254</v>
      </c>
      <c r="O16" s="46">
        <f t="array" aca="1" ref="O16" ca="1">$E16/(INDIRECT($A16&amp;"!"&amp;[1]Output!O$11)*$C16)</f>
        <v>32.394627309677418</v>
      </c>
      <c r="Q16" s="46">
        <f t="array" aca="1" ref="Q16" ca="1">$F16/(INDIRECT($A16&amp;"!"&amp;[1]Output!Q$11)*$C16)</f>
        <v>4.6996945519068802</v>
      </c>
      <c r="R16" s="46">
        <f t="array" aca="1" ref="R16" ca="1">$F16/(INDIRECT($A16&amp;"!"&amp;[1]Output!R$11)*$C16)</f>
        <v>17.189917732779509</v>
      </c>
      <c r="S16" s="46">
        <f t="array" aca="1" ref="S16" ca="1">$F16/(INDIRECT($A16&amp;"!"&amp;[1]Output!S$11)*$C16)</f>
        <v>20.195881386742577</v>
      </c>
      <c r="T16" s="46">
        <f t="array" aca="1" ref="T16" ca="1">$E16/(INDIRECT($A16&amp;"!"&amp;[1]Output!T$11)*$C16)</f>
        <v>28.28826610140845</v>
      </c>
      <c r="U16" s="144">
        <f t="array" aca="1" ref="U16" ca="1">INDIRECT($A16&amp;"!"&amp;[1]Output!U$11)</f>
        <v>0.11063634815138434</v>
      </c>
    </row>
    <row r="17" spans="1:21" ht="14.25" customHeight="1">
      <c r="A17" s="150" t="s">
        <v>164</v>
      </c>
      <c r="B17" t="str">
        <f t="array" aca="1" ref="B17" ca="1">INDIRECT($A17&amp;"!"&amp;[1]Output!B$11)</f>
        <v>USD</v>
      </c>
      <c r="C17" s="149">
        <v>1</v>
      </c>
      <c r="D17" s="45">
        <f t="array" aca="1" ref="D17" ca="1">INDIRECT($A17&amp;"!"&amp;[1]Output!D$11)</f>
        <v>75.48</v>
      </c>
      <c r="E17" s="45">
        <f t="array" aca="1" ref="E17" ca="1">INDIRECT($A17&amp;"!"&amp;[1]Output!E$11)*$C17</f>
        <v>11533.153375459999</v>
      </c>
      <c r="F17" s="45">
        <f t="array" aca="1" ref="F17" ca="1">INDIRECT($A17&amp;"!"&amp;[1]Output!F$11)*$C17</f>
        <v>7165.753375459999</v>
      </c>
      <c r="G17" s="46">
        <f t="array" aca="1" ref="G17" ca="1">$F17/(INDIRECT($A17&amp;"!"&amp;[1]Output!G$11)*$C17)</f>
        <v>0.79891548178457938</v>
      </c>
      <c r="H17" s="46">
        <f t="array" aca="1" ref="H17" ca="1">$F17/(INDIRECT($A17&amp;"!"&amp;[1]Output!H$11)*$C17)</f>
        <v>6.578624312791943</v>
      </c>
      <c r="I17" s="46">
        <f t="array" aca="1" ref="I17" ca="1">$F17/(INDIRECT($A17&amp;"!"&amp;[1]Output!I$11)*$C17)</f>
        <v>8.1637841518019378</v>
      </c>
      <c r="J17" s="46">
        <f t="array" aca="1" ref="J17" ca="1">$E17/(INDIRECT($A17&amp;"!"&amp;[1]Output!J$11)*$C17)</f>
        <v>18.035459583718414</v>
      </c>
      <c r="K17" s="46"/>
      <c r="L17" s="46">
        <f t="array" aca="1" ref="L17" ca="1">$F17/(INDIRECT($A17&amp;"!"&amp;[1]Output!L$11)*$C17)</f>
        <v>0.79894674718028758</v>
      </c>
      <c r="M17" s="46">
        <f t="array" aca="1" ref="M17" ca="1">$F17/(INDIRECT($A17&amp;"!"&amp;[1]Output!M$11)*$C17)</f>
        <v>6.4731286137850033</v>
      </c>
      <c r="N17" s="46">
        <f t="array" aca="1" ref="N17" ca="1">$F17/(INDIRECT($A17&amp;"!"&amp;[1]Output!N$11)*$C17)</f>
        <v>7.9240886602454932</v>
      </c>
      <c r="O17" s="46">
        <f t="array" aca="1" ref="O17" ca="1">$E17/(INDIRECT($A17&amp;"!"&amp;[1]Output!O$11)*$C17)</f>
        <v>18.034641712994524</v>
      </c>
      <c r="P17" s="46"/>
      <c r="Q17" s="46">
        <f t="array" aca="1" ref="Q17" ca="1">$F17/(INDIRECT($A17&amp;"!"&amp;[1]Output!Q$11)*$C17)</f>
        <v>0.73351964125908475</v>
      </c>
      <c r="R17" s="46">
        <f t="array" aca="1" ref="R17" ca="1">$F17/(INDIRECT($A17&amp;"!"&amp;[1]Output!R$11)*$C17)</f>
        <v>6.067530377188822</v>
      </c>
      <c r="S17" s="46">
        <f t="array" aca="1" ref="S17" ca="1">$F17/(INDIRECT($A17&amp;"!"&amp;[1]Output!S$11)*$C17)</f>
        <v>7.3698995942198904</v>
      </c>
      <c r="T17" s="46">
        <f t="array" aca="1" ref="T17" ca="1">$E17/(INDIRECT($A17&amp;"!"&amp;[1]Output!T$11)*$C17)</f>
        <v>17.136929235453191</v>
      </c>
      <c r="U17" s="144">
        <f t="array" aca="1" ref="U17" ca="1">INDIRECT($A17&amp;"!"&amp;[1]Output!U$11)</f>
        <v>7.9175868884429956E-2</v>
      </c>
    </row>
    <row r="18" spans="1:21" ht="14.25" customHeight="1">
      <c r="B18" s="19"/>
      <c r="C18" s="11"/>
      <c r="D18" s="45"/>
      <c r="E18" s="48"/>
      <c r="F18" s="49" t="s">
        <v>81</v>
      </c>
      <c r="G18" s="50">
        <f ca="1">AVERAGE(G14:G17)</f>
        <v>2.0957749373133261</v>
      </c>
      <c r="H18" s="50">
        <f ca="1">AVERAGE(H14:H17)</f>
        <v>9.2808419046797805</v>
      </c>
      <c r="I18" s="50">
        <f ca="1">AVERAGE(I14:I17)</f>
        <v>10.109882925143975</v>
      </c>
      <c r="J18" s="50">
        <f ca="1">AVERAGE(J14:J17)</f>
        <v>15.105567924763925</v>
      </c>
      <c r="K18" s="51"/>
      <c r="L18" s="50">
        <f ca="1">AVERAGE(L14:L17)</f>
        <v>2.1522581421637943</v>
      </c>
      <c r="M18" s="50">
        <f ca="1">AVERAGE(M14:M17)</f>
        <v>8.9648874246343802</v>
      </c>
      <c r="N18" s="50">
        <f ca="1">AVERAGE(N14:N17)</f>
        <v>10.303594223305295</v>
      </c>
      <c r="O18" s="50">
        <f ca="1">AVERAGE(O14:O17)</f>
        <v>16.179891373944262</v>
      </c>
      <c r="P18" s="51"/>
      <c r="Q18" s="50">
        <f ca="1">AVERAGE(Q14:Q17)</f>
        <v>1.9790439544505953</v>
      </c>
      <c r="R18" s="50">
        <f ca="1">AVERAGE(R14:R17)</f>
        <v>8.3026946403206203</v>
      </c>
      <c r="S18" s="50">
        <f ca="1">AVERAGE(S14:S17)</f>
        <v>9.5528417417827267</v>
      </c>
      <c r="T18" s="50">
        <f ca="1">AVERAGE(T14:T17)</f>
        <v>15.145725546244613</v>
      </c>
      <c r="U18" s="50"/>
    </row>
    <row r="19" spans="1:21" ht="14.25" customHeight="1">
      <c r="B19" s="19"/>
      <c r="C19" s="11"/>
      <c r="D19" s="45"/>
      <c r="E19" s="48"/>
      <c r="F19" s="52" t="s">
        <v>1</v>
      </c>
      <c r="G19" s="53">
        <f ca="1">MEDIAN(G14:G17)</f>
        <v>1.2615461019718301</v>
      </c>
      <c r="H19" s="53">
        <f ca="1">MEDIAN(H14:H17)</f>
        <v>6.8164563107115663</v>
      </c>
      <c r="I19" s="53">
        <f ca="1">MEDIAN(I14:I17)</f>
        <v>7.879560945358369</v>
      </c>
      <c r="J19" s="53">
        <f ca="1">MEDIAN(J14:J17)</f>
        <v>12.556849297132882</v>
      </c>
      <c r="K19" s="51"/>
      <c r="L19" s="53">
        <f ca="1">MEDIAN(L14:L17)</f>
        <v>1.3236065696416968</v>
      </c>
      <c r="M19" s="53">
        <f ca="1">MEDIAN(M14:M17)</f>
        <v>6.3241538671557755</v>
      </c>
      <c r="N19" s="53">
        <f ca="1">MEDIAN(N14:N17)</f>
        <v>7.2554731944035726</v>
      </c>
      <c r="O19" s="53">
        <f ca="1">MEDIAN(O14:O17)</f>
        <v>12.623457612684728</v>
      </c>
      <c r="P19" s="51"/>
      <c r="Q19" s="53">
        <f ca="1">MEDIAN(Q14:Q17)</f>
        <v>1.2414808123182079</v>
      </c>
      <c r="R19" s="147">
        <f ca="1">MEDIAN(R14:R17)</f>
        <v>6.2596050276754438</v>
      </c>
      <c r="S19" s="53">
        <f ca="1">MEDIAN(S14:S17)</f>
        <v>7.1562410112184249</v>
      </c>
      <c r="T19" s="53">
        <f ca="1">MEDIAN(T14:T17)</f>
        <v>13.109813628389571</v>
      </c>
      <c r="U19" s="54"/>
    </row>
    <row r="20" spans="1:21" ht="14.25" customHeight="1">
      <c r="B20" s="19"/>
      <c r="C20" s="11"/>
      <c r="D20" s="45"/>
      <c r="E20" s="48"/>
      <c r="F20" s="55" t="s">
        <v>2</v>
      </c>
      <c r="G20" s="53">
        <f ca="1">QUARTILE(G14:G17,1)</f>
        <v>0.82753951674285109</v>
      </c>
      <c r="H20" s="53">
        <f ca="1">QUARTILE(H14:H17,1)</f>
        <v>5.7365480068501533</v>
      </c>
      <c r="I20" s="53">
        <f ca="1">QUARTILE(I14:I17,1)</f>
        <v>6.5436903452824868</v>
      </c>
      <c r="J20" s="53">
        <f ca="1">QUARTILE(J14:J17,1)</f>
        <v>6.782718293378224</v>
      </c>
      <c r="K20" s="51"/>
      <c r="L20" s="53">
        <f ca="1">QUARTILE(L14:L17,1)</f>
        <v>0.92060474183238528</v>
      </c>
      <c r="M20" s="53">
        <f ca="1">QUARTILE(M14:M17,1)</f>
        <v>5.677329665742592</v>
      </c>
      <c r="N20" s="53">
        <f ca="1">QUARTILE(N14:N17,1)</f>
        <v>6.0510443638066835</v>
      </c>
      <c r="O20" s="53">
        <f ca="1">QUARTILE(O14:O17,1)</f>
        <v>7.178710874463742</v>
      </c>
      <c r="P20" s="51"/>
      <c r="Q20" s="53">
        <f ca="1">QUARTILE(Q14:Q17,1)</f>
        <v>0.80495284817923929</v>
      </c>
      <c r="R20" s="53">
        <f ca="1">QUARTILE(R14:R17,1)</f>
        <v>5.4260604761796367</v>
      </c>
      <c r="S20" s="53">
        <f ca="1">QUARTILE(S14:S17,1)</f>
        <v>6.1326877106505897</v>
      </c>
      <c r="T20" s="53">
        <f ca="1">QUARTILE(T14:T17,1)</f>
        <v>8.3307757226921773</v>
      </c>
      <c r="U20" s="54"/>
    </row>
    <row r="21" spans="1:21" ht="14.25" customHeight="1">
      <c r="B21" s="19"/>
      <c r="C21" s="11"/>
      <c r="D21" s="45"/>
      <c r="E21" s="48"/>
      <c r="F21" s="56" t="s">
        <v>10</v>
      </c>
      <c r="G21" s="57">
        <f ca="1">QUARTILE(G14:G17,3)</f>
        <v>2.5297815225423048</v>
      </c>
      <c r="H21" s="57">
        <f ca="1">QUARTILE(H14:H17,3)</f>
        <v>10.360750208541194</v>
      </c>
      <c r="I21" s="57">
        <f ca="1">QUARTILE(I14:I17,3)</f>
        <v>11.445753525219857</v>
      </c>
      <c r="J21" s="57">
        <f ca="1">QUARTILE(J14:J17,3)</f>
        <v>20.879698928518586</v>
      </c>
      <c r="K21" s="51"/>
      <c r="L21" s="57">
        <f ca="1">QUARTILE(L14:L17,3)</f>
        <v>2.5552599699731058</v>
      </c>
      <c r="M21" s="57">
        <f ca="1">QUARTILE(M14:M17,3)</f>
        <v>9.6117116260475655</v>
      </c>
      <c r="N21" s="57">
        <f ca="1">QUARTILE(N14:N17,3)</f>
        <v>11.508023053902184</v>
      </c>
      <c r="O21" s="57">
        <f ca="1">QUARTILE(O14:O17,3)</f>
        <v>21.624638112165247</v>
      </c>
      <c r="P21" s="51"/>
      <c r="Q21" s="57">
        <f ca="1">QUARTILE(Q14:Q17,3)</f>
        <v>2.4155719185895639</v>
      </c>
      <c r="R21" s="57">
        <f ca="1">QUARTILE(R14:R17,3)</f>
        <v>9.1362391918164256</v>
      </c>
      <c r="S21" s="57">
        <f ca="1">QUARTILE(S14:S17,3)</f>
        <v>10.576395042350562</v>
      </c>
      <c r="T21" s="57">
        <f ca="1">QUARTILE(T14:T17,3)</f>
        <v>19.924763451942006</v>
      </c>
      <c r="U21" s="58"/>
    </row>
    <row r="22" spans="1:21" ht="14.25" customHeight="1">
      <c r="B22" s="19"/>
      <c r="C22" s="19"/>
      <c r="D22" s="59"/>
      <c r="E22" s="47"/>
      <c r="F22" s="47"/>
      <c r="G22" s="48"/>
      <c r="H22" s="48"/>
      <c r="I22" s="48"/>
      <c r="J22" s="48"/>
      <c r="K22" s="48"/>
    </row>
    <row r="23" spans="1:21" ht="14.25" customHeight="1">
      <c r="A23" s="60"/>
      <c r="J23" s="47"/>
      <c r="K23" s="47"/>
    </row>
    <row r="24" spans="1:21" ht="14.25" customHeight="1">
      <c r="J24" s="47"/>
      <c r="K24" s="47"/>
    </row>
    <row r="25" spans="1:21" ht="14.25" customHeight="1">
      <c r="A25" s="61"/>
      <c r="B25" s="61"/>
      <c r="J25" s="62"/>
      <c r="K25" s="62"/>
    </row>
    <row r="26" spans="1:21" ht="14.25" customHeight="1"/>
    <row r="27" spans="1:21" ht="14.25" customHeight="1"/>
    <row r="28" spans="1:21" ht="14.25" customHeight="1"/>
    <row r="29" spans="1:21" ht="14.25" customHeight="1"/>
    <row r="30" spans="1:21" ht="14.25" customHeight="1"/>
    <row r="31" spans="1:21" ht="14.25" customHeight="1"/>
    <row r="32" spans="1:2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">
    <mergeCell ref="B12:B13"/>
    <mergeCell ref="C12:C13"/>
    <mergeCell ref="G12:J12"/>
    <mergeCell ref="L12:O12"/>
    <mergeCell ref="Q12:T12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7" workbookViewId="0">
      <selection activeCell="E78" sqref="E78"/>
    </sheetView>
  </sheetViews>
  <sheetFormatPr defaultColWidth="14.42578125" defaultRowHeight="15" customHeight="1"/>
  <cols>
    <col min="1" max="1" width="3.42578125" customWidth="1"/>
    <col min="2" max="2" width="33.5703125" customWidth="1"/>
    <col min="3" max="3" width="11.42578125" customWidth="1"/>
    <col min="4" max="5" width="10.5703125" customWidth="1"/>
    <col min="6" max="6" width="11.42578125" customWidth="1"/>
    <col min="7" max="7" width="13.42578125" customWidth="1"/>
    <col min="8" max="8" width="14" customWidth="1"/>
    <col min="9" max="9" width="13" customWidth="1"/>
    <col min="10" max="10" width="9.5703125" customWidth="1"/>
    <col min="11" max="11" width="12" customWidth="1"/>
    <col min="12" max="12" width="10.42578125" customWidth="1"/>
    <col min="13" max="13" width="11.5703125" customWidth="1"/>
    <col min="14" max="26" width="11.42578125" customWidth="1"/>
  </cols>
  <sheetData>
    <row r="1" spans="1:26" ht="15.75" customHeight="1">
      <c r="A1" s="63" t="s">
        <v>82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5.75" customHeight="1">
      <c r="A2" s="65" t="str">
        <f>"(In "&amp;F10&amp;" Millions Except Per Share Data)"</f>
        <v>(In  Millions Except Per Share Data)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customHeigh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66" t="s">
        <v>83</v>
      </c>
      <c r="B4" s="67"/>
      <c r="C4" s="67"/>
      <c r="D4" s="67"/>
      <c r="E4" s="67"/>
      <c r="F4" s="68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69" t="s">
        <v>84</v>
      </c>
      <c r="B5" s="25"/>
      <c r="C5" s="25"/>
      <c r="D5" s="25"/>
      <c r="E5" s="25"/>
      <c r="F5" s="70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69" t="s">
        <v>85</v>
      </c>
      <c r="B6" s="25"/>
      <c r="C6" s="25"/>
      <c r="D6" s="25"/>
      <c r="E6" s="25"/>
      <c r="F6" s="71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69" t="s">
        <v>86</v>
      </c>
      <c r="B7" s="25"/>
      <c r="C7" s="25"/>
      <c r="D7" s="25"/>
      <c r="E7" s="25"/>
      <c r="F7" s="72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69" t="s">
        <v>87</v>
      </c>
      <c r="B8" s="25"/>
      <c r="C8" s="25"/>
      <c r="D8" s="25"/>
      <c r="E8" s="25"/>
      <c r="F8" s="73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69" t="s">
        <v>88</v>
      </c>
      <c r="B9" s="25"/>
      <c r="C9" s="25"/>
      <c r="D9" s="25"/>
      <c r="E9" s="25"/>
      <c r="F9" s="73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69" t="s">
        <v>67</v>
      </c>
      <c r="B10" s="25"/>
      <c r="C10" s="25"/>
      <c r="D10" s="25"/>
      <c r="E10" s="25"/>
      <c r="F10" s="70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>
      <c r="A11" s="74" t="s">
        <v>89</v>
      </c>
      <c r="B11" s="30"/>
      <c r="C11" s="30"/>
      <c r="D11" s="30"/>
      <c r="E11" s="30"/>
      <c r="F11" s="7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>
      <c r="A13" s="25"/>
      <c r="B13" s="25"/>
      <c r="C13" s="25"/>
      <c r="D13" s="25"/>
      <c r="E13" s="25"/>
      <c r="F13" s="25"/>
      <c r="G13" s="210"/>
      <c r="H13" s="200"/>
      <c r="I13" s="200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>
      <c r="A14" s="77" t="s">
        <v>90</v>
      </c>
      <c r="B14" s="78"/>
      <c r="C14" s="79" t="s">
        <v>91</v>
      </c>
      <c r="D14" s="79" t="s">
        <v>92</v>
      </c>
      <c r="E14" s="79" t="s">
        <v>93</v>
      </c>
      <c r="F14" s="80"/>
      <c r="G14" s="25"/>
      <c r="H14" s="76"/>
      <c r="I14" s="76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69" t="s">
        <v>94</v>
      </c>
      <c r="B15" s="25"/>
      <c r="C15" s="81"/>
      <c r="D15" s="81"/>
      <c r="E15" s="81"/>
      <c r="F15" s="82"/>
      <c r="G15" s="8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69" t="s">
        <v>95</v>
      </c>
      <c r="B16" s="25"/>
      <c r="C16" s="81"/>
      <c r="D16" s="81"/>
      <c r="E16" s="81"/>
      <c r="F16" s="84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69" t="s">
        <v>96</v>
      </c>
      <c r="B17" s="25"/>
      <c r="C17" s="85"/>
      <c r="D17" s="85"/>
      <c r="E17" s="85"/>
      <c r="F17" s="84"/>
      <c r="G17" s="25"/>
      <c r="H17" s="8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69" t="s">
        <v>74</v>
      </c>
      <c r="B18" s="25"/>
      <c r="C18" s="85"/>
      <c r="D18" s="85"/>
      <c r="E18" s="85"/>
      <c r="F18" s="87"/>
      <c r="G18" s="25"/>
      <c r="H18" s="25"/>
      <c r="I18" s="86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69" t="s">
        <v>4</v>
      </c>
      <c r="B19" s="25"/>
      <c r="C19" s="25"/>
      <c r="D19" s="86"/>
      <c r="E19" s="86"/>
      <c r="F19" s="88"/>
      <c r="G19" s="25"/>
      <c r="H19" s="86"/>
      <c r="I19" s="86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89" t="s">
        <v>97</v>
      </c>
      <c r="B20" s="25"/>
      <c r="C20" s="25"/>
      <c r="D20" s="86"/>
      <c r="E20" s="86"/>
      <c r="F20" s="87"/>
      <c r="G20" s="25"/>
      <c r="H20" s="86"/>
      <c r="I20" s="86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69"/>
      <c r="B21" s="25" t="s">
        <v>98</v>
      </c>
      <c r="C21" s="25"/>
      <c r="D21" s="25"/>
      <c r="E21" s="90"/>
      <c r="F21" s="8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69"/>
      <c r="B22" s="91" t="s">
        <v>99</v>
      </c>
      <c r="C22" s="25"/>
      <c r="D22" s="25"/>
      <c r="E22" s="92"/>
      <c r="F22" s="8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89" t="s">
        <v>100</v>
      </c>
      <c r="B23" s="25"/>
      <c r="C23" s="25"/>
      <c r="D23" s="25"/>
      <c r="E23" s="86"/>
      <c r="F23" s="87"/>
      <c r="G23" s="25"/>
      <c r="H23" s="86"/>
      <c r="I23" s="86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" customHeight="1">
      <c r="A24" s="69"/>
      <c r="B24" s="91" t="s">
        <v>101</v>
      </c>
      <c r="C24" s="91"/>
      <c r="D24" s="25"/>
      <c r="E24" s="90"/>
      <c r="F24" s="8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" customHeight="1">
      <c r="A25" s="69"/>
      <c r="B25" s="91" t="s">
        <v>102</v>
      </c>
      <c r="C25" s="91"/>
      <c r="D25" s="25"/>
      <c r="E25" s="92"/>
      <c r="F25" s="8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89" t="s">
        <v>103</v>
      </c>
      <c r="B26" s="25"/>
      <c r="C26" s="25"/>
      <c r="D26" s="25"/>
      <c r="E26" s="86"/>
      <c r="F26" s="8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" customHeight="1">
      <c r="A27" s="69"/>
      <c r="B27" s="25" t="s">
        <v>104</v>
      </c>
      <c r="C27" s="25"/>
      <c r="D27" s="25"/>
      <c r="E27" s="86"/>
      <c r="F27" s="88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69"/>
      <c r="B28" s="25" t="s">
        <v>105</v>
      </c>
      <c r="C28" s="25"/>
      <c r="D28" s="25"/>
      <c r="E28" s="25"/>
      <c r="F28" s="88"/>
      <c r="G28" s="25"/>
      <c r="H28" s="86"/>
      <c r="I28" s="86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89" t="s">
        <v>106</v>
      </c>
      <c r="B29" s="25"/>
      <c r="C29" s="25"/>
      <c r="D29" s="25"/>
      <c r="E29" s="86"/>
      <c r="F29" s="88"/>
      <c r="G29" s="25"/>
      <c r="H29" s="86"/>
      <c r="I29" s="86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>
      <c r="A30" s="93" t="s">
        <v>107</v>
      </c>
      <c r="B30" s="94"/>
      <c r="C30" s="94"/>
      <c r="D30" s="95"/>
      <c r="E30" s="95"/>
      <c r="F30" s="96"/>
      <c r="G30" s="25"/>
      <c r="H30" s="25"/>
      <c r="I30" s="86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97" t="s">
        <v>108</v>
      </c>
      <c r="B31" s="98"/>
      <c r="C31" s="98"/>
      <c r="D31" s="99"/>
      <c r="E31" s="99"/>
      <c r="F31" s="88"/>
      <c r="G31" s="25"/>
      <c r="H31" s="86"/>
      <c r="I31" s="86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4.25" customHeight="1">
      <c r="A32" s="97" t="s">
        <v>109</v>
      </c>
      <c r="B32" s="98"/>
      <c r="C32" s="98"/>
      <c r="D32" s="99"/>
      <c r="E32" s="99"/>
      <c r="F32" s="87"/>
      <c r="G32" s="25"/>
      <c r="H32" s="25"/>
      <c r="I32" s="86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" customHeight="1">
      <c r="A33" s="74" t="s">
        <v>110</v>
      </c>
      <c r="B33" s="30"/>
      <c r="C33" s="30"/>
      <c r="D33" s="30"/>
      <c r="E33" s="30"/>
      <c r="F33" s="100"/>
      <c r="G33" s="25"/>
      <c r="H33" s="25"/>
      <c r="I33" s="25"/>
      <c r="J33" s="101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>
      <c r="A34" s="25"/>
      <c r="B34" s="25"/>
      <c r="C34" s="25"/>
      <c r="D34" s="25"/>
      <c r="E34" s="25"/>
      <c r="F34" s="25"/>
      <c r="G34" s="25"/>
      <c r="H34" s="102"/>
      <c r="I34" s="102"/>
      <c r="J34" s="10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>
      <c r="A35" s="77" t="s">
        <v>111</v>
      </c>
      <c r="B35" s="78"/>
      <c r="C35" s="103"/>
      <c r="D35" s="103"/>
      <c r="E35" s="103"/>
      <c r="F35" s="103"/>
      <c r="G35" s="103"/>
      <c r="H35" s="103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>
      <c r="A36" s="25"/>
      <c r="B36" s="25"/>
      <c r="C36" s="25"/>
      <c r="D36" s="25"/>
      <c r="E36" s="25"/>
      <c r="F36" s="25"/>
      <c r="G36" s="25"/>
      <c r="H36" s="102"/>
      <c r="I36" s="102"/>
      <c r="J36" s="102"/>
      <c r="K36" s="102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>
      <c r="A37" s="25"/>
      <c r="B37" s="77" t="s">
        <v>112</v>
      </c>
      <c r="C37" s="103"/>
      <c r="D37" s="103"/>
      <c r="E37" s="103"/>
      <c r="F37" s="103"/>
      <c r="G37" s="103"/>
      <c r="H37" s="104"/>
      <c r="I37" s="102"/>
      <c r="J37" s="10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106"/>
      <c r="C38" s="24" t="s">
        <v>28</v>
      </c>
      <c r="D38" s="25"/>
      <c r="E38" s="26" t="s">
        <v>29</v>
      </c>
      <c r="F38" s="26"/>
      <c r="G38" s="26"/>
      <c r="H38" s="27" t="s">
        <v>30</v>
      </c>
      <c r="I38" s="102"/>
      <c r="J38" s="24"/>
      <c r="K38" s="24"/>
      <c r="L38" s="76"/>
      <c r="M38" s="76"/>
      <c r="N38" s="24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>
      <c r="A39" s="25"/>
      <c r="B39" s="107" t="s">
        <v>113</v>
      </c>
      <c r="C39" s="29" t="s">
        <v>32</v>
      </c>
      <c r="D39" s="29" t="s">
        <v>33</v>
      </c>
      <c r="E39" s="29" t="s">
        <v>34</v>
      </c>
      <c r="F39" s="29" t="s">
        <v>35</v>
      </c>
      <c r="G39" s="30" t="s">
        <v>36</v>
      </c>
      <c r="H39" s="31" t="s">
        <v>37</v>
      </c>
      <c r="I39" s="102"/>
      <c r="J39" s="108"/>
      <c r="K39" s="24"/>
      <c r="L39" s="24"/>
      <c r="M39" s="25"/>
      <c r="N39" s="24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/>
      <c r="B40" s="109"/>
      <c r="C40" s="110"/>
      <c r="D40" s="111"/>
      <c r="E40" s="112"/>
      <c r="F40" s="85"/>
      <c r="G40" s="112"/>
      <c r="H40" s="113"/>
      <c r="I40" s="102"/>
      <c r="J40" s="114"/>
      <c r="K40" s="114"/>
      <c r="L40" s="86"/>
      <c r="M40" s="114"/>
      <c r="N40" s="114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/>
      <c r="B41" s="109"/>
      <c r="C41" s="110"/>
      <c r="D41" s="111"/>
      <c r="E41" s="112"/>
      <c r="F41" s="85"/>
      <c r="G41" s="112"/>
      <c r="H41" s="113"/>
      <c r="I41" s="102"/>
      <c r="J41" s="114"/>
      <c r="K41" s="114"/>
      <c r="L41" s="86"/>
      <c r="M41" s="114"/>
      <c r="N41" s="11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109"/>
      <c r="C42" s="110"/>
      <c r="D42" s="111"/>
      <c r="E42" s="112"/>
      <c r="F42" s="85"/>
      <c r="G42" s="112"/>
      <c r="H42" s="113"/>
      <c r="I42" s="102"/>
      <c r="J42" s="114"/>
      <c r="K42" s="114"/>
      <c r="L42" s="86"/>
      <c r="M42" s="114"/>
      <c r="N42" s="114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109"/>
      <c r="C43" s="110"/>
      <c r="D43" s="111"/>
      <c r="E43" s="112"/>
      <c r="F43" s="85"/>
      <c r="G43" s="112"/>
      <c r="H43" s="113"/>
      <c r="I43" s="102"/>
      <c r="J43" s="114"/>
      <c r="K43" s="114"/>
      <c r="L43" s="86"/>
      <c r="M43" s="114"/>
      <c r="N43" s="114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109"/>
      <c r="C44" s="110"/>
      <c r="D44" s="111"/>
      <c r="E44" s="112"/>
      <c r="F44" s="85"/>
      <c r="G44" s="112"/>
      <c r="H44" s="113"/>
      <c r="I44" s="102"/>
      <c r="J44" s="114"/>
      <c r="K44" s="114"/>
      <c r="L44" s="86"/>
      <c r="M44" s="114"/>
      <c r="N44" s="114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>
      <c r="A45" s="25"/>
      <c r="B45" s="74"/>
      <c r="C45" s="30"/>
      <c r="D45" s="30"/>
      <c r="E45" s="30"/>
      <c r="F45" s="30"/>
      <c r="G45" s="30"/>
      <c r="H45" s="115"/>
      <c r="I45" s="102"/>
      <c r="J45" s="25"/>
      <c r="K45" s="25"/>
      <c r="L45" s="25"/>
      <c r="M45" s="25"/>
      <c r="N45" s="11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>
      <c r="A46" s="25"/>
      <c r="B46" s="25"/>
      <c r="C46" s="25"/>
      <c r="D46" s="25"/>
      <c r="E46" s="25"/>
      <c r="F46" s="25"/>
      <c r="G46" s="25"/>
      <c r="H46" s="102"/>
      <c r="I46" s="102"/>
      <c r="J46" s="102"/>
      <c r="K46" s="102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>
      <c r="A47" s="25"/>
      <c r="B47" s="77" t="s">
        <v>114</v>
      </c>
      <c r="C47" s="103"/>
      <c r="D47" s="103"/>
      <c r="E47" s="103"/>
      <c r="F47" s="103"/>
      <c r="G47" s="104"/>
      <c r="H47" s="102"/>
      <c r="I47" s="102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116"/>
      <c r="C48" s="117"/>
      <c r="D48" s="117"/>
      <c r="E48" s="211" t="s">
        <v>115</v>
      </c>
      <c r="F48" s="118"/>
      <c r="G48" s="212" t="s">
        <v>116</v>
      </c>
      <c r="H48" s="102"/>
      <c r="I48" s="102"/>
      <c r="J48" s="91"/>
      <c r="K48" s="91"/>
      <c r="L48" s="25"/>
      <c r="M48" s="21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119" t="s">
        <v>117</v>
      </c>
      <c r="C49" s="120" t="s">
        <v>118</v>
      </c>
      <c r="D49" s="120" t="s">
        <v>119</v>
      </c>
      <c r="E49" s="200"/>
      <c r="F49" s="121" t="s">
        <v>120</v>
      </c>
      <c r="G49" s="213"/>
      <c r="H49" s="102"/>
      <c r="I49" s="102"/>
      <c r="J49" s="91"/>
      <c r="K49" s="120"/>
      <c r="L49" s="121"/>
      <c r="M49" s="200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69"/>
      <c r="C50" s="81"/>
      <c r="D50" s="81"/>
      <c r="E50" s="122"/>
      <c r="F50" s="123"/>
      <c r="G50" s="124"/>
      <c r="H50" s="102"/>
      <c r="I50" s="102"/>
      <c r="J50" s="25"/>
      <c r="K50" s="86"/>
      <c r="L50" s="125"/>
      <c r="M50" s="1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69"/>
      <c r="C51" s="81"/>
      <c r="D51" s="81"/>
      <c r="E51" s="122"/>
      <c r="F51" s="123"/>
      <c r="G51" s="124"/>
      <c r="H51" s="102"/>
      <c r="I51" s="102"/>
      <c r="J51" s="25"/>
      <c r="K51" s="86"/>
      <c r="L51" s="125"/>
      <c r="M51" s="1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69"/>
      <c r="C52" s="81"/>
      <c r="D52" s="81"/>
      <c r="E52" s="122"/>
      <c r="F52" s="126"/>
      <c r="G52" s="124"/>
      <c r="H52" s="102"/>
      <c r="I52" s="102"/>
      <c r="J52" s="25"/>
      <c r="K52" s="86"/>
      <c r="L52" s="125"/>
      <c r="M52" s="1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>
      <c r="A53" s="25"/>
      <c r="B53" s="74"/>
      <c r="C53" s="127"/>
      <c r="D53" s="127"/>
      <c r="E53" s="127"/>
      <c r="F53" s="128"/>
      <c r="G53" s="129"/>
      <c r="H53" s="102"/>
      <c r="I53" s="102"/>
      <c r="J53" s="25"/>
      <c r="K53" s="86"/>
      <c r="L53" s="125"/>
      <c r="M53" s="1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102"/>
      <c r="I54" s="102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102"/>
      <c r="I55" s="102"/>
      <c r="J55" s="102"/>
      <c r="K55" s="102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102"/>
      <c r="I56" s="102"/>
      <c r="J56" s="102"/>
      <c r="K56" s="102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130" t="s">
        <v>121</v>
      </c>
      <c r="B57" s="130"/>
      <c r="C57" s="130"/>
      <c r="D57" s="130"/>
      <c r="E57" s="130"/>
      <c r="F57" s="130"/>
      <c r="G57" s="130"/>
      <c r="H57" s="131" t="s">
        <v>122</v>
      </c>
      <c r="I57" s="131" t="s">
        <v>123</v>
      </c>
      <c r="J57" s="131" t="s">
        <v>124</v>
      </c>
      <c r="K57" s="131" t="s">
        <v>38</v>
      </c>
      <c r="L57" s="130" t="s">
        <v>125</v>
      </c>
      <c r="M57" s="130" t="s">
        <v>126</v>
      </c>
      <c r="N57" s="130" t="s">
        <v>127</v>
      </c>
      <c r="O57" s="130" t="s">
        <v>128</v>
      </c>
      <c r="P57" s="130" t="s">
        <v>129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 t="s">
        <v>130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 t="s">
        <v>131</v>
      </c>
      <c r="B59" s="25"/>
      <c r="C59" s="25"/>
      <c r="D59" s="25"/>
      <c r="E59" s="25"/>
      <c r="F59" s="25"/>
      <c r="G59" s="25" t="s">
        <v>188</v>
      </c>
      <c r="H59" s="81"/>
      <c r="I59" s="81"/>
      <c r="J59" s="132"/>
      <c r="K59" s="133"/>
      <c r="L59" s="81"/>
      <c r="M59" s="81"/>
      <c r="N59" s="81"/>
      <c r="O59" s="81"/>
      <c r="P59" s="81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5.25" customHeight="1">
      <c r="A60" s="25"/>
      <c r="B60" s="25"/>
      <c r="C60" s="25"/>
      <c r="D60" s="25"/>
      <c r="E60" s="25"/>
      <c r="F60" s="25"/>
      <c r="G60" s="25"/>
      <c r="H60" s="86"/>
      <c r="I60" s="86"/>
      <c r="J60" s="86"/>
      <c r="K60" s="8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 t="s">
        <v>132</v>
      </c>
      <c r="B61" s="25"/>
      <c r="C61" s="25"/>
      <c r="D61" s="25"/>
      <c r="E61" s="25"/>
      <c r="F61" s="25"/>
      <c r="G61" s="25" t="s">
        <v>188</v>
      </c>
      <c r="H61" s="81"/>
      <c r="I61" s="81"/>
      <c r="J61" s="81"/>
      <c r="K61" s="133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 t="s">
        <v>133</v>
      </c>
      <c r="B62" s="98"/>
      <c r="C62" s="98"/>
      <c r="D62" s="98"/>
      <c r="E62" s="98"/>
      <c r="F62" s="98"/>
      <c r="G62" s="98" t="s">
        <v>189</v>
      </c>
      <c r="H62" s="81"/>
      <c r="I62" s="81"/>
      <c r="J62" s="81"/>
      <c r="K62" s="99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5.75" customHeight="1">
      <c r="A63" s="134" t="s">
        <v>134</v>
      </c>
      <c r="B63" s="98"/>
      <c r="C63" s="98"/>
      <c r="D63" s="98"/>
      <c r="E63" s="98"/>
      <c r="F63" s="98"/>
      <c r="G63" s="98" t="s">
        <v>190</v>
      </c>
      <c r="H63" s="135"/>
      <c r="I63" s="135"/>
      <c r="J63" s="135"/>
      <c r="K63" s="133"/>
      <c r="L63" s="86"/>
      <c r="M63" s="86"/>
      <c r="N63" s="86"/>
      <c r="O63" s="86"/>
      <c r="P63" s="86"/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5.75" customHeight="1">
      <c r="A64" s="25" t="s">
        <v>135</v>
      </c>
      <c r="B64" s="25"/>
      <c r="C64" s="25"/>
      <c r="D64" s="25"/>
      <c r="E64" s="25"/>
      <c r="F64" s="25"/>
      <c r="G64" s="25" t="s">
        <v>191</v>
      </c>
      <c r="H64" s="81"/>
      <c r="I64" s="81"/>
      <c r="J64" s="81"/>
      <c r="K64" s="86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98" t="s">
        <v>136</v>
      </c>
      <c r="B65" s="98"/>
      <c r="C65" s="98"/>
      <c r="D65" s="98"/>
      <c r="E65" s="98"/>
      <c r="F65" s="98"/>
      <c r="G65" s="98" t="s">
        <v>191</v>
      </c>
      <c r="H65" s="135"/>
      <c r="I65" s="135"/>
      <c r="J65" s="135"/>
      <c r="K65" s="133"/>
      <c r="L65" s="86"/>
      <c r="M65" s="86"/>
      <c r="N65" s="86"/>
      <c r="O65" s="86"/>
      <c r="P65" s="86"/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6" customHeight="1">
      <c r="A66" s="25"/>
      <c r="B66" s="25"/>
      <c r="C66" s="25"/>
      <c r="D66" s="25"/>
      <c r="E66" s="25"/>
      <c r="F66" s="25"/>
      <c r="G66" s="25"/>
      <c r="H66" s="86"/>
      <c r="I66" s="86"/>
      <c r="J66" s="86"/>
      <c r="K66" s="8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 t="s">
        <v>137</v>
      </c>
      <c r="B67" s="25"/>
      <c r="C67" s="25"/>
      <c r="D67" s="25"/>
      <c r="E67" s="25"/>
      <c r="F67" s="25"/>
      <c r="G67" s="25" t="s">
        <v>188</v>
      </c>
      <c r="H67" s="81"/>
      <c r="I67" s="81"/>
      <c r="J67" s="81"/>
      <c r="K67" s="133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 t="s">
        <v>138</v>
      </c>
      <c r="B68" s="25"/>
      <c r="C68" s="25"/>
      <c r="D68" s="25"/>
      <c r="E68" s="25"/>
      <c r="F68" s="25"/>
      <c r="G68" s="25" t="s">
        <v>192</v>
      </c>
      <c r="H68" s="85"/>
      <c r="I68" s="85"/>
      <c r="J68" s="8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 t="s">
        <v>139</v>
      </c>
      <c r="B69" s="25"/>
      <c r="C69" s="25"/>
      <c r="D69" s="25"/>
      <c r="E69" s="25"/>
      <c r="F69" s="25"/>
      <c r="G69" s="25" t="s">
        <v>193</v>
      </c>
      <c r="H69" s="81"/>
      <c r="I69" s="81"/>
      <c r="J69" s="81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 t="s">
        <v>140</v>
      </c>
      <c r="B70" s="25"/>
      <c r="C70" s="25"/>
      <c r="D70" s="25"/>
      <c r="E70" s="25"/>
      <c r="F70" s="25"/>
      <c r="G70" s="25" t="s">
        <v>193</v>
      </c>
      <c r="H70" s="85"/>
      <c r="I70" s="85"/>
      <c r="J70" s="8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 t="s">
        <v>141</v>
      </c>
      <c r="B71" s="25"/>
      <c r="C71" s="25"/>
      <c r="D71" s="25"/>
      <c r="E71" s="25"/>
      <c r="F71" s="25"/>
      <c r="G71" s="25" t="s">
        <v>193</v>
      </c>
      <c r="H71" s="81"/>
      <c r="I71" s="81"/>
      <c r="J71" s="81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98" t="s">
        <v>142</v>
      </c>
      <c r="B72" s="25"/>
      <c r="C72" s="25"/>
      <c r="D72" s="25"/>
      <c r="E72" s="25"/>
      <c r="F72" s="25"/>
      <c r="G72" s="25" t="s">
        <v>194</v>
      </c>
      <c r="H72" s="135"/>
      <c r="I72" s="135"/>
      <c r="J72" s="13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 t="s">
        <v>143</v>
      </c>
      <c r="B73" s="25"/>
      <c r="C73" s="25"/>
      <c r="D73" s="25"/>
      <c r="E73" s="25"/>
      <c r="F73" s="25"/>
      <c r="G73" s="25" t="s">
        <v>188</v>
      </c>
      <c r="H73" s="81"/>
      <c r="I73" s="81"/>
      <c r="J73" s="81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98" t="s">
        <v>144</v>
      </c>
      <c r="B74" s="98"/>
      <c r="C74" s="98"/>
      <c r="D74" s="98"/>
      <c r="E74" s="98"/>
      <c r="F74" s="98"/>
      <c r="G74" s="98" t="s">
        <v>195</v>
      </c>
      <c r="H74" s="133"/>
      <c r="I74" s="133"/>
      <c r="J74" s="133"/>
      <c r="K74" s="133"/>
      <c r="L74" s="86"/>
      <c r="M74" s="86"/>
      <c r="N74" s="86"/>
      <c r="O74" s="86"/>
      <c r="P74" s="86"/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5.75" customHeight="1">
      <c r="A75" s="25"/>
      <c r="B75" s="25"/>
      <c r="C75" s="25"/>
      <c r="D75" s="25"/>
      <c r="E75" s="25"/>
      <c r="F75" s="25"/>
      <c r="G75" s="25"/>
      <c r="H75" s="86"/>
      <c r="I75" s="86"/>
      <c r="J75" s="86"/>
      <c r="K75" s="8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 t="s">
        <v>145</v>
      </c>
      <c r="B76" s="25"/>
      <c r="C76" s="25"/>
      <c r="D76" s="25"/>
      <c r="E76" s="25"/>
      <c r="F76" s="25"/>
      <c r="G76" s="25" t="s">
        <v>188</v>
      </c>
      <c r="H76" s="81"/>
      <c r="I76" s="81"/>
      <c r="J76" s="81"/>
      <c r="K76" s="8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 t="s">
        <v>146</v>
      </c>
      <c r="B77" s="25"/>
      <c r="C77" s="25"/>
      <c r="D77" s="25"/>
      <c r="E77" s="25"/>
      <c r="F77" s="25"/>
      <c r="G77" s="25"/>
      <c r="H77" s="136"/>
      <c r="I77" s="136"/>
      <c r="J77" s="136"/>
      <c r="K77" s="136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86"/>
      <c r="I78" s="86"/>
      <c r="J78" s="86"/>
      <c r="K78" s="86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5.75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91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5.75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5.75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5.75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5.75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5.75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5.75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5.75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5.75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5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5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5.75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5.75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5.75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5.75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5.75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4">
    <mergeCell ref="G13:I13"/>
    <mergeCell ref="E48:E49"/>
    <mergeCell ref="G48:G49"/>
    <mergeCell ref="M48:M49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15" zoomScale="70" zoomScaleNormal="70" workbookViewId="0">
      <selection activeCell="K44" sqref="K44"/>
    </sheetView>
  </sheetViews>
  <sheetFormatPr defaultColWidth="14.42578125" defaultRowHeight="15" customHeight="1"/>
  <cols>
    <col min="1" max="1" width="14.140625" customWidth="1"/>
    <col min="2" max="2" width="33.5703125" customWidth="1"/>
    <col min="3" max="3" width="17" customWidth="1"/>
    <col min="4" max="5" width="10.5703125" customWidth="1"/>
    <col min="6" max="6" width="11.42578125" customWidth="1"/>
    <col min="7" max="7" width="13.42578125" customWidth="1"/>
    <col min="8" max="8" width="14" customWidth="1"/>
    <col min="9" max="9" width="13" customWidth="1"/>
    <col min="10" max="10" width="9.5703125" customWidth="1"/>
    <col min="11" max="11" width="12" customWidth="1"/>
    <col min="12" max="12" width="10.42578125" customWidth="1"/>
    <col min="13" max="13" width="11.5703125" customWidth="1"/>
    <col min="14" max="26" width="11.42578125" customWidth="1"/>
  </cols>
  <sheetData>
    <row r="1" spans="1:26" ht="15.75" customHeight="1">
      <c r="A1" s="63" t="s">
        <v>202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5.75" customHeight="1">
      <c r="A2" s="65" t="str">
        <f>"(In "&amp;F10&amp;" Millions Except Per Share Data)"</f>
        <v>(In USD Millions Except Per Share Data)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customHeight="1" thickBo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66" t="s">
        <v>83</v>
      </c>
      <c r="B4" s="67"/>
      <c r="C4" s="67"/>
      <c r="D4" s="67"/>
      <c r="E4" s="67"/>
      <c r="F4" s="68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69" t="s">
        <v>84</v>
      </c>
      <c r="B5" s="25"/>
      <c r="C5" s="25"/>
      <c r="D5" s="25"/>
      <c r="E5" s="25"/>
      <c r="F5" s="70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69" t="s">
        <v>85</v>
      </c>
      <c r="B6" s="25"/>
      <c r="C6" s="25"/>
      <c r="D6" s="25"/>
      <c r="E6" s="25"/>
      <c r="F6" s="71">
        <v>45684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69" t="s">
        <v>86</v>
      </c>
      <c r="B7" s="25"/>
      <c r="C7" s="25"/>
      <c r="D7" s="25"/>
      <c r="E7" s="25"/>
      <c r="F7" s="72" t="s">
        <v>197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69" t="s">
        <v>87</v>
      </c>
      <c r="B8" s="25"/>
      <c r="C8" s="25"/>
      <c r="D8" s="25"/>
      <c r="E8" s="25"/>
      <c r="F8" s="73">
        <v>45657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69" t="s">
        <v>88</v>
      </c>
      <c r="B9" s="25"/>
      <c r="C9" s="25"/>
      <c r="D9" s="25"/>
      <c r="E9" s="25"/>
      <c r="F9" s="73" t="s">
        <v>201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69" t="s">
        <v>67</v>
      </c>
      <c r="B10" s="25"/>
      <c r="C10" s="25"/>
      <c r="D10" s="25"/>
      <c r="E10" s="25"/>
      <c r="F10" s="70" t="s">
        <v>49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 thickBot="1">
      <c r="A11" s="74" t="s">
        <v>89</v>
      </c>
      <c r="B11" s="30"/>
      <c r="C11" s="30"/>
      <c r="D11" s="30"/>
      <c r="E11" s="30"/>
      <c r="F11" s="75">
        <v>0.27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 thickBot="1">
      <c r="A13" s="25"/>
      <c r="B13" s="25"/>
      <c r="C13" s="25"/>
      <c r="D13" s="25"/>
      <c r="E13" s="25"/>
      <c r="F13" s="25"/>
      <c r="G13" s="210"/>
      <c r="H13" s="200"/>
      <c r="I13" s="200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 thickBot="1">
      <c r="A14" s="77" t="s">
        <v>90</v>
      </c>
      <c r="B14" s="78"/>
      <c r="C14" s="79" t="s">
        <v>91</v>
      </c>
      <c r="D14" s="79" t="s">
        <v>92</v>
      </c>
      <c r="E14" s="79" t="s">
        <v>93</v>
      </c>
      <c r="F14" s="80"/>
      <c r="G14" s="25"/>
      <c r="H14" s="76"/>
      <c r="I14" s="76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69" t="s">
        <v>94</v>
      </c>
      <c r="B15" s="25"/>
      <c r="C15" s="137">
        <v>103.5</v>
      </c>
      <c r="D15" s="81"/>
      <c r="E15" s="81"/>
      <c r="F15" s="82"/>
      <c r="G15" s="8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69" t="s">
        <v>95</v>
      </c>
      <c r="B16" s="25"/>
      <c r="C16" s="81">
        <v>59.38</v>
      </c>
      <c r="D16" s="81"/>
      <c r="E16" s="81"/>
      <c r="F16" s="84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69" t="s">
        <v>96</v>
      </c>
      <c r="B17" s="25"/>
      <c r="C17" s="85">
        <f>C16+H45+G53</f>
        <v>64.974199178644767</v>
      </c>
      <c r="D17" s="85"/>
      <c r="E17" s="85"/>
      <c r="F17" s="84"/>
      <c r="G17" s="25"/>
      <c r="H17" s="8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69" t="s">
        <v>74</v>
      </c>
      <c r="B18" s="25"/>
      <c r="C18" s="85">
        <f>C15*C17</f>
        <v>6724.8296149897333</v>
      </c>
      <c r="D18" s="85"/>
      <c r="E18" s="85"/>
      <c r="F18" s="87">
        <f>SUM(C18:E18)</f>
        <v>6724.8296149897333</v>
      </c>
      <c r="G18" s="25"/>
      <c r="H18" s="25"/>
      <c r="I18" s="86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69" t="s">
        <v>4</v>
      </c>
      <c r="B19" s="25"/>
      <c r="C19" s="25"/>
      <c r="D19" s="86"/>
      <c r="E19" s="86"/>
      <c r="F19" s="88"/>
      <c r="G19" s="25"/>
      <c r="H19" s="86"/>
      <c r="I19" s="86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89" t="s">
        <v>97</v>
      </c>
      <c r="B20" s="25"/>
      <c r="C20" s="25"/>
      <c r="D20" s="86"/>
      <c r="E20" s="86"/>
      <c r="F20" s="87">
        <f>E21</f>
        <v>0</v>
      </c>
      <c r="G20" s="25"/>
      <c r="H20" s="86"/>
      <c r="I20" s="86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69"/>
      <c r="B21" s="25" t="s">
        <v>98</v>
      </c>
      <c r="C21" s="25"/>
      <c r="D21" s="25"/>
      <c r="E21" s="90">
        <v>0</v>
      </c>
      <c r="F21" s="8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69"/>
      <c r="B22" s="91" t="s">
        <v>99</v>
      </c>
      <c r="C22" s="25"/>
      <c r="D22" s="25"/>
      <c r="E22" s="92">
        <v>0</v>
      </c>
      <c r="F22" s="8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89" t="s">
        <v>100</v>
      </c>
      <c r="B23" s="25"/>
      <c r="C23" s="25"/>
      <c r="D23" s="25"/>
      <c r="E23" s="86"/>
      <c r="F23" s="87">
        <f>SUM(E24:E25)</f>
        <v>1417.89</v>
      </c>
      <c r="G23" s="25"/>
      <c r="H23" s="86"/>
      <c r="I23" s="86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" customHeight="1">
      <c r="A24" s="69"/>
      <c r="B24" s="91" t="s">
        <v>101</v>
      </c>
      <c r="C24" s="91"/>
      <c r="D24" s="25"/>
      <c r="E24" s="90">
        <v>1417.89</v>
      </c>
      <c r="F24" s="8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" customHeight="1">
      <c r="A25" s="69"/>
      <c r="B25" s="91" t="s">
        <v>102</v>
      </c>
      <c r="C25" s="91"/>
      <c r="D25" s="25"/>
      <c r="E25" s="92">
        <v>0</v>
      </c>
      <c r="F25" s="8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89" t="s">
        <v>103</v>
      </c>
      <c r="B26" s="25"/>
      <c r="C26" s="25"/>
      <c r="D26" s="25"/>
      <c r="E26" s="86"/>
      <c r="F26" s="8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" customHeight="1">
      <c r="A27" s="69"/>
      <c r="B27" s="25" t="s">
        <v>104</v>
      </c>
      <c r="C27" s="25"/>
      <c r="D27" s="25"/>
      <c r="E27" s="86"/>
      <c r="F27" s="88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69"/>
      <c r="B28" s="25" t="s">
        <v>105</v>
      </c>
      <c r="C28" s="25"/>
      <c r="D28" s="25"/>
      <c r="E28" s="25"/>
      <c r="F28" s="88"/>
      <c r="G28" s="25"/>
      <c r="H28" s="86"/>
      <c r="I28" s="86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89" t="s">
        <v>106</v>
      </c>
      <c r="B29" s="25"/>
      <c r="C29" s="25"/>
      <c r="D29" s="25"/>
      <c r="E29" s="86"/>
      <c r="F29" s="88">
        <v>180.4</v>
      </c>
      <c r="G29" s="25"/>
      <c r="H29" s="86"/>
      <c r="I29" s="86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 thickBot="1">
      <c r="A30" s="93" t="s">
        <v>107</v>
      </c>
      <c r="B30" s="94"/>
      <c r="C30" s="94"/>
      <c r="D30" s="95"/>
      <c r="E30" s="95"/>
      <c r="F30" s="96">
        <f>F18+F19+F20+F23+F27+F28-F29</f>
        <v>7962.319614989734</v>
      </c>
      <c r="G30" s="25"/>
      <c r="H30" s="25"/>
      <c r="I30" s="86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97" t="s">
        <v>108</v>
      </c>
      <c r="B31" s="98"/>
      <c r="C31" s="98"/>
      <c r="D31" s="99"/>
      <c r="E31" s="99"/>
      <c r="F31" s="88">
        <v>1046.1189999999999</v>
      </c>
      <c r="G31" s="25"/>
      <c r="H31" s="86"/>
      <c r="I31" s="86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4.25" customHeight="1">
      <c r="A32" s="97" t="s">
        <v>109</v>
      </c>
      <c r="B32" s="98"/>
      <c r="C32" s="98"/>
      <c r="D32" s="99"/>
      <c r="E32" s="99"/>
      <c r="F32" s="87">
        <f>F30-F31</f>
        <v>6916.2006149897343</v>
      </c>
      <c r="G32" s="25"/>
      <c r="H32" s="25"/>
      <c r="I32" s="86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" customHeight="1" thickBot="1">
      <c r="A33" s="74" t="s">
        <v>110</v>
      </c>
      <c r="B33" s="30"/>
      <c r="C33" s="30"/>
      <c r="D33" s="30"/>
      <c r="E33" s="30"/>
      <c r="F33" s="138">
        <f>F18/SUM(C17:E17)</f>
        <v>103.5</v>
      </c>
      <c r="G33" s="25"/>
      <c r="H33" s="25"/>
      <c r="I33" s="25"/>
      <c r="J33" s="101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 thickBot="1">
      <c r="A34" s="25"/>
      <c r="B34" s="25"/>
      <c r="C34" s="25"/>
      <c r="D34" s="25"/>
      <c r="E34" s="25"/>
      <c r="F34" s="25"/>
      <c r="G34" s="25"/>
      <c r="H34" s="102"/>
      <c r="I34" s="102"/>
      <c r="J34" s="10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 thickBot="1">
      <c r="A35" s="77" t="s">
        <v>111</v>
      </c>
      <c r="B35" s="78"/>
      <c r="C35" s="103"/>
      <c r="D35" s="103"/>
      <c r="E35" s="103"/>
      <c r="F35" s="103"/>
      <c r="G35" s="103"/>
      <c r="H35" s="103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 thickBot="1">
      <c r="A36" s="25"/>
      <c r="B36" s="25"/>
      <c r="C36" s="25"/>
      <c r="D36" s="25"/>
      <c r="E36" s="25"/>
      <c r="F36" s="25"/>
      <c r="G36" s="25"/>
      <c r="H36" s="102"/>
      <c r="I36" s="102"/>
      <c r="J36" s="102"/>
      <c r="K36" s="102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 thickBot="1">
      <c r="A37" s="25"/>
      <c r="B37" s="77" t="s">
        <v>147</v>
      </c>
      <c r="C37" s="103"/>
      <c r="D37" s="103"/>
      <c r="E37" s="103"/>
      <c r="F37" s="103"/>
      <c r="G37" s="103"/>
      <c r="H37" s="104"/>
      <c r="I37" s="102"/>
      <c r="J37" s="10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106"/>
      <c r="C38" s="24" t="s">
        <v>28</v>
      </c>
      <c r="D38" s="25"/>
      <c r="E38" s="26" t="s">
        <v>29</v>
      </c>
      <c r="F38" s="26"/>
      <c r="G38" s="26"/>
      <c r="H38" s="27" t="s">
        <v>30</v>
      </c>
      <c r="I38" s="102"/>
      <c r="J38" s="24"/>
      <c r="K38" s="24"/>
      <c r="L38" s="76"/>
      <c r="M38" s="76"/>
      <c r="N38" s="24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 thickBot="1">
      <c r="A39" s="25"/>
      <c r="B39" s="107" t="s">
        <v>113</v>
      </c>
      <c r="C39" s="29" t="s">
        <v>32</v>
      </c>
      <c r="D39" s="29" t="s">
        <v>33</v>
      </c>
      <c r="E39" s="29" t="s">
        <v>34</v>
      </c>
      <c r="F39" s="29" t="s">
        <v>35</v>
      </c>
      <c r="G39" s="30" t="s">
        <v>36</v>
      </c>
      <c r="H39" s="31" t="s">
        <v>37</v>
      </c>
      <c r="I39" s="102"/>
      <c r="J39" s="108"/>
      <c r="K39" s="24"/>
      <c r="L39" s="24"/>
      <c r="M39" s="25"/>
      <c r="N39" s="24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 t="s">
        <v>204</v>
      </c>
      <c r="B40">
        <f>8718000/10^6</f>
        <v>8.718</v>
      </c>
      <c r="C40">
        <v>6.98</v>
      </c>
      <c r="D40" s="172" t="str">
        <f>IF([2]Wendys!C15&gt;C40,"Yes",0)</f>
        <v>Yes</v>
      </c>
      <c r="E40" s="170">
        <f>IF(D40="Yes",B40,0)</f>
        <v>8.718</v>
      </c>
      <c r="F40" s="171">
        <f>E40*C40</f>
        <v>60.851640000000003</v>
      </c>
      <c r="G40" s="170">
        <f>F40/[2]Wendys!C15</f>
        <v>3.1238008213552364</v>
      </c>
      <c r="H40" s="169">
        <f>E40-G40</f>
        <v>5.5941991786447636</v>
      </c>
      <c r="I40" s="102"/>
      <c r="J40" s="114"/>
      <c r="K40" s="114"/>
      <c r="L40" s="86"/>
      <c r="M40" s="114"/>
      <c r="N40" s="114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/>
      <c r="C41" s="173"/>
      <c r="D41" s="172" t="str">
        <f>IF([2]Wendys!C16&gt;C41,"Yes",0)</f>
        <v>Yes</v>
      </c>
      <c r="E41" s="170">
        <f>IF(D41="Yes",B41,0)</f>
        <v>0</v>
      </c>
      <c r="F41" s="171">
        <f>E41*C41</f>
        <v>0</v>
      </c>
      <c r="G41" s="170">
        <f>F41/[2]Wendys!C16</f>
        <v>0</v>
      </c>
      <c r="H41" s="169">
        <f>E41-G41</f>
        <v>0</v>
      </c>
      <c r="I41" s="102"/>
      <c r="J41" s="114"/>
      <c r="K41" s="114"/>
      <c r="L41" s="86"/>
      <c r="M41" s="114"/>
      <c r="N41" s="11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174"/>
      <c r="C42" s="173"/>
      <c r="D42" s="172"/>
      <c r="E42" s="170"/>
      <c r="F42" s="171"/>
      <c r="G42" s="170"/>
      <c r="H42" s="169"/>
      <c r="I42" s="102"/>
      <c r="J42" s="114"/>
      <c r="K42" s="114"/>
      <c r="L42" s="86"/>
      <c r="M42" s="114"/>
      <c r="N42" s="114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109"/>
      <c r="C43" s="110"/>
      <c r="D43" s="111"/>
      <c r="E43" s="112"/>
      <c r="F43" s="85"/>
      <c r="G43" s="112"/>
      <c r="H43" s="113"/>
      <c r="I43" s="102"/>
      <c r="J43" s="114"/>
      <c r="K43" s="114"/>
      <c r="L43" s="86"/>
      <c r="M43" s="114"/>
      <c r="N43" s="114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109"/>
      <c r="C44" s="110"/>
      <c r="D44" s="111"/>
      <c r="E44" s="112"/>
      <c r="F44" s="85"/>
      <c r="G44" s="112"/>
      <c r="H44" s="113"/>
      <c r="I44" s="102"/>
      <c r="J44" s="114"/>
      <c r="K44" s="114"/>
      <c r="L44" s="86"/>
      <c r="M44" s="114"/>
      <c r="N44" s="114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 thickBot="1">
      <c r="A45" s="25"/>
      <c r="B45" s="74"/>
      <c r="C45" s="30"/>
      <c r="D45" s="30"/>
      <c r="E45" s="30"/>
      <c r="F45" s="30"/>
      <c r="G45" s="30"/>
      <c r="H45" s="115">
        <f>SUM(H40:H44)</f>
        <v>5.5941991786447636</v>
      </c>
      <c r="I45" s="102"/>
      <c r="J45" s="25"/>
      <c r="K45" s="25"/>
      <c r="L45" s="25"/>
      <c r="M45" s="25"/>
      <c r="N45" s="11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 thickBot="1">
      <c r="A46" s="25"/>
      <c r="B46" s="25"/>
      <c r="C46" s="25"/>
      <c r="D46" s="25"/>
      <c r="E46" s="25"/>
      <c r="F46" s="25"/>
      <c r="G46" s="25"/>
      <c r="H46" s="102"/>
      <c r="I46" s="102"/>
      <c r="J46" s="102"/>
      <c r="K46" s="102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 thickBot="1">
      <c r="A47" s="25"/>
      <c r="B47" s="77" t="s">
        <v>114</v>
      </c>
      <c r="C47" s="103"/>
      <c r="D47" s="103"/>
      <c r="E47" s="103"/>
      <c r="F47" s="103"/>
      <c r="G47" s="104"/>
      <c r="H47" s="102"/>
      <c r="I47" s="102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116"/>
      <c r="C48" s="117"/>
      <c r="D48" s="117"/>
      <c r="E48" s="211" t="s">
        <v>115</v>
      </c>
      <c r="F48" s="118"/>
      <c r="G48" s="212" t="s">
        <v>116</v>
      </c>
      <c r="H48" s="102"/>
      <c r="I48" s="102"/>
      <c r="J48" s="91"/>
      <c r="K48" s="91"/>
      <c r="L48" s="25"/>
      <c r="M48" s="21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119" t="s">
        <v>117</v>
      </c>
      <c r="C49" s="120" t="s">
        <v>118</v>
      </c>
      <c r="D49" s="120" t="s">
        <v>119</v>
      </c>
      <c r="E49" s="200"/>
      <c r="F49" s="121" t="s">
        <v>120</v>
      </c>
      <c r="G49" s="213"/>
      <c r="H49" s="102"/>
      <c r="I49" s="102"/>
      <c r="J49" s="91"/>
      <c r="K49" s="120"/>
      <c r="L49" s="121"/>
      <c r="M49" s="200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69" t="s">
        <v>205</v>
      </c>
      <c r="C50" s="81"/>
      <c r="D50" s="81"/>
      <c r="E50" s="122">
        <v>1E-3</v>
      </c>
      <c r="F50" s="123">
        <v>1</v>
      </c>
      <c r="G50" s="124"/>
      <c r="H50" s="102"/>
      <c r="I50" s="102"/>
      <c r="J50" s="25"/>
      <c r="K50" s="86"/>
      <c r="L50" s="125"/>
      <c r="M50" s="1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69"/>
      <c r="C51" s="81"/>
      <c r="D51" s="81"/>
      <c r="E51" s="122"/>
      <c r="F51" s="123"/>
      <c r="G51" s="124"/>
      <c r="H51" s="102"/>
      <c r="I51" s="102"/>
      <c r="J51" s="25"/>
      <c r="K51" s="86"/>
      <c r="L51" s="125"/>
      <c r="M51" s="1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69"/>
      <c r="C52" s="81"/>
      <c r="D52" s="81"/>
      <c r="E52" s="122"/>
      <c r="F52" s="126"/>
      <c r="G52" s="124"/>
      <c r="H52" s="102"/>
      <c r="I52" s="102"/>
      <c r="J52" s="25"/>
      <c r="K52" s="86"/>
      <c r="L52" s="125"/>
      <c r="M52" s="1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 thickBot="1">
      <c r="A53" s="25"/>
      <c r="B53" s="74"/>
      <c r="C53" s="127"/>
      <c r="D53" s="127"/>
      <c r="E53" s="127"/>
      <c r="F53" s="128"/>
      <c r="G53" s="129"/>
      <c r="H53" s="102"/>
      <c r="I53" s="102"/>
      <c r="J53" s="25"/>
      <c r="K53" s="86"/>
      <c r="L53" s="125"/>
      <c r="M53" s="1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102"/>
      <c r="I54" s="102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102"/>
      <c r="I55" s="102"/>
      <c r="J55" s="102"/>
      <c r="K55" s="102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102">
        <v>45657</v>
      </c>
      <c r="I56" s="102"/>
      <c r="J56" s="102"/>
      <c r="K56" s="102"/>
      <c r="L56" s="215" t="s">
        <v>148</v>
      </c>
      <c r="M56" s="216"/>
      <c r="N56" s="217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130" t="s">
        <v>121</v>
      </c>
      <c r="B57" s="130"/>
      <c r="C57" s="130"/>
      <c r="D57" s="130"/>
      <c r="E57" s="130"/>
      <c r="F57" s="130"/>
      <c r="G57" s="130"/>
      <c r="H57" s="131" t="s">
        <v>122</v>
      </c>
      <c r="I57" s="131" t="s">
        <v>123</v>
      </c>
      <c r="J57" s="131" t="s">
        <v>124</v>
      </c>
      <c r="K57" s="131" t="s">
        <v>38</v>
      </c>
      <c r="L57" s="131" t="s">
        <v>125</v>
      </c>
      <c r="M57" s="131" t="s">
        <v>126</v>
      </c>
      <c r="N57" s="131" t="s">
        <v>127</v>
      </c>
      <c r="O57" s="139"/>
      <c r="P57" s="131" t="s">
        <v>149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 t="s">
        <v>130</v>
      </c>
      <c r="I58" s="25" t="s">
        <v>150</v>
      </c>
      <c r="J58" s="25" t="s">
        <v>150</v>
      </c>
      <c r="K58" s="25"/>
      <c r="L58" s="140">
        <v>45657</v>
      </c>
      <c r="M58" s="140">
        <f>EDATE(L58,12)</f>
        <v>46022</v>
      </c>
      <c r="N58" s="140">
        <f>EDATE(M58,12)</f>
        <v>46387</v>
      </c>
      <c r="O58" s="141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 t="s">
        <v>131</v>
      </c>
      <c r="B59" s="25"/>
      <c r="C59" s="25"/>
      <c r="D59" s="25"/>
      <c r="E59" s="25"/>
      <c r="F59" s="25"/>
      <c r="H59" s="81">
        <f>4102108000/10^6</f>
        <v>4102.1080000000002</v>
      </c>
      <c r="I59" s="81"/>
      <c r="J59" s="132"/>
      <c r="K59" s="133">
        <f>H59+I59+J59</f>
        <v>4102.1080000000002</v>
      </c>
      <c r="L59" s="81">
        <v>4102</v>
      </c>
      <c r="M59" s="81">
        <v>4181</v>
      </c>
      <c r="N59" s="81">
        <v>4345</v>
      </c>
      <c r="O59" s="142"/>
      <c r="P59" s="143">
        <f>(N59/H59)^(1/3)-1</f>
        <v>1.9359943131759039E-2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5.25" customHeight="1">
      <c r="A60" s="25"/>
      <c r="B60" s="25"/>
      <c r="C60" s="25"/>
      <c r="D60" s="25"/>
      <c r="E60" s="25"/>
      <c r="F60" s="25"/>
      <c r="H60" s="86"/>
      <c r="I60" s="86"/>
      <c r="J60" s="86"/>
      <c r="K60" s="8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 t="s">
        <v>132</v>
      </c>
      <c r="B61" s="25"/>
      <c r="C61" s="25"/>
      <c r="D61" s="25"/>
      <c r="E61" s="25"/>
      <c r="F61" s="25"/>
      <c r="H61" s="81">
        <f>1021911/10^3</f>
        <v>1021.9109999999999</v>
      </c>
      <c r="I61" s="81"/>
      <c r="J61" s="81"/>
      <c r="K61" s="133">
        <f>H61+I61+J61</f>
        <v>1021.9109999999999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 t="s">
        <v>133</v>
      </c>
      <c r="B62" s="98"/>
      <c r="C62" s="98"/>
      <c r="D62" s="98"/>
      <c r="E62" s="98"/>
      <c r="F62" s="98"/>
      <c r="H62" s="81">
        <f>H61-H63</f>
        <v>111.32599999999991</v>
      </c>
      <c r="I62" s="81">
        <f t="shared" ref="I62:J62" si="0">I61-I63</f>
        <v>0</v>
      </c>
      <c r="J62" s="81">
        <f t="shared" si="0"/>
        <v>0</v>
      </c>
      <c r="K62" s="99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5.75" customHeight="1">
      <c r="A63" s="134" t="s">
        <v>134</v>
      </c>
      <c r="B63" s="98"/>
      <c r="C63" s="98"/>
      <c r="D63" s="98"/>
      <c r="E63" s="98"/>
      <c r="F63" s="98"/>
      <c r="H63" s="135">
        <f>910585/10^3</f>
        <v>910.58500000000004</v>
      </c>
      <c r="I63" s="135"/>
      <c r="J63" s="135"/>
      <c r="K63" s="133">
        <f>H63+I63+J63</f>
        <v>910.58500000000004</v>
      </c>
      <c r="L63" s="81">
        <v>1050</v>
      </c>
      <c r="M63" s="81">
        <v>996.2</v>
      </c>
      <c r="N63" s="81">
        <v>1027</v>
      </c>
      <c r="O63" s="86"/>
      <c r="P63" s="143">
        <f>(N63/H63)^(1/3)-1</f>
        <v>4.0918316254286768E-2</v>
      </c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5.75" customHeight="1">
      <c r="A64" s="25" t="s">
        <v>135</v>
      </c>
      <c r="B64" s="25"/>
      <c r="C64" s="25"/>
      <c r="D64" s="25"/>
      <c r="E64" s="25"/>
      <c r="F64" s="25"/>
      <c r="H64" s="81">
        <f>69840/10^3</f>
        <v>69.84</v>
      </c>
      <c r="I64" s="81"/>
      <c r="J64" s="81"/>
      <c r="K64" s="86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98" t="s">
        <v>136</v>
      </c>
      <c r="B65" s="98"/>
      <c r="C65" s="98"/>
      <c r="D65" s="98"/>
      <c r="E65" s="98"/>
      <c r="F65" s="98"/>
      <c r="H65" s="135">
        <f>H63+H64</f>
        <v>980.42500000000007</v>
      </c>
      <c r="I65" s="135"/>
      <c r="J65" s="135"/>
      <c r="K65" s="133">
        <f>H65+I65+J65</f>
        <v>980.42500000000007</v>
      </c>
      <c r="L65" s="81">
        <v>1120</v>
      </c>
      <c r="M65" s="81">
        <v>1072</v>
      </c>
      <c r="N65" s="81">
        <v>1096</v>
      </c>
      <c r="O65" s="86"/>
      <c r="P65" s="143">
        <f>(N65/H65)^(1/3)-1</f>
        <v>3.7843952635439271E-2</v>
      </c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6" customHeight="1">
      <c r="A66" s="25"/>
      <c r="B66" s="25"/>
      <c r="C66" s="25"/>
      <c r="D66" s="25"/>
      <c r="E66" s="25"/>
      <c r="F66" s="25"/>
      <c r="H66" s="86"/>
      <c r="I66" s="86"/>
      <c r="J66" s="86"/>
      <c r="K66" s="8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 t="s">
        <v>137</v>
      </c>
      <c r="B67" s="25"/>
      <c r="C67" s="25"/>
      <c r="D67" s="25"/>
      <c r="E67" s="25"/>
      <c r="F67" s="25"/>
      <c r="H67" s="81">
        <f>950071/10^3</f>
        <v>950.07100000000003</v>
      </c>
      <c r="I67" s="81"/>
      <c r="J67" s="81"/>
      <c r="K67" s="133">
        <f>H67+I67+J67</f>
        <v>950.07100000000003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 t="s">
        <v>138</v>
      </c>
      <c r="B68" s="25"/>
      <c r="C68" s="25"/>
      <c r="D68" s="25"/>
      <c r="E68" s="25"/>
      <c r="F68" s="25"/>
      <c r="H68" s="81"/>
      <c r="I68" s="81"/>
      <c r="J68" s="81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 t="s">
        <v>139</v>
      </c>
      <c r="B69" s="25"/>
      <c r="C69" s="25"/>
      <c r="D69" s="25"/>
      <c r="E69" s="25"/>
      <c r="F69" s="25"/>
      <c r="H69" s="81"/>
      <c r="I69" s="81"/>
      <c r="J69" s="81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 t="s">
        <v>140</v>
      </c>
      <c r="B70" s="25"/>
      <c r="C70" s="25"/>
      <c r="D70" s="25"/>
      <c r="E70" s="25"/>
      <c r="F70" s="25"/>
      <c r="H70" s="81"/>
      <c r="I70" s="81"/>
      <c r="J70" s="81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 t="s">
        <v>141</v>
      </c>
      <c r="B71" s="25"/>
      <c r="C71" s="25"/>
      <c r="D71" s="25"/>
      <c r="E71" s="25"/>
      <c r="F71" s="25"/>
      <c r="H71" s="81"/>
      <c r="I71" s="81"/>
      <c r="J71" s="81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98" t="s">
        <v>142</v>
      </c>
      <c r="B72" s="25"/>
      <c r="C72" s="25"/>
      <c r="D72" s="25"/>
      <c r="E72" s="25"/>
      <c r="F72" s="25"/>
      <c r="H72" s="135">
        <f>H67+H71</f>
        <v>950.07100000000003</v>
      </c>
      <c r="I72" s="135"/>
      <c r="J72" s="13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 t="s">
        <v>143</v>
      </c>
      <c r="B73" s="25"/>
      <c r="C73" s="25"/>
      <c r="D73" s="25"/>
      <c r="E73" s="25"/>
      <c r="F73" s="25"/>
      <c r="H73" s="81">
        <v>0</v>
      </c>
      <c r="I73" s="81"/>
      <c r="J73" s="81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98" t="s">
        <v>144</v>
      </c>
      <c r="B74" s="98"/>
      <c r="C74" s="98"/>
      <c r="D74" s="98"/>
      <c r="E74" s="98"/>
      <c r="F74" s="98"/>
      <c r="H74" s="133">
        <f>H72-H73</f>
        <v>950.07100000000003</v>
      </c>
      <c r="I74" s="133"/>
      <c r="J74" s="133"/>
      <c r="K74" s="133">
        <f>H74+I74+J74</f>
        <v>950.07100000000003</v>
      </c>
      <c r="L74" s="81">
        <v>950.1</v>
      </c>
      <c r="M74" s="81">
        <v>740.4</v>
      </c>
      <c r="N74" s="81">
        <v>756.1</v>
      </c>
      <c r="O74" s="86"/>
      <c r="P74" s="143">
        <f>(N74/H74)^(1/3)-1</f>
        <v>-7.3295954918282891E-2</v>
      </c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5.75" customHeight="1">
      <c r="A75" s="25"/>
      <c r="B75" s="25"/>
      <c r="C75" s="25"/>
      <c r="D75" s="25"/>
      <c r="E75" s="25"/>
      <c r="F75" s="25"/>
      <c r="H75" s="86"/>
      <c r="I75" s="86"/>
      <c r="J75" s="86"/>
      <c r="K75" s="8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 t="s">
        <v>145</v>
      </c>
      <c r="B76" s="25"/>
      <c r="C76" s="25"/>
      <c r="D76" s="25"/>
      <c r="E76" s="25"/>
      <c r="F76" s="25"/>
      <c r="H76" s="81">
        <f>59832/10^3</f>
        <v>59.832000000000001</v>
      </c>
      <c r="I76" s="81"/>
      <c r="J76" s="81"/>
      <c r="K76" s="8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 t="s">
        <v>146</v>
      </c>
      <c r="B77" s="25"/>
      <c r="C77" s="25"/>
      <c r="D77" s="25"/>
      <c r="E77" s="25"/>
      <c r="F77" s="25"/>
      <c r="H77" s="136">
        <f>H74/H76</f>
        <v>15.878977804519321</v>
      </c>
      <c r="I77" s="136"/>
      <c r="J77" s="136"/>
      <c r="K77" s="133">
        <f>H77</f>
        <v>15.878977804519321</v>
      </c>
      <c r="L77" s="137">
        <v>15.88</v>
      </c>
      <c r="M77" s="137">
        <v>12.97</v>
      </c>
      <c r="N77" s="137">
        <v>13.57</v>
      </c>
      <c r="O77" s="25"/>
      <c r="P77" s="143">
        <f>(N77/H77)^(1/3)-1</f>
        <v>-5.1030104583463687E-2</v>
      </c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86"/>
      <c r="I78" s="86"/>
      <c r="J78" s="86"/>
      <c r="K78" s="86"/>
      <c r="L78" s="121" t="s">
        <v>151</v>
      </c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7:26" ht="15.75" customHeight="1"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7:26" ht="15.75" customHeight="1"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7:26" ht="15.75" customHeight="1"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7:26" ht="15.75" customHeight="1"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7:26" ht="15.75" customHeight="1"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7:26" ht="15.75" customHeight="1"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7:26" ht="15.75" customHeight="1"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7:26" ht="15.75" customHeight="1"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7:26" ht="15.75" customHeight="1"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7:26" ht="15.75" customHeight="1"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7:26" ht="15.75" customHeight="1"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7:26" ht="15.75" customHeight="1"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7:26" ht="15.75" customHeight="1"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7:26" ht="15.75" customHeight="1"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7:26" ht="15.75" customHeight="1"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7:26" ht="15.75" customHeight="1"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">
    <mergeCell ref="G13:I13"/>
    <mergeCell ref="E48:E49"/>
    <mergeCell ref="G48:G49"/>
    <mergeCell ref="M48:M49"/>
    <mergeCell ref="L56:N56"/>
  </mergeCells>
  <pageMargins left="0.7" right="0.7" top="0.75" bottom="0.75" header="0" footer="0"/>
  <pageSetup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43" zoomScale="85" zoomScaleNormal="85" workbookViewId="0">
      <selection activeCell="F12" sqref="F12"/>
    </sheetView>
  </sheetViews>
  <sheetFormatPr defaultColWidth="14.42578125" defaultRowHeight="15" customHeight="1"/>
  <cols>
    <col min="1" max="1" width="3.42578125" customWidth="1"/>
    <col min="2" max="2" width="33.5703125" customWidth="1"/>
    <col min="3" max="3" width="11.42578125" customWidth="1"/>
    <col min="4" max="5" width="10.5703125" customWidth="1"/>
    <col min="6" max="6" width="11.42578125" customWidth="1"/>
    <col min="7" max="7" width="13.42578125" customWidth="1"/>
    <col min="8" max="8" width="14" customWidth="1"/>
    <col min="9" max="9" width="13" customWidth="1"/>
    <col min="10" max="10" width="9.5703125" customWidth="1"/>
    <col min="11" max="11" width="12" customWidth="1"/>
    <col min="12" max="12" width="10.42578125" customWidth="1"/>
    <col min="13" max="13" width="11.5703125" customWidth="1"/>
    <col min="14" max="26" width="11.42578125" customWidth="1"/>
  </cols>
  <sheetData>
    <row r="1" spans="1:26" ht="15.75" customHeight="1">
      <c r="A1" s="63" t="s">
        <v>203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5.75" customHeight="1">
      <c r="A2" s="65" t="str">
        <f>"(In "&amp;F10&amp;" Millions Except Per Share Data)"</f>
        <v>(In USD Millions Except Per Share Data)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customHeight="1" thickBo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66" t="s">
        <v>83</v>
      </c>
      <c r="B4" s="67"/>
      <c r="C4" s="67"/>
      <c r="D4" s="67"/>
      <c r="E4" s="67"/>
      <c r="F4" s="68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69" t="s">
        <v>84</v>
      </c>
      <c r="B5" s="25"/>
      <c r="C5" s="25"/>
      <c r="D5" s="25"/>
      <c r="E5" s="25"/>
      <c r="F5" s="70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69" t="s">
        <v>85</v>
      </c>
      <c r="B6" s="25"/>
      <c r="C6" s="25"/>
      <c r="D6" s="25"/>
      <c r="E6" s="25"/>
      <c r="F6" s="71">
        <v>45684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69" t="s">
        <v>86</v>
      </c>
      <c r="B7" s="25"/>
      <c r="C7" s="25"/>
      <c r="D7" s="25"/>
      <c r="E7" s="25"/>
      <c r="F7" s="72" t="s">
        <v>200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69" t="s">
        <v>87</v>
      </c>
      <c r="B8" s="25"/>
      <c r="C8" s="25"/>
      <c r="D8" s="25"/>
      <c r="E8" s="25"/>
      <c r="F8" s="73">
        <v>45382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69" t="s">
        <v>88</v>
      </c>
      <c r="B9" s="25"/>
      <c r="C9" s="25"/>
      <c r="D9" s="25"/>
      <c r="E9" s="25"/>
      <c r="F9" s="73">
        <v>45718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69" t="s">
        <v>67</v>
      </c>
      <c r="B10" s="25"/>
      <c r="C10" s="25"/>
      <c r="D10" s="25"/>
      <c r="E10" s="25"/>
      <c r="F10" s="70" t="s">
        <v>49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 thickBot="1">
      <c r="A11" s="74" t="s">
        <v>89</v>
      </c>
      <c r="B11" s="30"/>
      <c r="C11" s="30"/>
      <c r="D11" s="30"/>
      <c r="E11" s="30"/>
      <c r="F11" s="75">
        <v>0.27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 thickBot="1">
      <c r="A13" s="25"/>
      <c r="B13" s="25"/>
      <c r="C13" s="25"/>
      <c r="D13" s="25"/>
      <c r="E13" s="25"/>
      <c r="F13" s="25"/>
      <c r="G13" s="210"/>
      <c r="H13" s="200"/>
      <c r="I13" s="200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 thickBot="1">
      <c r="A14" s="77" t="s">
        <v>90</v>
      </c>
      <c r="B14" s="78"/>
      <c r="C14" s="79" t="s">
        <v>91</v>
      </c>
      <c r="D14" s="79" t="s">
        <v>92</v>
      </c>
      <c r="E14" s="79" t="s">
        <v>93</v>
      </c>
      <c r="F14" s="80"/>
      <c r="G14" s="25"/>
      <c r="H14" s="76"/>
      <c r="I14" s="76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69" t="s">
        <v>94</v>
      </c>
      <c r="B15" s="25"/>
      <c r="C15" s="137">
        <v>211.76</v>
      </c>
      <c r="D15" s="81"/>
      <c r="E15" s="81"/>
      <c r="F15" s="82"/>
      <c r="G15" s="8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69" t="s">
        <v>95</v>
      </c>
      <c r="B16" s="25"/>
      <c r="C16" s="81">
        <f>25871/10^3</f>
        <v>25.870999999999999</v>
      </c>
      <c r="D16" s="81"/>
      <c r="E16" s="81"/>
      <c r="F16" s="84"/>
      <c r="G16" s="177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69" t="s">
        <v>96</v>
      </c>
      <c r="B17" s="25"/>
      <c r="C17" s="85">
        <f>C16+H45+G53</f>
        <v>25.870999999999999</v>
      </c>
      <c r="D17" s="85"/>
      <c r="E17" s="85"/>
      <c r="F17" s="84"/>
      <c r="G17" s="25"/>
      <c r="H17" s="8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69" t="s">
        <v>74</v>
      </c>
      <c r="B18" s="25"/>
      <c r="C18" s="85">
        <f>C15*C17</f>
        <v>5478.4429599999994</v>
      </c>
      <c r="D18" s="85"/>
      <c r="E18" s="85"/>
      <c r="F18" s="87">
        <f>SUM(C18:E18)</f>
        <v>5478.4429599999994</v>
      </c>
      <c r="G18" s="25"/>
      <c r="H18" s="25"/>
      <c r="I18" s="86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69" t="s">
        <v>4</v>
      </c>
      <c r="B19" s="25"/>
      <c r="C19" s="25"/>
      <c r="D19" s="86"/>
      <c r="E19" s="86"/>
      <c r="F19" s="88">
        <v>0</v>
      </c>
      <c r="G19" s="25"/>
      <c r="H19" s="86"/>
      <c r="I19" s="86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89" t="s">
        <v>97</v>
      </c>
      <c r="B20" s="25"/>
      <c r="C20" s="25"/>
      <c r="D20" s="86"/>
      <c r="E20" s="86"/>
      <c r="F20" s="87">
        <f>E21</f>
        <v>0</v>
      </c>
      <c r="G20" s="25"/>
      <c r="H20" s="86"/>
      <c r="I20" s="86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69"/>
      <c r="B21" s="25" t="s">
        <v>98</v>
      </c>
      <c r="C21" s="25"/>
      <c r="D21" s="25"/>
      <c r="E21" s="90">
        <v>0</v>
      </c>
      <c r="F21" s="8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69"/>
      <c r="B22" s="91" t="s">
        <v>99</v>
      </c>
      <c r="C22" s="25"/>
      <c r="D22" s="25"/>
      <c r="E22" s="92">
        <v>0</v>
      </c>
      <c r="F22" s="8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89" t="s">
        <v>100</v>
      </c>
      <c r="B23" s="25"/>
      <c r="C23" s="25"/>
      <c r="D23" s="25"/>
      <c r="E23" s="86"/>
      <c r="F23" s="87">
        <f>SUM(E24:E25)</f>
        <v>309</v>
      </c>
      <c r="G23" s="25"/>
      <c r="H23" s="86"/>
      <c r="I23" s="86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" customHeight="1">
      <c r="A24" s="69"/>
      <c r="B24" s="91" t="s">
        <v>101</v>
      </c>
      <c r="C24" s="91"/>
      <c r="D24" s="25"/>
      <c r="E24" s="90">
        <v>309</v>
      </c>
      <c r="F24" s="8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" customHeight="1">
      <c r="A25" s="69"/>
      <c r="B25" s="91" t="s">
        <v>102</v>
      </c>
      <c r="C25" s="91"/>
      <c r="D25" s="25"/>
      <c r="E25" s="92">
        <v>0</v>
      </c>
      <c r="F25" s="8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89" t="s">
        <v>103</v>
      </c>
      <c r="B26" s="25"/>
      <c r="C26" s="25"/>
      <c r="D26" s="25"/>
      <c r="E26" s="86"/>
      <c r="F26" s="8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" customHeight="1">
      <c r="A27" s="69"/>
      <c r="B27" s="25" t="s">
        <v>104</v>
      </c>
      <c r="C27" s="25"/>
      <c r="D27" s="25"/>
      <c r="E27" s="86"/>
      <c r="F27" s="88">
        <v>0</v>
      </c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69"/>
      <c r="B28" s="25" t="s">
        <v>105</v>
      </c>
      <c r="C28" s="25"/>
      <c r="D28" s="25"/>
      <c r="E28" s="25"/>
      <c r="F28" s="88"/>
      <c r="G28" s="25"/>
      <c r="H28" s="86"/>
      <c r="I28" s="86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89" t="s">
        <v>106</v>
      </c>
      <c r="B29" s="25"/>
      <c r="C29" s="25"/>
      <c r="D29" s="25"/>
      <c r="E29" s="86"/>
      <c r="F29" s="88">
        <v>1502</v>
      </c>
      <c r="G29" s="25"/>
      <c r="H29" s="86"/>
      <c r="I29" s="86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 thickBot="1">
      <c r="A30" s="93" t="s">
        <v>107</v>
      </c>
      <c r="B30" s="94"/>
      <c r="C30" s="94"/>
      <c r="D30" s="95"/>
      <c r="E30" s="95"/>
      <c r="F30" s="96">
        <f>F18+F19+F20+F23+F27+F28-F29</f>
        <v>4285.4429599999994</v>
      </c>
      <c r="G30" s="25"/>
      <c r="H30" s="25"/>
      <c r="I30" s="86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97" t="s">
        <v>108</v>
      </c>
      <c r="B31" s="98"/>
      <c r="C31" s="98"/>
      <c r="D31" s="99"/>
      <c r="E31" s="99"/>
      <c r="F31" s="88">
        <v>164</v>
      </c>
      <c r="G31" s="25"/>
      <c r="H31" s="86"/>
      <c r="I31" s="86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4.25" customHeight="1">
      <c r="A32" s="97" t="s">
        <v>109</v>
      </c>
      <c r="B32" s="98"/>
      <c r="C32" s="98"/>
      <c r="D32" s="99"/>
      <c r="E32" s="99"/>
      <c r="F32" s="87">
        <f>F30-F31</f>
        <v>4121.4429599999994</v>
      </c>
      <c r="G32" s="25"/>
      <c r="H32" s="25"/>
      <c r="I32" s="86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" customHeight="1" thickBot="1">
      <c r="A33" s="74" t="s">
        <v>110</v>
      </c>
      <c r="B33" s="30"/>
      <c r="C33" s="30"/>
      <c r="D33" s="30"/>
      <c r="E33" s="30"/>
      <c r="F33" s="138">
        <f>F18/SUM(C17:E17)</f>
        <v>211.76</v>
      </c>
      <c r="G33" s="25"/>
      <c r="H33" s="25"/>
      <c r="I33" s="25"/>
      <c r="J33" s="101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 thickBot="1">
      <c r="A34" s="25"/>
      <c r="B34" s="25"/>
      <c r="C34" s="25"/>
      <c r="D34" s="25"/>
      <c r="E34" s="25"/>
      <c r="F34" s="25"/>
      <c r="G34" s="25"/>
      <c r="H34" s="102"/>
      <c r="I34" s="102"/>
      <c r="J34" s="10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 thickBot="1">
      <c r="A35" s="77" t="s">
        <v>111</v>
      </c>
      <c r="B35" s="78"/>
      <c r="C35" s="103"/>
      <c r="D35" s="103"/>
      <c r="E35" s="103"/>
      <c r="F35" s="103"/>
      <c r="G35" s="103"/>
      <c r="H35" s="103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 thickBot="1">
      <c r="A36" s="25"/>
      <c r="B36" s="25"/>
      <c r="C36" s="25"/>
      <c r="D36" s="25"/>
      <c r="E36" s="25"/>
      <c r="F36" s="25"/>
      <c r="G36" s="25"/>
      <c r="H36" s="102"/>
      <c r="I36" s="102"/>
      <c r="J36" s="102"/>
      <c r="K36" s="102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 thickBot="1">
      <c r="A37" s="25"/>
      <c r="B37" s="77" t="s">
        <v>147</v>
      </c>
      <c r="C37" s="103"/>
      <c r="D37" s="103"/>
      <c r="E37" s="103"/>
      <c r="F37" s="103"/>
      <c r="G37" s="103"/>
      <c r="H37" s="104"/>
      <c r="I37" s="102"/>
      <c r="J37" s="10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106"/>
      <c r="C38" s="24" t="s">
        <v>28</v>
      </c>
      <c r="D38" s="25"/>
      <c r="E38" s="26" t="s">
        <v>29</v>
      </c>
      <c r="F38" s="26"/>
      <c r="G38" s="26"/>
      <c r="H38" s="27" t="s">
        <v>30</v>
      </c>
      <c r="I38" s="102"/>
      <c r="J38" s="24"/>
      <c r="K38" s="24"/>
      <c r="L38" s="76"/>
      <c r="M38" s="76"/>
      <c r="N38" s="24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 thickBot="1">
      <c r="A39" s="25"/>
      <c r="B39" s="107" t="s">
        <v>113</v>
      </c>
      <c r="C39" s="29" t="s">
        <v>32</v>
      </c>
      <c r="D39" s="29" t="s">
        <v>33</v>
      </c>
      <c r="E39" s="29" t="s">
        <v>34</v>
      </c>
      <c r="F39" s="29" t="s">
        <v>35</v>
      </c>
      <c r="G39" s="30" t="s">
        <v>36</v>
      </c>
      <c r="H39" s="31" t="s">
        <v>37</v>
      </c>
      <c r="I39" s="102"/>
      <c r="J39" s="108"/>
      <c r="K39" s="24"/>
      <c r="L39" s="24"/>
      <c r="M39" s="25"/>
      <c r="N39" s="24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 t="s">
        <v>206</v>
      </c>
      <c r="B40" s="109">
        <f>77797/10^3</f>
        <v>77.796999999999997</v>
      </c>
      <c r="C40" s="110">
        <v>451.81</v>
      </c>
      <c r="D40" s="111" t="str">
        <f>IF(C40&lt;$C$15,"Yes","N0")</f>
        <v>N0</v>
      </c>
      <c r="E40" s="112">
        <f>IF(D40="Yes",B40,0)</f>
        <v>0</v>
      </c>
      <c r="F40" s="85">
        <f>E40*C40</f>
        <v>0</v>
      </c>
      <c r="G40" s="112">
        <f>F40/$C$15</f>
        <v>0</v>
      </c>
      <c r="H40" s="113">
        <f>E40-G40</f>
        <v>0</v>
      </c>
      <c r="I40" s="178"/>
      <c r="J40" s="114"/>
      <c r="K40" s="114"/>
      <c r="L40" s="86"/>
      <c r="M40" s="114"/>
      <c r="N40" s="114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 t="s">
        <v>208</v>
      </c>
      <c r="B41" s="109">
        <f>88524/10^3</f>
        <v>88.524000000000001</v>
      </c>
      <c r="C41" s="110">
        <v>451.77</v>
      </c>
      <c r="D41" s="111" t="str">
        <f>IF(C41&lt;$C$15,"Yes","N0")</f>
        <v>N0</v>
      </c>
      <c r="E41" s="112">
        <f>IF(D41="Yes",B41,0)</f>
        <v>0</v>
      </c>
      <c r="F41" s="85">
        <f>E41*C41</f>
        <v>0</v>
      </c>
      <c r="G41" s="112">
        <f>F41/$C$15</f>
        <v>0</v>
      </c>
      <c r="H41" s="113">
        <f>E41-G41</f>
        <v>0</v>
      </c>
      <c r="I41" s="102"/>
      <c r="J41" s="114"/>
      <c r="K41" s="114"/>
      <c r="L41" s="86"/>
      <c r="M41" s="114"/>
      <c r="N41" s="11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109"/>
      <c r="C42" s="110"/>
      <c r="D42" s="111"/>
      <c r="E42" s="112"/>
      <c r="F42" s="85"/>
      <c r="G42" s="112"/>
      <c r="H42" s="113"/>
      <c r="I42" s="102"/>
      <c r="J42" s="114"/>
      <c r="K42" s="114"/>
      <c r="L42" s="86"/>
      <c r="M42" s="114"/>
      <c r="N42" s="114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109"/>
      <c r="C43" s="110"/>
      <c r="D43" s="111"/>
      <c r="E43" s="112"/>
      <c r="F43" s="85"/>
      <c r="G43" s="112"/>
      <c r="H43" s="113"/>
      <c r="I43" s="102"/>
      <c r="J43" s="114"/>
      <c r="K43" s="114"/>
      <c r="L43" s="86"/>
      <c r="M43" s="114"/>
      <c r="N43" s="114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109"/>
      <c r="C44" s="110"/>
      <c r="D44" s="111"/>
      <c r="E44" s="112"/>
      <c r="F44" s="85"/>
      <c r="G44" s="112"/>
      <c r="H44" s="113"/>
      <c r="I44" s="102"/>
      <c r="J44" s="114"/>
      <c r="K44" s="114"/>
      <c r="L44" s="86"/>
      <c r="M44" s="114"/>
      <c r="N44" s="114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 thickBot="1">
      <c r="A45" s="25"/>
      <c r="B45" s="74"/>
      <c r="C45" s="30"/>
      <c r="D45" s="30"/>
      <c r="E45" s="30"/>
      <c r="F45" s="30"/>
      <c r="G45" s="30"/>
      <c r="H45" s="115">
        <f>SUM(H40:H44)</f>
        <v>0</v>
      </c>
      <c r="I45" s="102"/>
      <c r="J45" s="25"/>
      <c r="K45" s="25"/>
      <c r="L45" s="25"/>
      <c r="M45" s="25"/>
      <c r="N45" s="11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 thickBot="1">
      <c r="A46" s="25"/>
      <c r="B46" s="25"/>
      <c r="C46" s="25"/>
      <c r="D46" s="25"/>
      <c r="E46" s="25"/>
      <c r="F46" s="25"/>
      <c r="G46" s="25"/>
      <c r="H46" s="102"/>
      <c r="I46" s="102"/>
      <c r="J46" s="102"/>
      <c r="K46" s="102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 thickBot="1">
      <c r="A47" s="25"/>
      <c r="B47" s="77" t="s">
        <v>114</v>
      </c>
      <c r="C47" s="103"/>
      <c r="D47" s="103"/>
      <c r="E47" s="103"/>
      <c r="F47" s="103"/>
      <c r="G47" s="104"/>
      <c r="H47" s="102"/>
      <c r="I47" s="102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116"/>
      <c r="C48" s="117"/>
      <c r="D48" s="117"/>
      <c r="E48" s="211" t="s">
        <v>115</v>
      </c>
      <c r="F48" s="118"/>
      <c r="G48" s="212" t="s">
        <v>116</v>
      </c>
      <c r="H48" s="102"/>
      <c r="I48" s="102"/>
      <c r="J48" s="91"/>
      <c r="K48" s="91"/>
      <c r="L48" s="25"/>
      <c r="M48" s="21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119" t="s">
        <v>117</v>
      </c>
      <c r="C49" s="120" t="s">
        <v>118</v>
      </c>
      <c r="D49" s="120" t="s">
        <v>119</v>
      </c>
      <c r="E49" s="200"/>
      <c r="F49" s="121" t="s">
        <v>120</v>
      </c>
      <c r="G49" s="213"/>
      <c r="H49" s="102"/>
      <c r="I49" s="102"/>
      <c r="J49" s="91"/>
      <c r="K49" s="120"/>
      <c r="L49" s="121"/>
      <c r="M49" s="200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69"/>
      <c r="C50" s="81"/>
      <c r="D50" s="81"/>
      <c r="E50" s="122"/>
      <c r="F50" s="123"/>
      <c r="G50" s="124"/>
      <c r="H50" s="102"/>
      <c r="I50" s="102"/>
      <c r="J50" s="25"/>
      <c r="K50" s="86"/>
      <c r="L50" s="125"/>
      <c r="M50" s="1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69"/>
      <c r="C51" s="81"/>
      <c r="D51" s="81"/>
      <c r="E51" s="122"/>
      <c r="F51" s="123"/>
      <c r="G51" s="124"/>
      <c r="H51" s="102"/>
      <c r="I51" s="102"/>
      <c r="J51" s="25"/>
      <c r="K51" s="86"/>
      <c r="L51" s="125"/>
      <c r="M51" s="1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69"/>
      <c r="C52" s="81"/>
      <c r="D52" s="81"/>
      <c r="E52" s="122"/>
      <c r="F52" s="126"/>
      <c r="G52" s="124"/>
      <c r="H52" s="102"/>
      <c r="I52" s="102"/>
      <c r="J52" s="25"/>
      <c r="K52" s="86"/>
      <c r="L52" s="125"/>
      <c r="M52" s="1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 thickBot="1">
      <c r="A53" s="25"/>
      <c r="B53" s="74"/>
      <c r="C53" s="127"/>
      <c r="D53" s="127"/>
      <c r="E53" s="127"/>
      <c r="F53" s="128"/>
      <c r="G53" s="129"/>
      <c r="H53" s="102"/>
      <c r="I53" s="102"/>
      <c r="J53" s="25"/>
      <c r="K53" s="86"/>
      <c r="L53" s="125"/>
      <c r="M53" s="1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102"/>
      <c r="I54" s="102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102"/>
      <c r="I55" s="102"/>
      <c r="J55" s="102"/>
      <c r="K55" s="102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102" t="s">
        <v>165</v>
      </c>
      <c r="I56" s="102" t="s">
        <v>166</v>
      </c>
      <c r="J56" s="102" t="s">
        <v>167</v>
      </c>
      <c r="K56" s="102"/>
      <c r="L56" s="215" t="s">
        <v>148</v>
      </c>
      <c r="M56" s="216"/>
      <c r="N56" s="217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130" t="s">
        <v>121</v>
      </c>
      <c r="B57" s="130"/>
      <c r="C57" s="130"/>
      <c r="D57" s="130"/>
      <c r="E57" s="130"/>
      <c r="F57" s="130"/>
      <c r="G57" s="130"/>
      <c r="H57" s="131" t="s">
        <v>122</v>
      </c>
      <c r="I57" s="131" t="s">
        <v>123</v>
      </c>
      <c r="J57" s="131" t="s">
        <v>124</v>
      </c>
      <c r="K57" s="131" t="s">
        <v>38</v>
      </c>
      <c r="L57" s="131" t="s">
        <v>125</v>
      </c>
      <c r="M57" s="131" t="s">
        <v>126</v>
      </c>
      <c r="N57" s="131" t="s">
        <v>127</v>
      </c>
      <c r="O57" s="139"/>
      <c r="P57" s="131" t="s">
        <v>149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 t="s">
        <v>130</v>
      </c>
      <c r="I58" s="25" t="s">
        <v>150</v>
      </c>
      <c r="J58" s="25" t="s">
        <v>150</v>
      </c>
      <c r="K58" s="25"/>
      <c r="L58" s="140">
        <v>45657</v>
      </c>
      <c r="M58" s="140">
        <f>EDATE(L58,12)</f>
        <v>46022</v>
      </c>
      <c r="N58" s="140">
        <f>EDATE(M58,12)</f>
        <v>46387</v>
      </c>
      <c r="O58" s="141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 t="s">
        <v>131</v>
      </c>
      <c r="B59" s="25"/>
      <c r="C59" s="25"/>
      <c r="D59" s="25"/>
      <c r="E59" s="25"/>
      <c r="F59" s="25"/>
      <c r="G59" s="25"/>
      <c r="H59" s="81">
        <f>4287763/10^3</f>
        <v>4287.7629999999999</v>
      </c>
      <c r="I59" s="81">
        <f>3963832/10^3</f>
        <v>3963.8319999999999</v>
      </c>
      <c r="J59" s="132">
        <f>3328005/10^3</f>
        <v>3328.0050000000001</v>
      </c>
      <c r="K59" s="133">
        <f>H59+I59-J59</f>
        <v>4923.5899999999992</v>
      </c>
      <c r="L59" s="81">
        <v>4288</v>
      </c>
      <c r="M59" s="81">
        <v>4973</v>
      </c>
      <c r="N59" s="81">
        <v>5522</v>
      </c>
      <c r="O59" s="142"/>
      <c r="P59" s="143">
        <f>(N59/H59)^(1/3)-1</f>
        <v>8.7982416788422668E-2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5.25" customHeight="1">
      <c r="A60" s="25"/>
      <c r="B60" s="25"/>
      <c r="C60" s="25"/>
      <c r="D60" s="25"/>
      <c r="E60" s="25"/>
      <c r="F60" s="25"/>
      <c r="G60" s="25"/>
      <c r="H60" s="86"/>
      <c r="I60" s="86"/>
      <c r="J60" s="8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 t="s">
        <v>132</v>
      </c>
      <c r="B61" s="25"/>
      <c r="C61" s="25"/>
      <c r="D61" s="25"/>
      <c r="E61" s="25"/>
      <c r="F61" s="25"/>
      <c r="G61" s="25"/>
      <c r="H61" s="81">
        <f>927514/10^3</f>
        <v>927.51400000000001</v>
      </c>
      <c r="I61" s="81">
        <f>1005167/10^3</f>
        <v>1005.167</v>
      </c>
      <c r="J61" s="81">
        <f>783252/10^3</f>
        <v>783.25199999999995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 t="s">
        <v>133</v>
      </c>
      <c r="B62" s="98"/>
      <c r="C62" s="98"/>
      <c r="D62" s="98"/>
      <c r="E62" s="98"/>
      <c r="F62" s="98"/>
      <c r="G62" s="98"/>
      <c r="H62" s="81"/>
      <c r="I62" s="81"/>
      <c r="J62" s="81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5.75" customHeight="1">
      <c r="A63" s="134" t="s">
        <v>134</v>
      </c>
      <c r="B63" s="98"/>
      <c r="C63" s="98"/>
      <c r="D63" s="98"/>
      <c r="E63" s="98"/>
      <c r="F63" s="98"/>
      <c r="G63" s="98"/>
      <c r="H63" s="135">
        <f>978941/10^3</f>
        <v>978.94100000000003</v>
      </c>
      <c r="I63" s="135">
        <f>1052007/10^3</f>
        <v>1052.0070000000001</v>
      </c>
      <c r="J63" s="135">
        <f>814734/10^3</f>
        <v>814.73400000000004</v>
      </c>
      <c r="K63" s="133">
        <f t="shared" ref="K63:K77" si="0">H63+I63-J63</f>
        <v>1216.2139999999999</v>
      </c>
      <c r="L63" s="81">
        <v>927.5</v>
      </c>
      <c r="M63" s="81">
        <v>1113</v>
      </c>
      <c r="N63" s="81">
        <v>1244</v>
      </c>
      <c r="O63" s="86"/>
      <c r="P63" s="143">
        <f>(N63/H63)^(1/3)-1</f>
        <v>8.3148379035569153E-2</v>
      </c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5.75" customHeight="1">
      <c r="A64" s="25" t="s">
        <v>135</v>
      </c>
      <c r="B64" s="25"/>
      <c r="C64" s="25"/>
      <c r="D64" s="25"/>
      <c r="E64" s="25"/>
      <c r="F64" s="25"/>
      <c r="G64" s="25"/>
      <c r="H64" s="81">
        <f>57587/10^3</f>
        <v>57.587000000000003</v>
      </c>
      <c r="I64" s="81">
        <f>50911/10^3</f>
        <v>50.911000000000001</v>
      </c>
      <c r="J64" s="81">
        <f>40901/10^3</f>
        <v>40.901000000000003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98" t="s">
        <v>136</v>
      </c>
      <c r="B65" s="98"/>
      <c r="C65" s="98"/>
      <c r="D65" s="98"/>
      <c r="E65" s="98"/>
      <c r="F65" s="98"/>
      <c r="G65" s="98"/>
      <c r="H65" s="135">
        <f>H63+H64</f>
        <v>1036.528</v>
      </c>
      <c r="I65" s="135">
        <f t="shared" ref="I65:J65" si="1">I63+I64</f>
        <v>1102.9180000000001</v>
      </c>
      <c r="J65" s="135">
        <f t="shared" si="1"/>
        <v>855.63499999999999</v>
      </c>
      <c r="K65" s="133">
        <f t="shared" si="0"/>
        <v>1283.8109999999999</v>
      </c>
      <c r="L65" s="81">
        <v>985.1</v>
      </c>
      <c r="M65" s="81">
        <v>1177</v>
      </c>
      <c r="N65" s="81">
        <v>1309</v>
      </c>
      <c r="O65" s="86"/>
      <c r="P65" s="143">
        <f>(N65/H65)^(1/3)-1</f>
        <v>8.0901707134990897E-2</v>
      </c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6" customHeight="1">
      <c r="A66" s="25"/>
      <c r="B66" s="25"/>
      <c r="C66" s="25"/>
      <c r="D66" s="25"/>
      <c r="E66" s="25"/>
      <c r="F66" s="25"/>
      <c r="G66" s="25"/>
      <c r="H66" s="86"/>
      <c r="I66" s="86"/>
      <c r="J66" s="8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 t="s">
        <v>137</v>
      </c>
      <c r="B67" s="25"/>
      <c r="C67" s="25"/>
      <c r="D67" s="25"/>
      <c r="E67" s="25"/>
      <c r="F67" s="25"/>
      <c r="G67" s="25"/>
      <c r="H67" s="81">
        <f>759563/10^3</f>
        <v>759.56299999999999</v>
      </c>
      <c r="I67" s="81">
        <f>814680/10^3</f>
        <v>814.68</v>
      </c>
      <c r="J67" s="81">
        <f>632018/10^3</f>
        <v>632.01800000000003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 t="s">
        <v>138</v>
      </c>
      <c r="B68" s="25"/>
      <c r="C68" s="25"/>
      <c r="D68" s="25"/>
      <c r="E68" s="25"/>
      <c r="F68" s="25"/>
      <c r="G68" s="25"/>
      <c r="H68" s="81"/>
      <c r="I68" s="81"/>
      <c r="J68" s="81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 t="s">
        <v>139</v>
      </c>
      <c r="B69" s="25"/>
      <c r="C69" s="25"/>
      <c r="D69" s="25"/>
      <c r="E69" s="25"/>
      <c r="F69" s="25"/>
      <c r="G69" s="25"/>
      <c r="H69" s="81"/>
      <c r="I69" s="81"/>
      <c r="J69" s="81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 t="s">
        <v>140</v>
      </c>
      <c r="B70" s="25"/>
      <c r="C70" s="25"/>
      <c r="D70" s="25"/>
      <c r="E70" s="25"/>
      <c r="F70" s="25"/>
      <c r="G70" s="25"/>
      <c r="H70" s="81"/>
      <c r="I70" s="81"/>
      <c r="J70" s="81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 t="s">
        <v>141</v>
      </c>
      <c r="B71" s="25"/>
      <c r="C71" s="25"/>
      <c r="D71" s="25"/>
      <c r="E71" s="25"/>
      <c r="F71" s="25"/>
      <c r="G71" s="25"/>
      <c r="H71" s="81"/>
      <c r="I71" s="81"/>
      <c r="J71" s="81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98" t="s">
        <v>142</v>
      </c>
      <c r="B72" s="25"/>
      <c r="C72" s="25"/>
      <c r="D72" s="25"/>
      <c r="E72" s="25"/>
      <c r="F72" s="25"/>
      <c r="G72" s="25"/>
      <c r="H72" s="135">
        <f>H67</f>
        <v>759.56299999999999</v>
      </c>
      <c r="I72" s="135">
        <f t="shared" ref="I72:J72" si="2">I67</f>
        <v>814.68</v>
      </c>
      <c r="J72" s="135">
        <f t="shared" si="2"/>
        <v>632.01800000000003</v>
      </c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 t="s">
        <v>143</v>
      </c>
      <c r="B73" s="25"/>
      <c r="C73" s="25"/>
      <c r="D73" s="25"/>
      <c r="E73" s="25"/>
      <c r="F73" s="25"/>
      <c r="G73" s="25"/>
      <c r="H73" s="81">
        <f>11698/10^3</f>
        <v>11.698</v>
      </c>
      <c r="I73" s="81">
        <f>4711/10^3</f>
        <v>4.7110000000000003</v>
      </c>
      <c r="J73" s="81">
        <f>3339/10^3</f>
        <v>3.339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98" t="s">
        <v>144</v>
      </c>
      <c r="B74" s="98"/>
      <c r="C74" s="98"/>
      <c r="D74" s="98"/>
      <c r="E74" s="98"/>
      <c r="F74" s="98"/>
      <c r="G74" s="98"/>
      <c r="H74" s="133">
        <f>H72-H73</f>
        <v>747.86500000000001</v>
      </c>
      <c r="I74" s="133">
        <f t="shared" ref="I74:J74" si="3">I72-I73</f>
        <v>809.96899999999994</v>
      </c>
      <c r="J74" s="133">
        <f t="shared" si="3"/>
        <v>628.67899999999997</v>
      </c>
      <c r="K74" s="133">
        <f t="shared" si="0"/>
        <v>929.15499999999986</v>
      </c>
      <c r="L74" s="81">
        <v>759.6</v>
      </c>
      <c r="M74" s="81">
        <v>901.8</v>
      </c>
      <c r="N74" s="81">
        <v>1001</v>
      </c>
      <c r="O74" s="86"/>
      <c r="P74" s="143">
        <f>(N74/H74)^(1/3)-1</f>
        <v>0.10205589732634546</v>
      </c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5.75" customHeight="1">
      <c r="A75" s="25"/>
      <c r="B75" s="25"/>
      <c r="C75" s="25"/>
      <c r="D75" s="25"/>
      <c r="E75" s="25"/>
      <c r="F75" s="25"/>
      <c r="G75" s="25"/>
      <c r="H75" s="86"/>
      <c r="I75" s="86"/>
      <c r="J75" s="8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 t="s">
        <v>145</v>
      </c>
      <c r="B76" s="25"/>
      <c r="C76" s="25"/>
      <c r="D76" s="25"/>
      <c r="E76" s="25"/>
      <c r="F76" s="25"/>
      <c r="G76" s="25"/>
      <c r="H76" s="81">
        <f>26048/10^3</f>
        <v>26.047999999999998</v>
      </c>
      <c r="I76" s="81">
        <f>152924/10^3</f>
        <v>152.92400000000001</v>
      </c>
      <c r="J76" s="81">
        <f>156670/10^3</f>
        <v>156.66999999999999</v>
      </c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 t="s">
        <v>146</v>
      </c>
      <c r="B77" s="25"/>
      <c r="C77" s="25"/>
      <c r="D77" s="25"/>
      <c r="E77" s="25"/>
      <c r="F77" s="25"/>
      <c r="G77" s="25"/>
      <c r="H77" s="136">
        <f>H74/H76</f>
        <v>28.711033476658478</v>
      </c>
      <c r="I77" s="136">
        <f>I74/I76</f>
        <v>5.2965459967042445</v>
      </c>
      <c r="J77" s="136">
        <f>J74/J76</f>
        <v>4.0127593029935538</v>
      </c>
      <c r="K77" s="133">
        <f t="shared" si="0"/>
        <v>29.99482017036917</v>
      </c>
      <c r="L77" s="137">
        <v>4.8600000000000003</v>
      </c>
      <c r="M77" s="137">
        <v>5.9160000000000004</v>
      </c>
      <c r="N77" s="137">
        <v>6.665</v>
      </c>
      <c r="O77" s="25"/>
      <c r="P77" s="143">
        <f>(N77/H77)^(1/3)-1</f>
        <v>-0.38541242485218996</v>
      </c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86"/>
      <c r="I78" s="86"/>
      <c r="J78" s="86"/>
      <c r="K78" s="86"/>
      <c r="L78" s="121" t="s">
        <v>151</v>
      </c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7:26" ht="15.75" customHeight="1"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7:26" ht="15.75" customHeight="1"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7:26" ht="15.75" customHeight="1"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7:26" ht="15.75" customHeight="1"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7:26" ht="15.75" customHeight="1"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7:26" ht="15.75" customHeight="1"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7:26" ht="15.75" customHeight="1"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7:26" ht="15.75" customHeight="1"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7:26" ht="15.75" customHeight="1"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7:26" ht="15.75" customHeight="1"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7:26" ht="15.75" customHeight="1"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7:26" ht="15.75" customHeight="1"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7:26" ht="15.75" customHeight="1"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7:26" ht="15.75" customHeight="1"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7:26" ht="15.75" customHeight="1"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7:26" ht="15.75" customHeight="1"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">
    <mergeCell ref="G13:I13"/>
    <mergeCell ref="E48:E49"/>
    <mergeCell ref="G48:G49"/>
    <mergeCell ref="M48:M49"/>
    <mergeCell ref="L56:N56"/>
  </mergeCells>
  <pageMargins left="0.7" right="0.7" top="0.75" bottom="0.75" header="0" footer="0"/>
  <pageSetup orientation="landscape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zoomScale="85" workbookViewId="0">
      <selection activeCell="E73" sqref="E73"/>
    </sheetView>
  </sheetViews>
  <sheetFormatPr defaultColWidth="14.42578125" defaultRowHeight="15" customHeight="1"/>
  <cols>
    <col min="1" max="1" width="3.42578125" customWidth="1"/>
    <col min="2" max="2" width="33.5703125" customWidth="1"/>
    <col min="3" max="3" width="25.28515625" customWidth="1"/>
    <col min="4" max="5" width="10.5703125" customWidth="1"/>
    <col min="6" max="6" width="11.42578125" customWidth="1"/>
    <col min="7" max="7" width="13.42578125" customWidth="1"/>
    <col min="8" max="8" width="14" customWidth="1"/>
    <col min="9" max="9" width="13" customWidth="1"/>
    <col min="10" max="10" width="9.5703125" customWidth="1"/>
    <col min="11" max="11" width="12" customWidth="1"/>
    <col min="12" max="12" width="10.42578125" customWidth="1"/>
    <col min="13" max="13" width="11.5703125" customWidth="1"/>
    <col min="14" max="26" width="11.42578125" customWidth="1"/>
  </cols>
  <sheetData>
    <row r="1" spans="1:26" ht="15.75" customHeight="1">
      <c r="A1" s="63" t="s">
        <v>159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5.75" customHeight="1">
      <c r="A2" s="65" t="str">
        <f>"(In "&amp;F10&amp;" Millions Except Per Share Data)"</f>
        <v>(In USD Millions Except Per Share Data)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customHeight="1" thickBo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66" t="s">
        <v>83</v>
      </c>
      <c r="B4" s="67"/>
      <c r="C4" s="67"/>
      <c r="D4" s="67"/>
      <c r="E4" s="67"/>
      <c r="F4" s="68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69" t="s">
        <v>84</v>
      </c>
      <c r="B5" s="25"/>
      <c r="C5" s="25"/>
      <c r="D5" s="25"/>
      <c r="E5" s="25"/>
      <c r="F5" s="70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69" t="s">
        <v>85</v>
      </c>
      <c r="B6" s="25"/>
      <c r="C6" s="25"/>
      <c r="D6" s="25"/>
      <c r="E6" s="25"/>
      <c r="F6" s="71">
        <v>45684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69" t="s">
        <v>86</v>
      </c>
      <c r="B7" s="25"/>
      <c r="C7" s="25"/>
      <c r="D7" s="25"/>
      <c r="E7" s="25"/>
      <c r="F7" s="72" t="s">
        <v>163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69" t="s">
        <v>87</v>
      </c>
      <c r="B8" s="25"/>
      <c r="C8" s="25"/>
      <c r="D8" s="25"/>
      <c r="E8" s="25"/>
      <c r="F8" s="73">
        <v>45319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69" t="s">
        <v>88</v>
      </c>
      <c r="B9" s="25"/>
      <c r="C9" s="25"/>
      <c r="D9" s="25"/>
      <c r="E9" s="25"/>
      <c r="F9" s="73">
        <v>45631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69" t="s">
        <v>67</v>
      </c>
      <c r="B10" s="25"/>
      <c r="C10" s="25"/>
      <c r="D10" s="25"/>
      <c r="E10" s="25"/>
      <c r="F10" s="70" t="s">
        <v>49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 thickBot="1">
      <c r="A11" s="74" t="s">
        <v>89</v>
      </c>
      <c r="B11" s="30"/>
      <c r="C11" s="30"/>
      <c r="D11" s="30"/>
      <c r="E11" s="30"/>
      <c r="F11" s="75">
        <v>0.27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 thickBot="1">
      <c r="A13" s="25"/>
      <c r="B13" s="25"/>
      <c r="C13" s="25"/>
      <c r="D13" s="25"/>
      <c r="E13" s="25"/>
      <c r="F13" s="25"/>
      <c r="G13" s="210"/>
      <c r="H13" s="200"/>
      <c r="I13" s="200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 thickBot="1">
      <c r="A14" s="77" t="s">
        <v>90</v>
      </c>
      <c r="B14" s="78"/>
      <c r="C14" s="79" t="s">
        <v>91</v>
      </c>
      <c r="D14" s="79" t="s">
        <v>92</v>
      </c>
      <c r="E14" s="79" t="s">
        <v>93</v>
      </c>
      <c r="F14" s="80"/>
      <c r="G14" s="25"/>
      <c r="H14" s="76"/>
      <c r="I14" s="76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69" t="s">
        <v>94</v>
      </c>
      <c r="B15" s="25"/>
      <c r="C15" s="137">
        <v>395.48</v>
      </c>
      <c r="D15" s="81"/>
      <c r="E15" s="81"/>
      <c r="F15" s="82"/>
      <c r="G15" s="8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69" t="s">
        <v>95</v>
      </c>
      <c r="B16" s="25"/>
      <c r="C16" s="81">
        <f>126726/10^3</f>
        <v>126.726</v>
      </c>
      <c r="D16" s="81"/>
      <c r="E16" s="81"/>
      <c r="F16" s="84"/>
      <c r="G16" s="176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69" t="s">
        <v>96</v>
      </c>
      <c r="B17" s="25"/>
      <c r="C17" s="85">
        <f>C16+H45+G53</f>
        <v>126.96387258521291</v>
      </c>
      <c r="D17" s="85"/>
      <c r="E17" s="85"/>
      <c r="F17" s="84"/>
      <c r="G17" s="25"/>
      <c r="H17" s="8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69" t="s">
        <v>74</v>
      </c>
      <c r="B18" s="25"/>
      <c r="C18" s="85">
        <f>C15*C17</f>
        <v>50211.672330000001</v>
      </c>
      <c r="D18" s="85"/>
      <c r="E18" s="85"/>
      <c r="F18" s="87">
        <f>SUM(C18:E18)</f>
        <v>50211.672330000001</v>
      </c>
      <c r="G18" s="25"/>
      <c r="H18" s="25"/>
      <c r="I18" s="86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69" t="s">
        <v>4</v>
      </c>
      <c r="B19" s="25"/>
      <c r="C19" s="25"/>
      <c r="D19" s="86"/>
      <c r="E19" s="86"/>
      <c r="F19" s="88"/>
      <c r="G19" s="25"/>
      <c r="H19" s="86"/>
      <c r="I19" s="86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89" t="s">
        <v>97</v>
      </c>
      <c r="B20" s="25"/>
      <c r="C20" s="25"/>
      <c r="D20" s="86"/>
      <c r="E20" s="86"/>
      <c r="F20" s="87">
        <f>E21</f>
        <v>0</v>
      </c>
      <c r="G20" s="25"/>
      <c r="H20" s="86"/>
      <c r="I20" s="86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69"/>
      <c r="B21" s="25" t="s">
        <v>98</v>
      </c>
      <c r="C21" s="25"/>
      <c r="D21" s="25"/>
      <c r="E21" s="90">
        <v>0</v>
      </c>
      <c r="F21" s="8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69"/>
      <c r="B22" s="91" t="s">
        <v>99</v>
      </c>
      <c r="C22" s="25"/>
      <c r="D22" s="25"/>
      <c r="E22" s="92">
        <v>0</v>
      </c>
      <c r="F22" s="8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89" t="s">
        <v>100</v>
      </c>
      <c r="B23" s="25"/>
      <c r="C23" s="25"/>
      <c r="D23" s="25"/>
      <c r="E23" s="86"/>
      <c r="F23" s="87">
        <f>SUM(E24:E25)</f>
        <v>1881</v>
      </c>
      <c r="G23" s="25"/>
      <c r="H23" s="86"/>
      <c r="I23" s="86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" customHeight="1">
      <c r="A24" s="69"/>
      <c r="B24" s="91" t="s">
        <v>101</v>
      </c>
      <c r="C24" s="91"/>
      <c r="D24" s="25"/>
      <c r="E24" s="90">
        <v>1881</v>
      </c>
      <c r="F24" s="8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" customHeight="1">
      <c r="A25" s="69"/>
      <c r="B25" s="91" t="s">
        <v>102</v>
      </c>
      <c r="C25" s="91"/>
      <c r="D25" s="25"/>
      <c r="E25" s="92">
        <v>0</v>
      </c>
      <c r="F25" s="8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89" t="s">
        <v>103</v>
      </c>
      <c r="B26" s="25"/>
      <c r="C26" s="25"/>
      <c r="D26" s="25"/>
      <c r="E26" s="86"/>
      <c r="F26" s="8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" customHeight="1">
      <c r="A27" s="69"/>
      <c r="B27" s="25" t="s">
        <v>104</v>
      </c>
      <c r="C27" s="25"/>
      <c r="D27" s="25"/>
      <c r="E27" s="86"/>
      <c r="F27" s="88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69"/>
      <c r="B28" s="25" t="s">
        <v>105</v>
      </c>
      <c r="C28" s="25"/>
      <c r="D28" s="25"/>
      <c r="E28" s="25"/>
      <c r="F28" s="88">
        <v>0</v>
      </c>
      <c r="G28" s="25"/>
      <c r="H28" s="86"/>
      <c r="I28" s="86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89" t="s">
        <v>106</v>
      </c>
      <c r="B29" s="25"/>
      <c r="C29" s="25"/>
      <c r="D29" s="25"/>
      <c r="E29" s="86"/>
      <c r="F29" s="88">
        <v>2244</v>
      </c>
      <c r="G29" s="25"/>
      <c r="H29" s="86"/>
      <c r="I29" s="86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 thickBot="1">
      <c r="A30" s="93" t="s">
        <v>107</v>
      </c>
      <c r="B30" s="94"/>
      <c r="C30" s="94"/>
      <c r="D30" s="95"/>
      <c r="E30" s="95"/>
      <c r="F30" s="96">
        <f>F18+F19+F20+F23+F27+F28-F29</f>
        <v>49848.672330000001</v>
      </c>
      <c r="G30" s="25"/>
      <c r="H30" s="25"/>
      <c r="I30" s="86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97" t="s">
        <v>108</v>
      </c>
      <c r="B31" s="98"/>
      <c r="C31" s="98"/>
      <c r="D31" s="99"/>
      <c r="E31" s="99"/>
      <c r="F31" s="88">
        <v>187</v>
      </c>
      <c r="G31" s="25"/>
      <c r="H31" s="86"/>
      <c r="I31" s="86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4.25" customHeight="1">
      <c r="A32" s="97" t="s">
        <v>109</v>
      </c>
      <c r="B32" s="98"/>
      <c r="C32" s="98"/>
      <c r="D32" s="99"/>
      <c r="E32" s="99"/>
      <c r="F32" s="87">
        <f>F30-F31</f>
        <v>49661.672330000001</v>
      </c>
      <c r="G32" s="25"/>
      <c r="H32" s="25"/>
      <c r="I32" s="86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" customHeight="1" thickBot="1">
      <c r="A33" s="74" t="s">
        <v>110</v>
      </c>
      <c r="B33" s="30"/>
      <c r="C33" s="30"/>
      <c r="D33" s="30"/>
      <c r="E33" s="30"/>
      <c r="F33" s="138">
        <f>F18/SUM(C17:E17)</f>
        <v>395.48</v>
      </c>
      <c r="G33" s="25"/>
      <c r="H33" s="25"/>
      <c r="I33" s="25"/>
      <c r="J33" s="101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 thickBot="1">
      <c r="A34" s="25"/>
      <c r="B34" s="25"/>
      <c r="C34" s="25"/>
      <c r="D34" s="25"/>
      <c r="E34" s="25"/>
      <c r="F34" s="25"/>
      <c r="G34" s="25"/>
      <c r="H34" s="102"/>
      <c r="I34" s="102"/>
      <c r="J34" s="10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 thickBot="1">
      <c r="A35" s="77" t="s">
        <v>111</v>
      </c>
      <c r="B35" s="78"/>
      <c r="C35" s="103"/>
      <c r="D35" s="103"/>
      <c r="E35" s="103"/>
      <c r="F35" s="103"/>
      <c r="G35" s="103"/>
      <c r="H35" s="103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 thickBot="1">
      <c r="A36" s="25"/>
      <c r="B36" s="25"/>
      <c r="C36" s="25"/>
      <c r="D36" s="25"/>
      <c r="E36" s="25"/>
      <c r="F36" s="25"/>
      <c r="G36" s="25"/>
      <c r="H36" s="102"/>
      <c r="I36" s="102"/>
      <c r="J36" s="102"/>
      <c r="K36" s="102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 thickBot="1">
      <c r="A37" s="25"/>
      <c r="B37" s="77" t="s">
        <v>147</v>
      </c>
      <c r="C37" s="103"/>
      <c r="D37" s="103"/>
      <c r="E37" s="103"/>
      <c r="F37" s="103"/>
      <c r="G37" s="103"/>
      <c r="H37" s="104"/>
      <c r="I37" s="102"/>
      <c r="J37" s="10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106"/>
      <c r="C38" s="24" t="s">
        <v>28</v>
      </c>
      <c r="D38" s="25"/>
      <c r="E38" s="26" t="s">
        <v>29</v>
      </c>
      <c r="F38" s="26"/>
      <c r="G38" s="26"/>
      <c r="H38" s="27" t="s">
        <v>30</v>
      </c>
      <c r="I38" s="102"/>
      <c r="J38" s="24"/>
      <c r="K38" s="24"/>
      <c r="L38" s="76"/>
      <c r="M38" s="76"/>
      <c r="N38" s="24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 thickBot="1">
      <c r="A39" s="25"/>
      <c r="B39" s="107" t="s">
        <v>113</v>
      </c>
      <c r="C39" s="29" t="s">
        <v>32</v>
      </c>
      <c r="D39" s="29" t="s">
        <v>33</v>
      </c>
      <c r="E39" s="29" t="s">
        <v>34</v>
      </c>
      <c r="F39" s="29" t="s">
        <v>35</v>
      </c>
      <c r="G39" s="30" t="s">
        <v>36</v>
      </c>
      <c r="H39" s="31" t="s">
        <v>37</v>
      </c>
      <c r="I39" s="102"/>
      <c r="J39" s="108"/>
      <c r="K39" s="24"/>
      <c r="L39" s="24"/>
      <c r="M39" s="25"/>
      <c r="N39" s="24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 t="s">
        <v>207</v>
      </c>
      <c r="B40" s="109">
        <v>0.78300000000000003</v>
      </c>
      <c r="C40" s="110">
        <v>285.69</v>
      </c>
      <c r="D40" s="111" t="str">
        <f>IF(C40&lt;$C$15,"Yes","N0")</f>
        <v>Yes</v>
      </c>
      <c r="E40" s="112">
        <f>IF(D40="Yes",B40,0)</f>
        <v>0.78300000000000003</v>
      </c>
      <c r="F40" s="85">
        <f>E40*C40</f>
        <v>223.69526999999999</v>
      </c>
      <c r="G40" s="112">
        <f>F40/$C$15</f>
        <v>0.56562979164559524</v>
      </c>
      <c r="H40" s="113">
        <f>E40-G40</f>
        <v>0.21737020835440479</v>
      </c>
      <c r="I40" s="102"/>
      <c r="J40" s="114"/>
      <c r="K40" s="114"/>
      <c r="L40" s="86"/>
      <c r="M40" s="114"/>
      <c r="N40" s="114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/>
      <c r="B41" s="109">
        <v>0.223</v>
      </c>
      <c r="C41" s="110">
        <v>359.12</v>
      </c>
      <c r="D41" s="111" t="str">
        <f>IF(C41&lt;$C$15,"Yes","N0")</f>
        <v>Yes</v>
      </c>
      <c r="E41" s="112">
        <f>IF(D41="Yes",B41,0)</f>
        <v>0.223</v>
      </c>
      <c r="F41" s="85">
        <f>E41*C41</f>
        <v>80.083759999999998</v>
      </c>
      <c r="G41" s="112">
        <f>F41/$C$15</f>
        <v>0.20249762314149891</v>
      </c>
      <c r="H41" s="113">
        <f>E41-G41</f>
        <v>2.0502376858501092E-2</v>
      </c>
      <c r="I41" s="102"/>
      <c r="J41" s="114"/>
      <c r="K41" s="114"/>
      <c r="L41" s="86"/>
      <c r="M41" s="114"/>
      <c r="N41" s="11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109"/>
      <c r="C42" s="110"/>
      <c r="D42" s="111"/>
      <c r="E42" s="112"/>
      <c r="F42" s="85"/>
      <c r="G42" s="112"/>
      <c r="H42" s="113"/>
      <c r="I42" s="102"/>
      <c r="J42" s="114"/>
      <c r="K42" s="114"/>
      <c r="L42" s="86"/>
      <c r="M42" s="114"/>
      <c r="N42" s="114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109"/>
      <c r="C43" s="110"/>
      <c r="D43" s="111"/>
      <c r="E43" s="112"/>
      <c r="F43" s="85"/>
      <c r="G43" s="112"/>
      <c r="H43" s="113"/>
      <c r="I43" s="102"/>
      <c r="J43" s="114"/>
      <c r="K43" s="114"/>
      <c r="L43" s="86"/>
      <c r="M43" s="114"/>
      <c r="N43" s="114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109"/>
      <c r="C44" s="110"/>
      <c r="D44" s="111"/>
      <c r="E44" s="112"/>
      <c r="F44" s="85"/>
      <c r="G44" s="112"/>
      <c r="H44" s="113"/>
      <c r="I44" s="102"/>
      <c r="J44" s="114"/>
      <c r="K44" s="114"/>
      <c r="L44" s="86"/>
      <c r="M44" s="114"/>
      <c r="N44" s="114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 thickBot="1">
      <c r="A45" s="25"/>
      <c r="B45" s="74"/>
      <c r="C45" s="30"/>
      <c r="D45" s="30"/>
      <c r="E45" s="30"/>
      <c r="F45" s="30"/>
      <c r="G45" s="30"/>
      <c r="H45" s="115">
        <f>SUM(H40:H44)</f>
        <v>0.23787258521290588</v>
      </c>
      <c r="I45" s="102"/>
      <c r="J45" s="25"/>
      <c r="K45" s="25"/>
      <c r="L45" s="25"/>
      <c r="M45" s="25"/>
      <c r="N45" s="11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 thickBot="1">
      <c r="A46" s="25"/>
      <c r="B46" s="25"/>
      <c r="C46" s="25"/>
      <c r="D46" s="25"/>
      <c r="E46" s="25"/>
      <c r="F46" s="25"/>
      <c r="G46" s="25"/>
      <c r="H46" s="102"/>
      <c r="I46" s="102"/>
      <c r="J46" s="102"/>
      <c r="K46" s="102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 thickBot="1">
      <c r="A47" s="25"/>
      <c r="B47" s="77" t="s">
        <v>114</v>
      </c>
      <c r="C47" s="103"/>
      <c r="D47" s="103"/>
      <c r="E47" s="103"/>
      <c r="F47" s="103"/>
      <c r="G47" s="104"/>
      <c r="H47" s="102"/>
      <c r="I47" s="102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116"/>
      <c r="C48" s="117"/>
      <c r="D48" s="117"/>
      <c r="E48" s="211" t="s">
        <v>115</v>
      </c>
      <c r="F48" s="118"/>
      <c r="G48" s="212" t="s">
        <v>116</v>
      </c>
      <c r="H48" s="102"/>
      <c r="I48" s="102"/>
      <c r="J48" s="91"/>
      <c r="K48" s="91"/>
      <c r="L48" s="25"/>
      <c r="M48" s="21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119" t="s">
        <v>117</v>
      </c>
      <c r="C49" s="120" t="s">
        <v>118</v>
      </c>
      <c r="D49" s="120" t="s">
        <v>119</v>
      </c>
      <c r="E49" s="200"/>
      <c r="F49" s="121" t="s">
        <v>120</v>
      </c>
      <c r="G49" s="213"/>
      <c r="H49" s="102"/>
      <c r="I49" s="102"/>
      <c r="J49" s="91"/>
      <c r="K49" s="120"/>
      <c r="L49" s="121"/>
      <c r="M49" s="200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69"/>
      <c r="C50" s="81"/>
      <c r="D50" s="81"/>
      <c r="E50" s="122"/>
      <c r="F50" s="123"/>
      <c r="G50" s="124"/>
      <c r="H50" s="102"/>
      <c r="I50" s="102"/>
      <c r="J50" s="25"/>
      <c r="K50" s="86"/>
      <c r="L50" s="125"/>
      <c r="M50" s="1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69"/>
      <c r="C51" s="81"/>
      <c r="D51" s="81"/>
      <c r="E51" s="122"/>
      <c r="F51" s="123"/>
      <c r="G51" s="124"/>
      <c r="H51" s="102"/>
      <c r="I51" s="102"/>
      <c r="J51" s="25"/>
      <c r="K51" s="86"/>
      <c r="L51" s="125"/>
      <c r="M51" s="1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69"/>
      <c r="C52" s="81"/>
      <c r="D52" s="81"/>
      <c r="E52" s="122"/>
      <c r="F52" s="126"/>
      <c r="G52" s="124"/>
      <c r="H52" s="102"/>
      <c r="I52" s="102"/>
      <c r="J52" s="25"/>
      <c r="K52" s="86"/>
      <c r="L52" s="125"/>
      <c r="M52" s="1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 thickBot="1">
      <c r="A53" s="25"/>
      <c r="B53" s="74"/>
      <c r="C53" s="127"/>
      <c r="D53" s="127"/>
      <c r="E53" s="127"/>
      <c r="F53" s="128"/>
      <c r="G53" s="129"/>
      <c r="H53" s="102"/>
      <c r="I53" s="102"/>
      <c r="J53" s="25"/>
      <c r="K53" s="86"/>
      <c r="L53" s="125"/>
      <c r="M53" s="1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102"/>
      <c r="I54" s="102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102"/>
      <c r="I55" s="102"/>
      <c r="J55" s="102"/>
      <c r="K55" s="102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102"/>
      <c r="I56" s="102"/>
      <c r="J56" s="102"/>
      <c r="K56" s="102"/>
      <c r="L56" s="215" t="s">
        <v>148</v>
      </c>
      <c r="M56" s="216"/>
      <c r="N56" s="217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130" t="s">
        <v>121</v>
      </c>
      <c r="B57" s="130"/>
      <c r="C57" s="130"/>
      <c r="D57" s="130"/>
      <c r="E57" s="130"/>
      <c r="F57" s="130"/>
      <c r="G57" s="130"/>
      <c r="H57" s="131" t="s">
        <v>122</v>
      </c>
      <c r="I57" s="131" t="s">
        <v>123</v>
      </c>
      <c r="J57" s="131" t="s">
        <v>124</v>
      </c>
      <c r="K57" s="131" t="s">
        <v>38</v>
      </c>
      <c r="L57" s="131" t="s">
        <v>125</v>
      </c>
      <c r="M57" s="131" t="s">
        <v>126</v>
      </c>
      <c r="N57" s="131" t="s">
        <v>127</v>
      </c>
      <c r="O57" s="139"/>
      <c r="P57" s="131" t="s">
        <v>149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 t="s">
        <v>130</v>
      </c>
      <c r="I58" s="25" t="s">
        <v>150</v>
      </c>
      <c r="J58" s="25" t="s">
        <v>150</v>
      </c>
      <c r="K58" s="25"/>
      <c r="L58" s="140">
        <v>45657</v>
      </c>
      <c r="M58" s="140">
        <f>EDATE(L58,12)</f>
        <v>46022</v>
      </c>
      <c r="N58" s="140">
        <f>EDATE(M58,12)</f>
        <v>46387</v>
      </c>
      <c r="O58" s="141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 t="s">
        <v>131</v>
      </c>
      <c r="B59" s="25"/>
      <c r="C59" s="25"/>
      <c r="D59" s="25"/>
      <c r="E59" s="25"/>
      <c r="F59" s="25"/>
      <c r="G59" s="25"/>
      <c r="H59" s="81">
        <v>9620</v>
      </c>
      <c r="I59" s="81">
        <f>2396660/10^3</f>
        <v>2396.66</v>
      </c>
      <c r="J59" s="132">
        <f>2204218/10^3</f>
        <v>2204.2179999999998</v>
      </c>
      <c r="K59" s="133">
        <f>H59+I59-J59</f>
        <v>9812.4419999999991</v>
      </c>
      <c r="L59" s="81">
        <v>9619</v>
      </c>
      <c r="M59" s="81">
        <v>10567</v>
      </c>
      <c r="N59" s="81">
        <v>11344</v>
      </c>
      <c r="O59" s="142"/>
      <c r="P59" s="143">
        <f>(N59/H59)^(1/3)-1</f>
        <v>5.6485924305609725E-2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5.25" customHeight="1">
      <c r="A60" s="25"/>
      <c r="B60" s="25"/>
      <c r="C60" s="25"/>
      <c r="D60" s="25"/>
      <c r="E60" s="25"/>
      <c r="F60" s="25"/>
      <c r="G60" s="25"/>
      <c r="H60" s="86"/>
      <c r="I60" s="86"/>
      <c r="J60" s="86"/>
      <c r="K60" s="8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 t="s">
        <v>132</v>
      </c>
      <c r="B61" s="25"/>
      <c r="C61" s="25"/>
      <c r="D61" s="25"/>
      <c r="E61" s="25"/>
      <c r="F61" s="25"/>
      <c r="G61" s="25"/>
      <c r="H61" s="81">
        <v>2133</v>
      </c>
      <c r="I61" s="81">
        <f>490661/10^3</f>
        <v>490.661</v>
      </c>
      <c r="J61" s="81">
        <f>338115/10^3</f>
        <v>338.11500000000001</v>
      </c>
      <c r="K61" s="133">
        <f>H61+I61-J61</f>
        <v>2285.5460000000003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 t="s">
        <v>133</v>
      </c>
      <c r="B62" s="98"/>
      <c r="C62" s="98"/>
      <c r="D62" s="98"/>
      <c r="E62" s="98"/>
      <c r="F62" s="98"/>
      <c r="G62" s="98"/>
      <c r="H62" s="81">
        <f>H61-H63</f>
        <v>-43</v>
      </c>
      <c r="I62" s="81">
        <f>I61-I63</f>
        <v>-13.742999999999995</v>
      </c>
      <c r="J62" s="81">
        <f t="shared" ref="J62" si="0">J61-J63</f>
        <v>-9.8419999999999845</v>
      </c>
      <c r="K62" s="99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5.75" customHeight="1">
      <c r="A63" s="134" t="s">
        <v>134</v>
      </c>
      <c r="B63" s="98"/>
      <c r="C63" s="98"/>
      <c r="D63" s="98"/>
      <c r="E63" s="98"/>
      <c r="F63" s="98"/>
      <c r="G63" s="98"/>
      <c r="H63" s="135">
        <v>2176</v>
      </c>
      <c r="I63" s="135">
        <f>504404/10^3</f>
        <v>504.404</v>
      </c>
      <c r="J63" s="135">
        <f>347957/10^3</f>
        <v>347.95699999999999</v>
      </c>
      <c r="K63" s="133">
        <f>H63+I63-J63</f>
        <v>2332.4470000000001</v>
      </c>
      <c r="L63" s="81">
        <v>2231</v>
      </c>
      <c r="M63" s="81">
        <v>2459</v>
      </c>
      <c r="N63" s="81">
        <v>2592</v>
      </c>
      <c r="O63" s="86"/>
      <c r="P63" s="143">
        <f>(N63/H63)^(1/3)-1</f>
        <v>6.0047603946189687E-2</v>
      </c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5.75" customHeight="1">
      <c r="A64" s="25" t="s">
        <v>135</v>
      </c>
      <c r="B64" s="25"/>
      <c r="C64" s="25"/>
      <c r="D64" s="25"/>
      <c r="E64" s="25"/>
      <c r="F64" s="25"/>
      <c r="G64" s="25"/>
      <c r="H64" s="81">
        <f>74.5+5</f>
        <v>79.5</v>
      </c>
      <c r="I64" s="81">
        <f>312931/10^3</f>
        <v>312.93099999999998</v>
      </c>
      <c r="J64" s="81">
        <f>276094/10^3</f>
        <v>276.09399999999999</v>
      </c>
      <c r="K64" s="86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98" t="s">
        <v>136</v>
      </c>
      <c r="B65" s="98"/>
      <c r="C65" s="98"/>
      <c r="D65" s="98"/>
      <c r="E65" s="98"/>
      <c r="F65" s="98"/>
      <c r="G65" s="98"/>
      <c r="H65" s="135">
        <f>H63+H64</f>
        <v>2255.5</v>
      </c>
      <c r="I65" s="135">
        <f t="shared" ref="I65:J65" si="1">I63+I64</f>
        <v>817.33500000000004</v>
      </c>
      <c r="J65" s="135">
        <f t="shared" si="1"/>
        <v>624.05099999999993</v>
      </c>
      <c r="K65" s="133">
        <f>H65+I65-J65</f>
        <v>2448.7840000000001</v>
      </c>
      <c r="L65" s="81">
        <v>2610</v>
      </c>
      <c r="M65" s="81">
        <v>2889</v>
      </c>
      <c r="N65" s="81">
        <v>3090</v>
      </c>
      <c r="O65" s="86"/>
      <c r="P65" s="143">
        <f>(N65/H65)^(1/3)-1</f>
        <v>0.11063634815138434</v>
      </c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6" customHeight="1">
      <c r="A66" s="25"/>
      <c r="B66" s="25"/>
      <c r="C66" s="25"/>
      <c r="D66" s="25"/>
      <c r="E66" s="25"/>
      <c r="F66" s="25"/>
      <c r="G66" s="25"/>
      <c r="H66" s="86"/>
      <c r="I66" s="86"/>
      <c r="J66" s="86"/>
      <c r="K66" s="8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 t="s">
        <v>137</v>
      </c>
      <c r="B67" s="25"/>
      <c r="C67" s="25"/>
      <c r="D67" s="25"/>
      <c r="E67" s="25"/>
      <c r="F67" s="25"/>
      <c r="G67" s="25"/>
      <c r="H67" s="81">
        <v>1550</v>
      </c>
      <c r="I67" s="81">
        <f>351870/10^3</f>
        <v>351.87</v>
      </c>
      <c r="J67" s="81">
        <f>248714/10^3</f>
        <v>248.714</v>
      </c>
      <c r="K67" s="133">
        <f>H67+I67-J67</f>
        <v>1653.1559999999999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 t="s">
        <v>138</v>
      </c>
      <c r="B68" s="25"/>
      <c r="C68" s="25"/>
      <c r="D68" s="25"/>
      <c r="E68" s="25"/>
      <c r="F68" s="25"/>
      <c r="G68" s="25"/>
      <c r="H68" s="81">
        <f>H62</f>
        <v>-43</v>
      </c>
      <c r="I68" s="81">
        <f t="shared" ref="I68:J68" si="2">I62</f>
        <v>-13.742999999999995</v>
      </c>
      <c r="J68" s="81">
        <f t="shared" si="2"/>
        <v>-9.8419999999999845</v>
      </c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 t="s">
        <v>139</v>
      </c>
      <c r="B69" s="25"/>
      <c r="C69" s="25"/>
      <c r="D69" s="25"/>
      <c r="E69" s="25"/>
      <c r="F69" s="25"/>
      <c r="G69" s="25"/>
      <c r="H69" s="81"/>
      <c r="I69" s="81"/>
      <c r="J69" s="81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 t="s">
        <v>140</v>
      </c>
      <c r="B70" s="25"/>
      <c r="C70" s="25"/>
      <c r="D70" s="25"/>
      <c r="E70" s="25"/>
      <c r="F70" s="25"/>
      <c r="G70" s="25"/>
      <c r="H70" s="81"/>
      <c r="I70" s="81"/>
      <c r="J70" s="81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 t="s">
        <v>141</v>
      </c>
      <c r="B71" s="25"/>
      <c r="C71" s="25"/>
      <c r="D71" s="25"/>
      <c r="E71" s="25"/>
      <c r="F71" s="25"/>
      <c r="G71" s="25"/>
      <c r="H71" s="81"/>
      <c r="I71" s="81"/>
      <c r="J71" s="81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98" t="s">
        <v>142</v>
      </c>
      <c r="B72" s="25"/>
      <c r="C72" s="25"/>
      <c r="D72" s="25"/>
      <c r="E72" s="25"/>
      <c r="F72" s="25"/>
      <c r="G72" s="25"/>
      <c r="H72" s="135">
        <f>H67+H71</f>
        <v>1550</v>
      </c>
      <c r="I72" s="135">
        <f t="shared" ref="I72:J72" si="3">I67+I71</f>
        <v>351.87</v>
      </c>
      <c r="J72" s="135">
        <f t="shared" si="3"/>
        <v>248.714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 t="s">
        <v>143</v>
      </c>
      <c r="B73" s="25"/>
      <c r="C73" s="25"/>
      <c r="D73" s="25"/>
      <c r="E73" s="25"/>
      <c r="F73" s="25"/>
      <c r="G73" s="25"/>
      <c r="H73" s="81">
        <v>12</v>
      </c>
      <c r="I73" s="81">
        <f>9985/10^3</f>
        <v>9.9849999999999994</v>
      </c>
      <c r="J73" s="81">
        <f>75988/10^3</f>
        <v>75.988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98" t="s">
        <v>144</v>
      </c>
      <c r="B74" s="98"/>
      <c r="C74" s="98"/>
      <c r="D74" s="98"/>
      <c r="E74" s="98"/>
      <c r="F74" s="98"/>
      <c r="G74" s="98"/>
      <c r="H74" s="133">
        <f>H72-H73</f>
        <v>1538</v>
      </c>
      <c r="I74" s="133">
        <f t="shared" ref="I74:J74" si="4">I72-I73</f>
        <v>341.88499999999999</v>
      </c>
      <c r="J74" s="133">
        <f t="shared" si="4"/>
        <v>172.726</v>
      </c>
      <c r="K74" s="133">
        <f>H74+I74-J74</f>
        <v>1707.1590000000001</v>
      </c>
      <c r="L74" s="81">
        <v>1550</v>
      </c>
      <c r="M74" s="81">
        <v>1775</v>
      </c>
      <c r="N74" s="81">
        <v>1863</v>
      </c>
      <c r="O74" s="86"/>
      <c r="P74" s="143">
        <f>(N74/H74)^(1/3)-1</f>
        <v>6.5987649859266417E-2</v>
      </c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5.75" customHeight="1">
      <c r="A75" s="25"/>
      <c r="B75" s="25"/>
      <c r="C75" s="25"/>
      <c r="D75" s="25"/>
      <c r="E75" s="25"/>
      <c r="F75" s="25"/>
      <c r="G75" s="25"/>
      <c r="H75" s="86"/>
      <c r="I75" s="86"/>
      <c r="J75" s="86"/>
      <c r="K75" s="8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 t="s">
        <v>145</v>
      </c>
      <c r="B76" s="25"/>
      <c r="C76" s="25"/>
      <c r="D76" s="25"/>
      <c r="E76" s="25"/>
      <c r="F76" s="25"/>
      <c r="G76" s="25"/>
      <c r="H76" s="81">
        <v>127</v>
      </c>
      <c r="I76" s="81">
        <f>122803/10^3</f>
        <v>122.803</v>
      </c>
      <c r="J76" s="81">
        <f>126770/10^3</f>
        <v>126.77</v>
      </c>
      <c r="K76" s="8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 t="s">
        <v>146</v>
      </c>
      <c r="B77" s="25"/>
      <c r="C77" s="25"/>
      <c r="D77" s="25"/>
      <c r="E77" s="25"/>
      <c r="F77" s="25"/>
      <c r="G77" s="25"/>
      <c r="H77" s="136">
        <f>H74/H76</f>
        <v>12.110236220472441</v>
      </c>
      <c r="I77" s="136">
        <f t="shared" ref="I77:J77" si="5">I74/I76</f>
        <v>2.784011791242885</v>
      </c>
      <c r="J77" s="136">
        <f t="shared" si="5"/>
        <v>1.3625147905655912</v>
      </c>
      <c r="K77" s="133">
        <f>H77+I77-J77</f>
        <v>13.531733221149736</v>
      </c>
      <c r="L77" s="137">
        <v>12.2</v>
      </c>
      <c r="M77" s="137">
        <v>14.32</v>
      </c>
      <c r="N77" s="137">
        <v>15.4</v>
      </c>
      <c r="O77" s="25"/>
      <c r="P77" s="143">
        <f>(N77/H77)^(1/3)-1</f>
        <v>8.3401340920532308E-2</v>
      </c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86"/>
      <c r="I78" s="86"/>
      <c r="J78" s="86"/>
      <c r="K78" s="86"/>
      <c r="L78" s="121" t="s">
        <v>151</v>
      </c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A80" s="25"/>
      <c r="S80" s="25"/>
      <c r="T80" s="25"/>
      <c r="U80" s="25"/>
      <c r="V80" s="25"/>
      <c r="W80" s="25"/>
      <c r="X80" s="25"/>
      <c r="Y80" s="25"/>
      <c r="Z80" s="25"/>
    </row>
    <row r="81" spans="1:26" ht="15.75" customHeight="1">
      <c r="A81" s="25"/>
      <c r="S81" s="25"/>
      <c r="T81" s="25"/>
      <c r="U81" s="25"/>
      <c r="V81" s="25"/>
      <c r="W81" s="25"/>
      <c r="X81" s="25"/>
      <c r="Y81" s="25"/>
      <c r="Z81" s="25"/>
    </row>
    <row r="82" spans="1:26" ht="15.75" customHeight="1">
      <c r="A82" s="25"/>
      <c r="S82" s="25"/>
      <c r="T82" s="25"/>
      <c r="U82" s="25"/>
      <c r="V82" s="25"/>
      <c r="W82" s="25"/>
      <c r="X82" s="25"/>
      <c r="Y82" s="25"/>
      <c r="Z82" s="25"/>
    </row>
    <row r="83" spans="1:26" ht="15.75" customHeight="1">
      <c r="A83" s="25"/>
      <c r="S83" s="25"/>
      <c r="T83" s="25"/>
      <c r="U83" s="25"/>
      <c r="V83" s="25"/>
      <c r="W83" s="25"/>
      <c r="X83" s="25"/>
      <c r="Y83" s="25"/>
      <c r="Z83" s="25"/>
    </row>
    <row r="84" spans="1:26" ht="15.75" customHeight="1">
      <c r="A84" s="25"/>
      <c r="S84" s="25"/>
      <c r="T84" s="25"/>
      <c r="U84" s="25"/>
      <c r="V84" s="25"/>
      <c r="W84" s="25"/>
      <c r="X84" s="25"/>
      <c r="Y84" s="25"/>
      <c r="Z84" s="25"/>
    </row>
    <row r="85" spans="1:26" ht="15.75" customHeight="1">
      <c r="A85" s="25"/>
      <c r="S85" s="25"/>
      <c r="T85" s="25"/>
      <c r="U85" s="25"/>
      <c r="V85" s="25"/>
      <c r="W85" s="25"/>
      <c r="X85" s="25"/>
      <c r="Y85" s="25"/>
      <c r="Z85" s="25"/>
    </row>
    <row r="86" spans="1:26" ht="15.75" customHeight="1">
      <c r="A86" s="25"/>
      <c r="S86" s="25"/>
      <c r="T86" s="25"/>
      <c r="U86" s="25"/>
      <c r="V86" s="25"/>
      <c r="W86" s="25"/>
      <c r="X86" s="25"/>
      <c r="Y86" s="25"/>
      <c r="Z86" s="25"/>
    </row>
    <row r="87" spans="1:26" ht="15.75" customHeight="1">
      <c r="A87" s="25"/>
      <c r="S87" s="25"/>
      <c r="T87" s="25"/>
      <c r="U87" s="25"/>
      <c r="V87" s="25"/>
      <c r="W87" s="25"/>
      <c r="X87" s="25"/>
      <c r="Y87" s="25"/>
      <c r="Z87" s="25"/>
    </row>
    <row r="88" spans="1:26" ht="15.75" customHeight="1">
      <c r="A88" s="25"/>
      <c r="S88" s="25"/>
      <c r="T88" s="25"/>
      <c r="U88" s="25"/>
      <c r="V88" s="25"/>
      <c r="W88" s="25"/>
      <c r="X88" s="25"/>
      <c r="Y88" s="25"/>
      <c r="Z88" s="25"/>
    </row>
    <row r="89" spans="1:26" ht="15.75" customHeight="1">
      <c r="A89" s="25"/>
      <c r="S89" s="25"/>
      <c r="T89" s="25"/>
      <c r="U89" s="25"/>
      <c r="V89" s="25"/>
      <c r="W89" s="25"/>
      <c r="X89" s="25"/>
      <c r="Y89" s="25"/>
      <c r="Z89" s="25"/>
    </row>
    <row r="90" spans="1:26" ht="15.75" customHeight="1">
      <c r="A90" s="25"/>
      <c r="S90" s="25"/>
      <c r="T90" s="25"/>
      <c r="U90" s="25"/>
      <c r="V90" s="25"/>
      <c r="W90" s="25"/>
      <c r="X90" s="25"/>
      <c r="Y90" s="25"/>
      <c r="Z90" s="25"/>
    </row>
    <row r="91" spans="1:26" ht="15.75" customHeight="1">
      <c r="A91" s="25"/>
      <c r="S91" s="25"/>
      <c r="T91" s="25"/>
      <c r="U91" s="25"/>
      <c r="V91" s="25"/>
      <c r="W91" s="25"/>
      <c r="X91" s="25"/>
      <c r="Y91" s="25"/>
      <c r="Z91" s="25"/>
    </row>
    <row r="92" spans="1:26" ht="15.75" customHeight="1">
      <c r="A92" s="25"/>
      <c r="S92" s="25"/>
      <c r="T92" s="25"/>
      <c r="U92" s="25"/>
      <c r="V92" s="25"/>
      <c r="W92" s="25"/>
      <c r="X92" s="25"/>
      <c r="Y92" s="25"/>
      <c r="Z92" s="25"/>
    </row>
    <row r="93" spans="1:26" ht="15.75" customHeight="1">
      <c r="A93" s="25"/>
      <c r="S93" s="25"/>
      <c r="T93" s="25"/>
      <c r="U93" s="25"/>
      <c r="V93" s="25"/>
      <c r="W93" s="25"/>
      <c r="X93" s="25"/>
      <c r="Y93" s="25"/>
      <c r="Z93" s="25"/>
    </row>
    <row r="94" spans="1:26" ht="15.75" customHeight="1">
      <c r="A94" s="25"/>
      <c r="S94" s="25"/>
      <c r="T94" s="25"/>
      <c r="U94" s="25"/>
      <c r="V94" s="25"/>
      <c r="W94" s="25"/>
      <c r="X94" s="25"/>
      <c r="Y94" s="25"/>
      <c r="Z94" s="25"/>
    </row>
    <row r="95" spans="1:26" ht="15.75" customHeight="1">
      <c r="A95" s="25"/>
      <c r="S95" s="25"/>
      <c r="T95" s="25"/>
      <c r="U95" s="25"/>
      <c r="V95" s="25"/>
      <c r="W95" s="25"/>
      <c r="X95" s="25"/>
      <c r="Y95" s="25"/>
      <c r="Z95" s="25"/>
    </row>
    <row r="96" spans="1:26" ht="15.75" customHeight="1">
      <c r="A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A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A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A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A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A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A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A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A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A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A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A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">
    <mergeCell ref="G13:I13"/>
    <mergeCell ref="E48:E49"/>
    <mergeCell ref="G48:G49"/>
    <mergeCell ref="M48:M49"/>
    <mergeCell ref="L56:N56"/>
  </mergeCells>
  <pageMargins left="0.7" right="0.7" top="0.75" bottom="0.75" header="0" footer="0"/>
  <pageSetup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39" zoomScale="70" zoomScaleNormal="70" workbookViewId="0">
      <selection activeCell="B41" sqref="B41"/>
    </sheetView>
  </sheetViews>
  <sheetFormatPr defaultColWidth="14.42578125" defaultRowHeight="15" customHeight="1"/>
  <cols>
    <col min="1" max="1" width="3.42578125" customWidth="1"/>
    <col min="2" max="2" width="33.5703125" customWidth="1"/>
    <col min="3" max="3" width="11.42578125" customWidth="1"/>
    <col min="4" max="5" width="10.5703125" customWidth="1"/>
    <col min="6" max="6" width="11.42578125" customWidth="1"/>
    <col min="7" max="7" width="13.42578125" customWidth="1"/>
    <col min="8" max="8" width="14" customWidth="1"/>
    <col min="9" max="9" width="13" customWidth="1"/>
    <col min="10" max="10" width="9.5703125" customWidth="1"/>
    <col min="11" max="11" width="12" customWidth="1"/>
    <col min="12" max="12" width="10.42578125" customWidth="1"/>
    <col min="13" max="13" width="11.5703125" customWidth="1"/>
    <col min="14" max="26" width="11.42578125" customWidth="1"/>
  </cols>
  <sheetData>
    <row r="1" spans="1:26" ht="15.75" customHeight="1">
      <c r="A1" s="63" t="s">
        <v>160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5.75" customHeight="1">
      <c r="A2" s="65" t="str">
        <f>"(In "&amp;F10&amp;" Millions Except Per Share Data)"</f>
        <v>(In USD Millions Except Per Share Data)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5.75" customHeight="1" thickBot="1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>
      <c r="A4" s="66" t="s">
        <v>83</v>
      </c>
      <c r="B4" s="67"/>
      <c r="C4" s="67"/>
      <c r="D4" s="67"/>
      <c r="E4" s="67"/>
      <c r="F4" s="68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>
      <c r="A5" s="69" t="s">
        <v>84</v>
      </c>
      <c r="B5" s="25"/>
      <c r="C5" s="25"/>
      <c r="D5" s="25"/>
      <c r="E5" s="25"/>
      <c r="F5" s="70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>
      <c r="A6" s="69" t="s">
        <v>85</v>
      </c>
      <c r="B6" s="25"/>
      <c r="C6" s="25"/>
      <c r="D6" s="25"/>
      <c r="E6" s="25"/>
      <c r="F6" s="71">
        <v>45684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>
      <c r="A7" s="69" t="s">
        <v>86</v>
      </c>
      <c r="B7" s="25"/>
      <c r="C7" s="25"/>
      <c r="D7" s="25"/>
      <c r="E7" s="25"/>
      <c r="F7" s="72" t="s">
        <v>164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>
      <c r="A8" s="69" t="s">
        <v>87</v>
      </c>
      <c r="B8" s="25"/>
      <c r="C8" s="25"/>
      <c r="D8" s="25"/>
      <c r="E8" s="25"/>
      <c r="F8" s="73">
        <v>45657</v>
      </c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>
      <c r="A9" s="69" t="s">
        <v>88</v>
      </c>
      <c r="B9" s="25"/>
      <c r="C9" s="25"/>
      <c r="D9" s="25"/>
      <c r="E9" s="25"/>
      <c r="F9" s="73">
        <v>45589</v>
      </c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>
      <c r="A10" s="69" t="s">
        <v>67</v>
      </c>
      <c r="B10" s="25"/>
      <c r="C10" s="25"/>
      <c r="D10" s="25"/>
      <c r="E10" s="25"/>
      <c r="F10" s="70" t="s">
        <v>49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 thickBot="1">
      <c r="A11" s="74" t="s">
        <v>89</v>
      </c>
      <c r="B11" s="30"/>
      <c r="C11" s="30"/>
      <c r="D11" s="30"/>
      <c r="E11" s="30"/>
      <c r="F11" s="75">
        <v>0.27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 thickBot="1">
      <c r="A13" s="25"/>
      <c r="B13" s="25"/>
      <c r="C13" s="25"/>
      <c r="D13" s="25"/>
      <c r="E13" s="25"/>
      <c r="F13" s="25"/>
      <c r="G13" s="210"/>
      <c r="H13" s="200"/>
      <c r="I13" s="200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 thickBot="1">
      <c r="A14" s="77" t="s">
        <v>90</v>
      </c>
      <c r="B14" s="78"/>
      <c r="C14" s="79" t="s">
        <v>91</v>
      </c>
      <c r="D14" s="79" t="s">
        <v>92</v>
      </c>
      <c r="E14" s="79" t="s">
        <v>93</v>
      </c>
      <c r="F14" s="80"/>
      <c r="G14" s="25"/>
      <c r="H14" s="76"/>
      <c r="I14" s="76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>
      <c r="A15" s="69" t="s">
        <v>94</v>
      </c>
      <c r="B15" s="25"/>
      <c r="C15" s="137">
        <v>75.48</v>
      </c>
      <c r="D15" s="81"/>
      <c r="E15" s="81"/>
      <c r="F15" s="82"/>
      <c r="G15" s="83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>
      <c r="A16" s="69" t="s">
        <v>95</v>
      </c>
      <c r="B16" s="25"/>
      <c r="C16" s="81">
        <f>151838/10^3</f>
        <v>151.83799999999999</v>
      </c>
      <c r="D16" s="81"/>
      <c r="E16" s="81"/>
      <c r="F16" s="84"/>
      <c r="G16" s="17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>
      <c r="A17" s="69" t="s">
        <v>96</v>
      </c>
      <c r="B17" s="25"/>
      <c r="C17" s="85">
        <f>C16+H45+G53</f>
        <v>152.79747450264969</v>
      </c>
      <c r="D17" s="85"/>
      <c r="E17" s="85"/>
      <c r="F17" s="84"/>
      <c r="G17" s="25"/>
      <c r="H17" s="8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>
      <c r="A18" s="69" t="s">
        <v>74</v>
      </c>
      <c r="B18" s="25"/>
      <c r="C18" s="85">
        <f>C15*C17</f>
        <v>11533.153375459999</v>
      </c>
      <c r="D18" s="85"/>
      <c r="E18" s="85"/>
      <c r="F18" s="87">
        <f>SUM(C18:E18)</f>
        <v>11533.153375459999</v>
      </c>
      <c r="G18" s="25"/>
      <c r="H18" s="25"/>
      <c r="I18" s="86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>
      <c r="A19" s="69" t="s">
        <v>4</v>
      </c>
      <c r="B19" s="25"/>
      <c r="C19" s="25"/>
      <c r="D19" s="86"/>
      <c r="E19" s="86"/>
      <c r="F19" s="88">
        <v>452.87</v>
      </c>
      <c r="G19" s="25"/>
      <c r="H19" s="86"/>
      <c r="I19" s="86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>
      <c r="A20" s="89" t="s">
        <v>97</v>
      </c>
      <c r="B20" s="25"/>
      <c r="C20" s="25"/>
      <c r="D20" s="86"/>
      <c r="E20" s="86"/>
      <c r="F20" s="87">
        <f>E21</f>
        <v>0</v>
      </c>
      <c r="G20" s="25"/>
      <c r="H20" s="86"/>
      <c r="I20" s="86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>
      <c r="A21" s="69"/>
      <c r="B21" s="25" t="s">
        <v>98</v>
      </c>
      <c r="C21" s="25"/>
      <c r="D21" s="25"/>
      <c r="E21" s="90">
        <v>0</v>
      </c>
      <c r="F21" s="8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69"/>
      <c r="B22" s="91" t="s">
        <v>99</v>
      </c>
      <c r="C22" s="25"/>
      <c r="D22" s="25"/>
      <c r="E22" s="92">
        <v>0</v>
      </c>
      <c r="F22" s="8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>
      <c r="A23" s="89" t="s">
        <v>100</v>
      </c>
      <c r="B23" s="25"/>
      <c r="C23" s="25"/>
      <c r="D23" s="25"/>
      <c r="E23" s="86"/>
      <c r="F23" s="87">
        <f>SUM(E24:E25)</f>
        <v>101.78</v>
      </c>
      <c r="G23" s="25"/>
      <c r="H23" s="86"/>
      <c r="I23" s="86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" customHeight="1">
      <c r="A24" s="69"/>
      <c r="B24" s="91" t="s">
        <v>101</v>
      </c>
      <c r="C24" s="91"/>
      <c r="D24" s="25"/>
      <c r="E24" s="90">
        <v>101.78</v>
      </c>
      <c r="F24" s="8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spans="1:26" ht="15" customHeight="1">
      <c r="A25" s="69"/>
      <c r="B25" s="91" t="s">
        <v>102</v>
      </c>
      <c r="C25" s="91"/>
      <c r="D25" s="25"/>
      <c r="E25" s="92">
        <v>0</v>
      </c>
      <c r="F25" s="8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spans="1:26" ht="15.75" customHeight="1">
      <c r="A26" s="89" t="s">
        <v>103</v>
      </c>
      <c r="B26" s="25"/>
      <c r="C26" s="25"/>
      <c r="D26" s="25"/>
      <c r="E26" s="86"/>
      <c r="F26" s="8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spans="1:26" ht="15" customHeight="1">
      <c r="A27" s="69"/>
      <c r="B27" s="25" t="s">
        <v>104</v>
      </c>
      <c r="C27" s="25"/>
      <c r="D27" s="25"/>
      <c r="E27" s="86"/>
      <c r="F27" s="88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>
      <c r="A28" s="69"/>
      <c r="B28" s="25" t="s">
        <v>105</v>
      </c>
      <c r="C28" s="25"/>
      <c r="D28" s="25"/>
      <c r="E28" s="25"/>
      <c r="F28" s="88">
        <v>0</v>
      </c>
      <c r="G28" s="25"/>
      <c r="H28" s="86"/>
      <c r="I28" s="86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>
      <c r="A29" s="89" t="s">
        <v>106</v>
      </c>
      <c r="B29" s="25"/>
      <c r="C29" s="25"/>
      <c r="D29" s="25"/>
      <c r="E29" s="86"/>
      <c r="F29" s="88">
        <v>1116.52</v>
      </c>
      <c r="G29" s="25"/>
      <c r="H29" s="86"/>
      <c r="I29" s="86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 thickBot="1">
      <c r="A30" s="93" t="s">
        <v>107</v>
      </c>
      <c r="B30" s="94"/>
      <c r="C30" s="94"/>
      <c r="D30" s="95"/>
      <c r="E30" s="95"/>
      <c r="F30" s="96">
        <f>F18+F19+F20+F23+F27+F28-F29</f>
        <v>10971.28337546</v>
      </c>
      <c r="G30" s="25"/>
      <c r="H30" s="25"/>
      <c r="I30" s="86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>
      <c r="A31" s="97" t="s">
        <v>108</v>
      </c>
      <c r="B31" s="98"/>
      <c r="C31" s="98"/>
      <c r="D31" s="99"/>
      <c r="E31" s="99"/>
      <c r="F31" s="88">
        <v>3805.53</v>
      </c>
      <c r="G31" s="25"/>
      <c r="H31" s="86"/>
      <c r="I31" s="86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4.25" customHeight="1">
      <c r="A32" s="97" t="s">
        <v>109</v>
      </c>
      <c r="B32" s="98"/>
      <c r="C32" s="98"/>
      <c r="D32" s="99"/>
      <c r="E32" s="99"/>
      <c r="F32" s="87">
        <f>F30-F31</f>
        <v>7165.753375459999</v>
      </c>
      <c r="G32" s="25"/>
      <c r="H32" s="25"/>
      <c r="I32" s="86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" customHeight="1" thickBot="1">
      <c r="A33" s="74" t="s">
        <v>110</v>
      </c>
      <c r="B33" s="30"/>
      <c r="C33" s="30"/>
      <c r="D33" s="30"/>
      <c r="E33" s="30"/>
      <c r="F33" s="138">
        <f>F18/SUM(C17:E17)</f>
        <v>75.48</v>
      </c>
      <c r="G33" s="25"/>
      <c r="H33" s="25"/>
      <c r="I33" s="25"/>
      <c r="J33" s="101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 thickBot="1">
      <c r="A34" s="25"/>
      <c r="B34" s="25"/>
      <c r="C34" s="25"/>
      <c r="D34" s="25"/>
      <c r="E34" s="25"/>
      <c r="F34" s="25"/>
      <c r="G34" s="25"/>
      <c r="H34" s="102"/>
      <c r="I34" s="102"/>
      <c r="J34" s="102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 thickBot="1">
      <c r="A35" s="77" t="s">
        <v>111</v>
      </c>
      <c r="B35" s="78"/>
      <c r="C35" s="103"/>
      <c r="D35" s="103"/>
      <c r="E35" s="103"/>
      <c r="F35" s="103"/>
      <c r="G35" s="103"/>
      <c r="H35" s="103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 thickBot="1">
      <c r="A36" s="25"/>
      <c r="B36" s="25"/>
      <c r="C36" s="25"/>
      <c r="D36" s="25"/>
      <c r="E36" s="25"/>
      <c r="F36" s="25"/>
      <c r="G36" s="25"/>
      <c r="H36" s="102"/>
      <c r="I36" s="102"/>
      <c r="J36" s="102"/>
      <c r="K36" s="102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 thickBot="1">
      <c r="A37" s="25"/>
      <c r="B37" s="77" t="s">
        <v>147</v>
      </c>
      <c r="C37" s="103"/>
      <c r="D37" s="103"/>
      <c r="E37" s="103"/>
      <c r="F37" s="103"/>
      <c r="G37" s="103"/>
      <c r="H37" s="104"/>
      <c r="I37" s="102"/>
      <c r="J37" s="10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>
      <c r="A38" s="25"/>
      <c r="B38" s="106"/>
      <c r="C38" s="24" t="s">
        <v>28</v>
      </c>
      <c r="D38" s="25"/>
      <c r="E38" s="26" t="s">
        <v>29</v>
      </c>
      <c r="F38" s="26"/>
      <c r="G38" s="26"/>
      <c r="H38" s="27" t="s">
        <v>30</v>
      </c>
      <c r="I38" s="102"/>
      <c r="J38" s="24"/>
      <c r="K38" s="24"/>
      <c r="L38" s="76"/>
      <c r="M38" s="76"/>
      <c r="N38" s="24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 thickBot="1">
      <c r="A39" s="25"/>
      <c r="B39" s="107" t="s">
        <v>113</v>
      </c>
      <c r="C39" s="29" t="s">
        <v>32</v>
      </c>
      <c r="D39" s="29" t="s">
        <v>33</v>
      </c>
      <c r="E39" s="29" t="s">
        <v>34</v>
      </c>
      <c r="F39" s="29" t="s">
        <v>35</v>
      </c>
      <c r="G39" s="30" t="s">
        <v>36</v>
      </c>
      <c r="H39" s="31" t="s">
        <v>37</v>
      </c>
      <c r="I39" s="102"/>
      <c r="J39" s="108"/>
      <c r="K39" s="24"/>
      <c r="L39" s="24"/>
      <c r="M39" s="25"/>
      <c r="N39" s="24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>
      <c r="A40" s="25"/>
      <c r="B40" s="109">
        <f>3057034/10^6</f>
        <v>3.0570339999999998</v>
      </c>
      <c r="C40" s="110">
        <v>51.79</v>
      </c>
      <c r="D40" s="111" t="str">
        <f>IF(C40&lt;$C$15,"Yes","N0")</f>
        <v>Yes</v>
      </c>
      <c r="E40" s="112">
        <f>IF(D40="Yes",B40,0)</f>
        <v>3.0570339999999998</v>
      </c>
      <c r="F40" s="85">
        <f>E40*C40</f>
        <v>158.32379085999997</v>
      </c>
      <c r="G40" s="112">
        <f>F40/$C$15</f>
        <v>2.0975594973502911</v>
      </c>
      <c r="H40" s="113">
        <f>E40-G40</f>
        <v>0.95947450264970868</v>
      </c>
      <c r="I40" s="102"/>
      <c r="J40" s="114"/>
      <c r="K40" s="114"/>
      <c r="L40" s="86"/>
      <c r="M40" s="114"/>
      <c r="N40" s="114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>
      <c r="A41" s="25"/>
      <c r="B41" s="109"/>
      <c r="C41" s="110">
        <v>0</v>
      </c>
      <c r="D41" s="111" t="str">
        <f>IF(C41&lt;$C$15,"Yes","N0")</f>
        <v>Yes</v>
      </c>
      <c r="E41" s="112">
        <f>IF(D41="Yes",B41,0)</f>
        <v>0</v>
      </c>
      <c r="F41" s="85">
        <f>E41*C41</f>
        <v>0</v>
      </c>
      <c r="G41" s="112">
        <f>F41/$C$15</f>
        <v>0</v>
      </c>
      <c r="H41" s="113">
        <f>E41-G41</f>
        <v>0</v>
      </c>
      <c r="I41" s="102"/>
      <c r="J41" s="114"/>
      <c r="K41" s="114"/>
      <c r="L41" s="86"/>
      <c r="M41" s="114"/>
      <c r="N41" s="114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>
      <c r="A42" s="25"/>
      <c r="B42" s="109"/>
      <c r="C42" s="110"/>
      <c r="D42" s="111"/>
      <c r="E42" s="112"/>
      <c r="F42" s="85"/>
      <c r="G42" s="112"/>
      <c r="H42" s="113"/>
      <c r="I42" s="102"/>
      <c r="J42" s="114"/>
      <c r="K42" s="114"/>
      <c r="L42" s="86"/>
      <c r="M42" s="114"/>
      <c r="N42" s="114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>
      <c r="A43" s="25"/>
      <c r="B43" s="109"/>
      <c r="C43" s="110"/>
      <c r="D43" s="111"/>
      <c r="E43" s="112"/>
      <c r="F43" s="85"/>
      <c r="G43" s="112"/>
      <c r="H43" s="113"/>
      <c r="I43" s="102"/>
      <c r="J43" s="114"/>
      <c r="K43" s="114"/>
      <c r="L43" s="86"/>
      <c r="M43" s="114"/>
      <c r="N43" s="114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>
      <c r="A44" s="25"/>
      <c r="B44" s="109"/>
      <c r="C44" s="110"/>
      <c r="D44" s="111"/>
      <c r="E44" s="112"/>
      <c r="F44" s="85"/>
      <c r="G44" s="112"/>
      <c r="H44" s="113"/>
      <c r="I44" s="102"/>
      <c r="J44" s="114"/>
      <c r="K44" s="114"/>
      <c r="L44" s="86"/>
      <c r="M44" s="114"/>
      <c r="N44" s="114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 thickBot="1">
      <c r="A45" s="25"/>
      <c r="B45" s="74"/>
      <c r="C45" s="30"/>
      <c r="D45" s="30"/>
      <c r="E45" s="30"/>
      <c r="F45" s="30"/>
      <c r="G45" s="30"/>
      <c r="H45" s="115">
        <f>SUM(H40:H44)</f>
        <v>0.95947450264970868</v>
      </c>
      <c r="I45" s="102"/>
      <c r="J45" s="25"/>
      <c r="K45" s="25"/>
      <c r="L45" s="25"/>
      <c r="M45" s="25"/>
      <c r="N45" s="11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 thickBot="1">
      <c r="A46" s="25"/>
      <c r="B46" s="25"/>
      <c r="C46" s="25"/>
      <c r="D46" s="25"/>
      <c r="E46" s="25"/>
      <c r="F46" s="25"/>
      <c r="G46" s="25"/>
      <c r="H46" s="102"/>
      <c r="I46" s="102"/>
      <c r="J46" s="102"/>
      <c r="K46" s="102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 thickBot="1">
      <c r="A47" s="25"/>
      <c r="B47" s="77" t="s">
        <v>114</v>
      </c>
      <c r="C47" s="103"/>
      <c r="D47" s="103"/>
      <c r="E47" s="103"/>
      <c r="F47" s="103"/>
      <c r="G47" s="104"/>
      <c r="H47" s="102"/>
      <c r="I47" s="102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>
      <c r="A48" s="25"/>
      <c r="B48" s="116"/>
      <c r="C48" s="117"/>
      <c r="D48" s="117"/>
      <c r="E48" s="211" t="s">
        <v>115</v>
      </c>
      <c r="F48" s="118"/>
      <c r="G48" s="212" t="s">
        <v>116</v>
      </c>
      <c r="H48" s="102"/>
      <c r="I48" s="102"/>
      <c r="J48" s="91"/>
      <c r="K48" s="91"/>
      <c r="L48" s="25"/>
      <c r="M48" s="21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>
      <c r="A49" s="25"/>
      <c r="B49" s="119" t="s">
        <v>117</v>
      </c>
      <c r="C49" s="120" t="s">
        <v>118</v>
      </c>
      <c r="D49" s="120" t="s">
        <v>119</v>
      </c>
      <c r="E49" s="200"/>
      <c r="F49" s="121" t="s">
        <v>120</v>
      </c>
      <c r="G49" s="213"/>
      <c r="H49" s="102"/>
      <c r="I49" s="102"/>
      <c r="J49" s="91"/>
      <c r="K49" s="120"/>
      <c r="L49" s="121"/>
      <c r="M49" s="200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>
      <c r="A50" s="25"/>
      <c r="B50" s="69"/>
      <c r="C50" s="81"/>
      <c r="D50" s="81"/>
      <c r="E50" s="122"/>
      <c r="F50" s="123"/>
      <c r="G50" s="124"/>
      <c r="H50" s="102"/>
      <c r="I50" s="102"/>
      <c r="J50" s="25"/>
      <c r="K50" s="86"/>
      <c r="L50" s="125"/>
      <c r="M50" s="1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>
      <c r="A51" s="25"/>
      <c r="B51" s="69"/>
      <c r="C51" s="81"/>
      <c r="D51" s="81"/>
      <c r="E51" s="122"/>
      <c r="F51" s="123"/>
      <c r="G51" s="124"/>
      <c r="H51" s="102"/>
      <c r="I51" s="102"/>
      <c r="J51" s="25"/>
      <c r="K51" s="86"/>
      <c r="L51" s="125"/>
      <c r="M51" s="1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>
      <c r="A52" s="25"/>
      <c r="B52" s="69"/>
      <c r="C52" s="81"/>
      <c r="D52" s="81"/>
      <c r="E52" s="122"/>
      <c r="F52" s="126"/>
      <c r="G52" s="124"/>
      <c r="H52" s="102"/>
      <c r="I52" s="102"/>
      <c r="J52" s="25"/>
      <c r="K52" s="86"/>
      <c r="L52" s="125"/>
      <c r="M52" s="1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 thickBot="1">
      <c r="A53" s="25"/>
      <c r="B53" s="74"/>
      <c r="C53" s="127"/>
      <c r="D53" s="127"/>
      <c r="E53" s="127"/>
      <c r="F53" s="128"/>
      <c r="G53" s="129"/>
      <c r="H53" s="102"/>
      <c r="I53" s="102"/>
      <c r="J53" s="25"/>
      <c r="K53" s="86"/>
      <c r="L53" s="125"/>
      <c r="M53" s="1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>
      <c r="A54" s="25"/>
      <c r="B54" s="25"/>
      <c r="C54" s="25"/>
      <c r="D54" s="25"/>
      <c r="E54" s="25"/>
      <c r="F54" s="25"/>
      <c r="G54" s="25"/>
      <c r="H54" s="102"/>
      <c r="I54" s="102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>
      <c r="A55" s="25"/>
      <c r="B55" s="25"/>
      <c r="C55" s="25"/>
      <c r="D55" s="25"/>
      <c r="E55" s="25"/>
      <c r="F55" s="25"/>
      <c r="G55" s="25"/>
      <c r="H55" s="102"/>
      <c r="I55" s="102"/>
      <c r="J55" s="102"/>
      <c r="K55" s="102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>
      <c r="A56" s="25"/>
      <c r="B56" s="25"/>
      <c r="C56" s="25"/>
      <c r="D56" s="25"/>
      <c r="E56" s="25"/>
      <c r="F56" s="25"/>
      <c r="G56" s="25"/>
      <c r="H56" s="102"/>
      <c r="I56" s="102"/>
      <c r="J56" s="102"/>
      <c r="K56" s="102"/>
      <c r="L56" s="215" t="s">
        <v>148</v>
      </c>
      <c r="M56" s="216"/>
      <c r="N56" s="217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>
      <c r="A57" s="130" t="s">
        <v>121</v>
      </c>
      <c r="B57" s="130"/>
      <c r="C57" s="130"/>
      <c r="D57" s="130"/>
      <c r="E57" s="130"/>
      <c r="F57" s="130"/>
      <c r="G57" s="130"/>
      <c r="H57" s="131" t="s">
        <v>122</v>
      </c>
      <c r="I57" s="131" t="s">
        <v>123</v>
      </c>
      <c r="J57" s="131" t="s">
        <v>124</v>
      </c>
      <c r="K57" s="131" t="s">
        <v>38</v>
      </c>
      <c r="L57" s="131" t="s">
        <v>125</v>
      </c>
      <c r="M57" s="131" t="s">
        <v>126</v>
      </c>
      <c r="N57" s="131" t="s">
        <v>127</v>
      </c>
      <c r="O57" s="139"/>
      <c r="P57" s="131" t="s">
        <v>149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>
      <c r="A58" s="25"/>
      <c r="B58" s="25"/>
      <c r="C58" s="25"/>
      <c r="D58" s="25"/>
      <c r="E58" s="25"/>
      <c r="F58" s="25"/>
      <c r="G58" s="25"/>
      <c r="H58" s="25" t="s">
        <v>130</v>
      </c>
      <c r="I58" s="25" t="s">
        <v>150</v>
      </c>
      <c r="J58" s="25" t="s">
        <v>150</v>
      </c>
      <c r="K58" s="25"/>
      <c r="L58" s="140">
        <v>45657</v>
      </c>
      <c r="M58" s="140">
        <f>EDATE(L58,12)</f>
        <v>46022</v>
      </c>
      <c r="N58" s="140">
        <f>EDATE(M58,12)</f>
        <v>46387</v>
      </c>
      <c r="O58" s="141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>
      <c r="A59" s="25" t="s">
        <v>131</v>
      </c>
      <c r="B59" s="25"/>
      <c r="C59" s="25"/>
      <c r="D59" s="25"/>
      <c r="E59" s="25"/>
      <c r="F59" s="25"/>
      <c r="G59" s="25"/>
      <c r="H59" s="81">
        <f>8969351/10^3</f>
        <v>8969.3510000000006</v>
      </c>
      <c r="I59" s="81"/>
      <c r="J59" s="132"/>
      <c r="K59" s="133">
        <f>H59</f>
        <v>8969.3510000000006</v>
      </c>
      <c r="L59" s="81">
        <v>8969</v>
      </c>
      <c r="M59" s="81">
        <v>9769</v>
      </c>
      <c r="N59" s="81">
        <v>10688</v>
      </c>
      <c r="O59" s="142"/>
      <c r="P59" s="143">
        <f>(N59/H59)^(1/3)-1</f>
        <v>6.0177236659016975E-2</v>
      </c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5.25" customHeight="1">
      <c r="A60" s="25"/>
      <c r="B60" s="25"/>
      <c r="C60" s="25"/>
      <c r="D60" s="25"/>
      <c r="E60" s="25"/>
      <c r="F60" s="25"/>
      <c r="G60" s="25"/>
      <c r="H60" s="86"/>
      <c r="I60" s="86"/>
      <c r="J60" s="8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>
      <c r="A61" s="25" t="s">
        <v>132</v>
      </c>
      <c r="B61" s="25"/>
      <c r="C61" s="25"/>
      <c r="D61" s="25"/>
      <c r="E61" s="25"/>
      <c r="F61" s="25"/>
      <c r="G61" s="25"/>
      <c r="H61" s="81">
        <f>877749/10^3</f>
        <v>877.74900000000002</v>
      </c>
      <c r="I61" s="81"/>
      <c r="J61" s="81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>
      <c r="A62" s="25" t="s">
        <v>133</v>
      </c>
      <c r="B62" s="98"/>
      <c r="C62" s="98"/>
      <c r="D62" s="98"/>
      <c r="E62" s="98"/>
      <c r="F62" s="98"/>
      <c r="G62" s="98"/>
      <c r="H62" s="81"/>
      <c r="I62" s="81"/>
      <c r="J62" s="81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</row>
    <row r="63" spans="1:26" ht="15.75" customHeight="1">
      <c r="A63" s="134" t="s">
        <v>134</v>
      </c>
      <c r="B63" s="98"/>
      <c r="C63" s="98"/>
      <c r="D63" s="98"/>
      <c r="E63" s="98"/>
      <c r="F63" s="98"/>
      <c r="G63" s="98"/>
      <c r="H63" s="135">
        <f>H61</f>
        <v>877.74900000000002</v>
      </c>
      <c r="I63" s="135"/>
      <c r="J63" s="135"/>
      <c r="K63" s="133">
        <f t="shared" ref="K63:K77" si="0">H63</f>
        <v>877.74900000000002</v>
      </c>
      <c r="L63" s="81">
        <v>904.3</v>
      </c>
      <c r="M63" s="81">
        <v>972.3</v>
      </c>
      <c r="N63" s="81">
        <v>1126</v>
      </c>
      <c r="O63" s="86"/>
      <c r="P63" s="143">
        <f>(N63/H63)^(1/3)-1</f>
        <v>8.6565760876084141E-2</v>
      </c>
      <c r="Q63" s="98"/>
      <c r="R63" s="98"/>
      <c r="S63" s="98"/>
      <c r="T63" s="98"/>
      <c r="U63" s="98"/>
      <c r="V63" s="98"/>
      <c r="W63" s="98"/>
      <c r="X63" s="98"/>
      <c r="Y63" s="98"/>
      <c r="Z63" s="98"/>
    </row>
    <row r="64" spans="1:26" ht="15.75" customHeight="1">
      <c r="A64" s="25" t="s">
        <v>135</v>
      </c>
      <c r="B64" s="25"/>
      <c r="C64" s="25"/>
      <c r="D64" s="25"/>
      <c r="E64" s="25"/>
      <c r="F64" s="25"/>
      <c r="G64" s="25"/>
      <c r="H64" s="81">
        <f>211499/10^3</f>
        <v>211.499</v>
      </c>
      <c r="I64" s="81"/>
      <c r="J64" s="8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>
      <c r="A65" s="98" t="s">
        <v>136</v>
      </c>
      <c r="B65" s="98"/>
      <c r="C65" s="98"/>
      <c r="D65" s="98"/>
      <c r="E65" s="98"/>
      <c r="F65" s="98"/>
      <c r="G65" s="98"/>
      <c r="H65" s="135">
        <f>H63+H64</f>
        <v>1089.248</v>
      </c>
      <c r="I65" s="135"/>
      <c r="J65" s="135"/>
      <c r="K65" s="133">
        <f t="shared" si="0"/>
        <v>1089.248</v>
      </c>
      <c r="L65" s="81">
        <v>1107</v>
      </c>
      <c r="M65" s="81">
        <v>1181</v>
      </c>
      <c r="N65" s="81">
        <v>1369</v>
      </c>
      <c r="O65" s="86"/>
      <c r="P65" s="143">
        <f>(N65/H65)^(1/3)-1</f>
        <v>7.9175868884429956E-2</v>
      </c>
      <c r="Q65" s="98"/>
      <c r="R65" s="98"/>
      <c r="S65" s="98"/>
      <c r="T65" s="98"/>
      <c r="U65" s="98"/>
      <c r="V65" s="98"/>
      <c r="W65" s="98"/>
      <c r="X65" s="98"/>
      <c r="Y65" s="98"/>
      <c r="Z65" s="98"/>
    </row>
    <row r="66" spans="1:26" ht="6" customHeight="1">
      <c r="A66" s="25"/>
      <c r="B66" s="25"/>
      <c r="C66" s="25"/>
      <c r="D66" s="25"/>
      <c r="E66" s="25"/>
      <c r="F66" s="25"/>
      <c r="G66" s="25"/>
      <c r="H66" s="86"/>
      <c r="I66" s="86"/>
      <c r="J66" s="8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>
      <c r="A67" s="25" t="s">
        <v>137</v>
      </c>
      <c r="B67" s="25"/>
      <c r="C67" s="25"/>
      <c r="D67" s="25"/>
      <c r="E67" s="25"/>
      <c r="F67" s="25"/>
      <c r="G67" s="25"/>
      <c r="H67" s="81">
        <f>729613/10^3</f>
        <v>729.61300000000006</v>
      </c>
      <c r="I67" s="81"/>
      <c r="J67" s="81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>
      <c r="A68" s="25" t="s">
        <v>138</v>
      </c>
      <c r="B68" s="25"/>
      <c r="C68" s="25"/>
      <c r="D68" s="25"/>
      <c r="E68" s="25"/>
      <c r="F68" s="25"/>
      <c r="G68" s="25"/>
      <c r="H68" s="81"/>
      <c r="I68" s="81"/>
      <c r="J68" s="81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>
      <c r="A69" s="25" t="s">
        <v>139</v>
      </c>
      <c r="B69" s="25"/>
      <c r="C69" s="25"/>
      <c r="D69" s="25"/>
      <c r="E69" s="25"/>
      <c r="F69" s="25"/>
      <c r="G69" s="25"/>
      <c r="H69" s="81"/>
      <c r="I69" s="81"/>
      <c r="J69" s="81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>
      <c r="A70" s="25" t="s">
        <v>140</v>
      </c>
      <c r="B70" s="25"/>
      <c r="C70" s="25"/>
      <c r="D70" s="25"/>
      <c r="E70" s="25"/>
      <c r="F70" s="25"/>
      <c r="G70" s="25"/>
      <c r="H70" s="81"/>
      <c r="I70" s="81"/>
      <c r="J70" s="81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>
      <c r="A71" s="25" t="s">
        <v>141</v>
      </c>
      <c r="B71" s="25"/>
      <c r="C71" s="25"/>
      <c r="D71" s="25"/>
      <c r="E71" s="25"/>
      <c r="F71" s="25"/>
      <c r="G71" s="25"/>
      <c r="H71" s="81"/>
      <c r="I71" s="81"/>
      <c r="J71" s="81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>
      <c r="A72" s="98" t="s">
        <v>142</v>
      </c>
      <c r="B72" s="25"/>
      <c r="C72" s="25"/>
      <c r="D72" s="25"/>
      <c r="E72" s="25"/>
      <c r="F72" s="25"/>
      <c r="G72" s="25"/>
      <c r="H72" s="135">
        <f>H67</f>
        <v>729.61300000000006</v>
      </c>
      <c r="I72" s="135"/>
      <c r="J72" s="135"/>
      <c r="K72" s="133">
        <f t="shared" si="0"/>
        <v>729.61300000000006</v>
      </c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>
      <c r="A73" s="25" t="s">
        <v>143</v>
      </c>
      <c r="B73" s="25"/>
      <c r="C73" s="25"/>
      <c r="D73" s="25"/>
      <c r="E73" s="25"/>
      <c r="F73" s="25"/>
      <c r="G73" s="25"/>
      <c r="H73" s="81">
        <f>90142/10^3</f>
        <v>90.141999999999996</v>
      </c>
      <c r="I73" s="81"/>
      <c r="J73" s="81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>
      <c r="A74" s="98" t="s">
        <v>144</v>
      </c>
      <c r="B74" s="98"/>
      <c r="C74" s="98"/>
      <c r="D74" s="98"/>
      <c r="E74" s="98"/>
      <c r="F74" s="98"/>
      <c r="G74" s="98"/>
      <c r="H74" s="133">
        <f>H72-H73</f>
        <v>639.471</v>
      </c>
      <c r="I74" s="133"/>
      <c r="J74" s="133"/>
      <c r="K74" s="133">
        <f t="shared" si="0"/>
        <v>639.471</v>
      </c>
      <c r="L74" s="81">
        <v>639.5</v>
      </c>
      <c r="M74" s="81">
        <v>673</v>
      </c>
      <c r="N74" s="81">
        <v>787.4</v>
      </c>
      <c r="O74" s="86"/>
      <c r="P74" s="143">
        <f>(N74/H74)^(1/3)-1</f>
        <v>7.1827392775370535E-2</v>
      </c>
      <c r="Q74" s="98"/>
      <c r="R74" s="98"/>
      <c r="S74" s="98"/>
      <c r="T74" s="98"/>
      <c r="U74" s="98"/>
      <c r="V74" s="98"/>
      <c r="W74" s="98"/>
      <c r="X74" s="98"/>
      <c r="Y74" s="98"/>
      <c r="Z74" s="98"/>
    </row>
    <row r="75" spans="1:26" ht="15.75" customHeight="1">
      <c r="A75" s="25"/>
      <c r="B75" s="25"/>
      <c r="C75" s="25"/>
      <c r="D75" s="25"/>
      <c r="E75" s="25"/>
      <c r="F75" s="25"/>
      <c r="G75" s="25"/>
      <c r="H75" s="86"/>
      <c r="I75" s="86"/>
      <c r="J75" s="8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>
      <c r="A76" s="25" t="s">
        <v>145</v>
      </c>
      <c r="B76" s="25"/>
      <c r="C76" s="25"/>
      <c r="D76" s="25"/>
      <c r="E76" s="25"/>
      <c r="F76" s="25"/>
      <c r="G76" s="25"/>
      <c r="H76" s="81">
        <f>153843/10^3</f>
        <v>153.84299999999999</v>
      </c>
      <c r="I76" s="81"/>
      <c r="J76" s="81"/>
      <c r="K76" s="133">
        <f t="shared" si="0"/>
        <v>153.84299999999999</v>
      </c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>
      <c r="A77" s="25" t="s">
        <v>146</v>
      </c>
      <c r="B77" s="25"/>
      <c r="C77" s="25"/>
      <c r="D77" s="25"/>
      <c r="E77" s="25"/>
      <c r="F77" s="25"/>
      <c r="G77" s="25"/>
      <c r="H77" s="136">
        <v>4.16</v>
      </c>
      <c r="I77" s="136"/>
      <c r="J77" s="136"/>
      <c r="K77" s="133">
        <f t="shared" si="0"/>
        <v>4.16</v>
      </c>
      <c r="L77" s="137">
        <v>4.16</v>
      </c>
      <c r="M77" s="137">
        <v>4.4690000000000003</v>
      </c>
      <c r="N77" s="137">
        <v>5.1390000000000002</v>
      </c>
      <c r="O77" s="25"/>
      <c r="P77" s="143">
        <f>(N77/H77)^(1/3)-1</f>
        <v>7.2988570032543887E-2</v>
      </c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>
      <c r="A78" s="25"/>
      <c r="B78" s="25"/>
      <c r="C78" s="25"/>
      <c r="D78" s="25"/>
      <c r="E78" s="25"/>
      <c r="F78" s="25"/>
      <c r="G78" s="25"/>
      <c r="H78" s="86"/>
      <c r="I78" s="86"/>
      <c r="J78" s="86"/>
      <c r="K78" s="86"/>
      <c r="L78" s="121" t="s">
        <v>151</v>
      </c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>
      <c r="A80" s="25"/>
      <c r="S80" s="25"/>
      <c r="T80" s="25"/>
      <c r="U80" s="25"/>
      <c r="V80" s="25"/>
      <c r="W80" s="25"/>
      <c r="X80" s="25"/>
      <c r="Y80" s="25"/>
      <c r="Z80" s="25"/>
    </row>
    <row r="81" spans="1:26" ht="15.75" customHeight="1">
      <c r="A81" s="25"/>
      <c r="S81" s="25"/>
      <c r="T81" s="25"/>
      <c r="U81" s="25"/>
      <c r="V81" s="25"/>
      <c r="W81" s="25"/>
      <c r="X81" s="25"/>
      <c r="Y81" s="25"/>
      <c r="Z81" s="25"/>
    </row>
    <row r="82" spans="1:26" ht="15.75" customHeight="1">
      <c r="A82" s="25"/>
      <c r="S82" s="25"/>
      <c r="T82" s="25"/>
      <c r="U82" s="25"/>
      <c r="V82" s="25"/>
      <c r="W82" s="25"/>
      <c r="X82" s="25"/>
      <c r="Y82" s="25"/>
      <c r="Z82" s="25"/>
    </row>
    <row r="83" spans="1:26" ht="15.75" customHeight="1">
      <c r="A83" s="25"/>
      <c r="S83" s="25"/>
      <c r="T83" s="25"/>
      <c r="U83" s="25"/>
      <c r="V83" s="25"/>
      <c r="W83" s="25"/>
      <c r="X83" s="25"/>
      <c r="Y83" s="25"/>
      <c r="Z83" s="25"/>
    </row>
    <row r="84" spans="1:26" ht="15.75" customHeight="1">
      <c r="A84" s="25"/>
      <c r="S84" s="25"/>
      <c r="T84" s="25"/>
      <c r="U84" s="25"/>
      <c r="V84" s="25"/>
      <c r="W84" s="25"/>
      <c r="X84" s="25"/>
      <c r="Y84" s="25"/>
      <c r="Z84" s="25"/>
    </row>
    <row r="85" spans="1:26" ht="15.75" customHeight="1">
      <c r="A85" s="25"/>
      <c r="S85" s="25"/>
      <c r="T85" s="25"/>
      <c r="U85" s="25"/>
      <c r="V85" s="25"/>
      <c r="W85" s="25"/>
      <c r="X85" s="25"/>
      <c r="Y85" s="25"/>
      <c r="Z85" s="25"/>
    </row>
    <row r="86" spans="1:26" ht="15.75" customHeight="1">
      <c r="A86" s="25"/>
      <c r="S86" s="25"/>
      <c r="T86" s="25"/>
      <c r="U86" s="25"/>
      <c r="V86" s="25"/>
      <c r="W86" s="25"/>
      <c r="X86" s="25"/>
      <c r="Y86" s="25"/>
      <c r="Z86" s="25"/>
    </row>
    <row r="87" spans="1:26" ht="15.75" customHeight="1">
      <c r="A87" s="25"/>
      <c r="S87" s="25"/>
      <c r="T87" s="25"/>
      <c r="U87" s="25"/>
      <c r="V87" s="25"/>
      <c r="W87" s="25"/>
      <c r="X87" s="25"/>
      <c r="Y87" s="25"/>
      <c r="Z87" s="25"/>
    </row>
    <row r="88" spans="1:26" ht="15.75" customHeight="1">
      <c r="A88" s="25"/>
      <c r="S88" s="25"/>
      <c r="T88" s="25"/>
      <c r="U88" s="25"/>
      <c r="V88" s="25"/>
      <c r="W88" s="25"/>
      <c r="X88" s="25"/>
      <c r="Y88" s="25"/>
      <c r="Z88" s="25"/>
    </row>
    <row r="89" spans="1:26" ht="15.75" customHeight="1">
      <c r="A89" s="25"/>
      <c r="S89" s="25"/>
      <c r="T89" s="25"/>
      <c r="U89" s="25"/>
      <c r="V89" s="25"/>
      <c r="W89" s="25"/>
      <c r="X89" s="25"/>
      <c r="Y89" s="25"/>
      <c r="Z89" s="25"/>
    </row>
    <row r="90" spans="1:26" ht="15.75" customHeight="1">
      <c r="A90" s="25"/>
      <c r="S90" s="25"/>
      <c r="T90" s="25"/>
      <c r="U90" s="25"/>
      <c r="V90" s="25"/>
      <c r="W90" s="25"/>
      <c r="X90" s="25"/>
      <c r="Y90" s="25"/>
      <c r="Z90" s="25"/>
    </row>
    <row r="91" spans="1:26" ht="15.75" customHeight="1">
      <c r="A91" s="25"/>
      <c r="S91" s="25"/>
      <c r="T91" s="25"/>
      <c r="U91" s="25"/>
      <c r="V91" s="25"/>
      <c r="W91" s="25"/>
      <c r="X91" s="25"/>
      <c r="Y91" s="25"/>
      <c r="Z91" s="25"/>
    </row>
    <row r="92" spans="1:26" ht="15.75" customHeight="1">
      <c r="A92" s="25"/>
      <c r="S92" s="25"/>
      <c r="T92" s="25"/>
      <c r="U92" s="25"/>
      <c r="V92" s="25"/>
      <c r="W92" s="25"/>
      <c r="X92" s="25"/>
      <c r="Y92" s="25"/>
      <c r="Z92" s="25"/>
    </row>
    <row r="93" spans="1:26" ht="15.75" customHeight="1">
      <c r="A93" s="25"/>
      <c r="S93" s="25"/>
      <c r="T93" s="25"/>
      <c r="U93" s="25"/>
      <c r="V93" s="25"/>
      <c r="W93" s="25"/>
      <c r="X93" s="25"/>
      <c r="Y93" s="25"/>
      <c r="Z93" s="25"/>
    </row>
    <row r="94" spans="1:26" ht="15.75" customHeight="1">
      <c r="A94" s="25"/>
      <c r="S94" s="25"/>
      <c r="T94" s="25"/>
      <c r="U94" s="25"/>
      <c r="V94" s="25"/>
      <c r="W94" s="25"/>
      <c r="X94" s="25"/>
      <c r="Y94" s="25"/>
      <c r="Z94" s="25"/>
    </row>
    <row r="95" spans="1:26" ht="15.75" customHeight="1">
      <c r="A95" s="25"/>
      <c r="S95" s="25"/>
      <c r="T95" s="25"/>
      <c r="U95" s="25"/>
      <c r="V95" s="25"/>
      <c r="W95" s="25"/>
      <c r="X95" s="25"/>
      <c r="Y95" s="25"/>
      <c r="Z95" s="25"/>
    </row>
    <row r="96" spans="1:26" ht="15.75" customHeight="1">
      <c r="A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>
      <c r="A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>
      <c r="A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>
      <c r="A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>
      <c r="A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>
      <c r="A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>
      <c r="A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>
      <c r="A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>
      <c r="A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>
      <c r="A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>
      <c r="A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>
      <c r="A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>
      <c r="A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mergeCells count="5">
    <mergeCell ref="G13:I13"/>
    <mergeCell ref="E48:E49"/>
    <mergeCell ref="G48:G49"/>
    <mergeCell ref="M48:M49"/>
    <mergeCell ref="L56:N56"/>
  </mergeCells>
  <pageMargins left="0.7" right="0.7" top="0.75" bottom="0.75" header="0" footer="0"/>
  <pageSetup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topLeftCell="A3" workbookViewId="0">
      <selection activeCell="I21" sqref="I21"/>
    </sheetView>
  </sheetViews>
  <sheetFormatPr defaultRowHeight="15"/>
  <cols>
    <col min="8" max="9" width="10.5703125" bestFit="1" customWidth="1"/>
  </cols>
  <sheetData>
    <row r="1" spans="1:13">
      <c r="B1" s="161" t="s">
        <v>183</v>
      </c>
      <c r="C1" s="161"/>
      <c r="D1" s="161"/>
      <c r="E1" s="161"/>
      <c r="F1" s="161"/>
      <c r="G1" s="161"/>
      <c r="H1" s="161"/>
      <c r="I1" s="161"/>
      <c r="J1" s="161"/>
    </row>
    <row r="2" spans="1:13" ht="15.75" thickBot="1">
      <c r="A2" t="s">
        <v>198</v>
      </c>
    </row>
    <row r="3" spans="1:13">
      <c r="E3" s="218" t="s">
        <v>182</v>
      </c>
      <c r="F3" s="218"/>
      <c r="H3" s="218" t="s">
        <v>181</v>
      </c>
      <c r="I3" s="218"/>
      <c r="K3" s="160" t="s">
        <v>180</v>
      </c>
      <c r="L3" s="219" t="s">
        <v>179</v>
      </c>
      <c r="M3" s="220"/>
    </row>
    <row r="4" spans="1:13">
      <c r="D4" t="s">
        <v>11</v>
      </c>
      <c r="E4" s="159" t="s">
        <v>12</v>
      </c>
      <c r="F4" s="159" t="s">
        <v>13</v>
      </c>
      <c r="H4" s="159" t="s">
        <v>12</v>
      </c>
      <c r="I4" s="159" t="s">
        <v>13</v>
      </c>
      <c r="K4" s="155"/>
      <c r="L4" s="159" t="s">
        <v>178</v>
      </c>
      <c r="M4" s="158" t="s">
        <v>177</v>
      </c>
    </row>
    <row r="5" spans="1:13">
      <c r="A5" t="s">
        <v>176</v>
      </c>
      <c r="K5" s="155" t="s">
        <v>176</v>
      </c>
      <c r="L5" t="s">
        <v>175</v>
      </c>
      <c r="M5" s="154" t="s">
        <v>175</v>
      </c>
    </row>
    <row r="6" spans="1:13">
      <c r="B6" t="s">
        <v>174</v>
      </c>
      <c r="E6" s="157"/>
      <c r="F6" s="157"/>
      <c r="H6">
        <v>54.9</v>
      </c>
      <c r="I6">
        <v>71.900000000000006</v>
      </c>
      <c r="K6" s="155"/>
      <c r="M6" s="154"/>
    </row>
    <row r="7" spans="1:13">
      <c r="B7" t="s">
        <v>173</v>
      </c>
      <c r="E7" s="179"/>
      <c r="F7" s="179"/>
      <c r="H7">
        <v>119</v>
      </c>
      <c r="I7">
        <v>133.19999999999999</v>
      </c>
      <c r="K7" s="155"/>
      <c r="M7" s="154"/>
    </row>
    <row r="8" spans="1:13">
      <c r="K8" s="155"/>
      <c r="M8" s="154"/>
    </row>
    <row r="9" spans="1:13">
      <c r="A9" t="s">
        <v>172</v>
      </c>
      <c r="B9" t="s">
        <v>171</v>
      </c>
      <c r="K9" s="155"/>
      <c r="M9" s="154"/>
    </row>
    <row r="10" spans="1:13">
      <c r="B10" t="s">
        <v>77</v>
      </c>
      <c r="E10" s="156"/>
      <c r="F10" s="156"/>
      <c r="H10" s="179">
        <f ca="1">'Valuation '!O11</f>
        <v>26.938416075621589</v>
      </c>
      <c r="I10" s="179">
        <f ca="1">'Valuation '!P11</f>
        <v>32.391147558320213</v>
      </c>
      <c r="K10" s="155"/>
      <c r="M10" s="154"/>
    </row>
    <row r="11" spans="1:13">
      <c r="B11" t="s">
        <v>78</v>
      </c>
      <c r="H11" s="179">
        <f ca="1">'Valuation '!O20</f>
        <v>41.1313545871595</v>
      </c>
      <c r="I11" s="179">
        <f ca="1">'Valuation '!P20</f>
        <v>46.462194056333253</v>
      </c>
      <c r="K11" s="155"/>
      <c r="M11" s="154"/>
    </row>
    <row r="12" spans="1:13">
      <c r="B12" t="s">
        <v>199</v>
      </c>
      <c r="H12" s="179">
        <f ca="1">'Valuation '!O29</f>
        <v>86.119562276330299</v>
      </c>
      <c r="I12" s="179">
        <f ca="1">'Valuation '!P29</f>
        <v>101.44778123198645</v>
      </c>
      <c r="K12" s="155"/>
      <c r="M12" s="154"/>
    </row>
    <row r="13" spans="1:13">
      <c r="B13" t="s">
        <v>79</v>
      </c>
      <c r="H13" s="179">
        <f ca="1">'Valuation '!O37</f>
        <v>39.107809914926889</v>
      </c>
      <c r="I13" s="179">
        <f ca="1">'Valuation '!P37</f>
        <v>47.798434340466201</v>
      </c>
      <c r="K13" s="155"/>
      <c r="M13" s="154"/>
    </row>
    <row r="14" spans="1:13">
      <c r="H14" s="179"/>
      <c r="I14" s="179"/>
      <c r="K14" s="155"/>
      <c r="M14" s="154"/>
    </row>
    <row r="15" spans="1:13">
      <c r="A15" t="s">
        <v>170</v>
      </c>
      <c r="H15" s="162">
        <v>40</v>
      </c>
      <c r="I15" s="162">
        <v>120</v>
      </c>
      <c r="K15" s="155"/>
      <c r="M15" s="154"/>
    </row>
    <row r="16" spans="1:13">
      <c r="H16" s="179"/>
      <c r="I16" s="179"/>
      <c r="K16" s="155"/>
      <c r="M16" s="154"/>
    </row>
    <row r="17" spans="1:13" ht="15.75" thickBot="1">
      <c r="A17" t="s">
        <v>169</v>
      </c>
      <c r="H17" s="162">
        <v>52.5</v>
      </c>
      <c r="I17" s="162">
        <v>98.04</v>
      </c>
      <c r="K17" s="153"/>
      <c r="L17" s="152"/>
      <c r="M17" s="151"/>
    </row>
    <row r="19" spans="1:13">
      <c r="A19" t="s">
        <v>73</v>
      </c>
      <c r="H19">
        <v>54.32</v>
      </c>
      <c r="I19">
        <v>54.32</v>
      </c>
    </row>
    <row r="21" spans="1:13">
      <c r="A21" t="s">
        <v>184</v>
      </c>
      <c r="H21">
        <v>27</v>
      </c>
      <c r="I21">
        <v>133</v>
      </c>
    </row>
  </sheetData>
  <mergeCells count="3">
    <mergeCell ref="E3:F3"/>
    <mergeCell ref="H3:I3"/>
    <mergeCell ref="L3:M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12"/>
  <sheetViews>
    <sheetView workbookViewId="0">
      <selection activeCell="E15" sqref="E15"/>
    </sheetView>
  </sheetViews>
  <sheetFormatPr defaultRowHeight="15"/>
  <cols>
    <col min="3" max="3" width="19.140625" customWidth="1"/>
    <col min="4" max="4" width="13.140625" customWidth="1"/>
    <col min="5" max="5" width="12.28515625" customWidth="1"/>
    <col min="6" max="6" width="13.42578125" customWidth="1"/>
  </cols>
  <sheetData>
    <row r="2" spans="3:6">
      <c r="C2" s="163" t="s">
        <v>180</v>
      </c>
      <c r="D2" s="163" t="s">
        <v>12</v>
      </c>
      <c r="E2" s="163" t="s">
        <v>187</v>
      </c>
      <c r="F2" s="163" t="s">
        <v>13</v>
      </c>
    </row>
    <row r="3" spans="3:6">
      <c r="C3" t="str">
        <f>'Input sheet(FF)'!B6</f>
        <v>Perpetual Growth</v>
      </c>
      <c r="D3" s="179">
        <f>'Input sheet(FF)'!H6</f>
        <v>54.9</v>
      </c>
      <c r="E3" s="194">
        <f t="shared" ref="E3:E12" si="0">F3-D3</f>
        <v>17.000000000000007</v>
      </c>
      <c r="F3" s="179">
        <f>'Input sheet(FF)'!I6</f>
        <v>71.900000000000006</v>
      </c>
    </row>
    <row r="4" spans="3:6">
      <c r="C4" t="s">
        <v>186</v>
      </c>
      <c r="D4" s="179">
        <f>'Input sheet(FF)'!H7</f>
        <v>119</v>
      </c>
      <c r="E4" s="194">
        <f t="shared" si="0"/>
        <v>14.199999999999989</v>
      </c>
      <c r="F4" s="179">
        <f>'Input sheet(FF)'!I7</f>
        <v>133.19999999999999</v>
      </c>
    </row>
    <row r="5" spans="3:6">
      <c r="C5" t="s">
        <v>77</v>
      </c>
      <c r="D5" s="179">
        <f ca="1">'Input sheet(FF)'!H10</f>
        <v>26.938416075621589</v>
      </c>
      <c r="E5" s="194">
        <f t="shared" ca="1" si="0"/>
        <v>5.4527314826986242</v>
      </c>
      <c r="F5" s="179">
        <f ca="1">'Input sheet(FF)'!I10</f>
        <v>32.391147558320213</v>
      </c>
    </row>
    <row r="6" spans="3:6">
      <c r="C6" s="164" t="s">
        <v>78</v>
      </c>
      <c r="D6" s="179">
        <f ca="1">'Input sheet(FF)'!H11</f>
        <v>41.1313545871595</v>
      </c>
      <c r="E6" s="194">
        <f t="shared" ca="1" si="0"/>
        <v>5.3308394691737533</v>
      </c>
      <c r="F6" s="179">
        <f ca="1">'Input sheet(FF)'!I11</f>
        <v>46.462194056333253</v>
      </c>
    </row>
    <row r="7" spans="3:6">
      <c r="C7" s="164" t="s">
        <v>199</v>
      </c>
      <c r="D7" s="179">
        <f ca="1">'Input sheet(FF)'!H12</f>
        <v>86.119562276330299</v>
      </c>
      <c r="E7" s="194">
        <f t="shared" ca="1" si="0"/>
        <v>15.328218955656155</v>
      </c>
      <c r="F7" s="179">
        <f ca="1">'Input sheet(FF)'!I12</f>
        <v>101.44778123198645</v>
      </c>
    </row>
    <row r="8" spans="3:6">
      <c r="C8" s="164" t="str">
        <f>'Input sheet(FF)'!B13</f>
        <v>P/E</v>
      </c>
      <c r="D8" s="179">
        <f ca="1">'Input sheet(FF)'!H13</f>
        <v>39.107809914926889</v>
      </c>
      <c r="E8" s="194">
        <f t="shared" ca="1" si="0"/>
        <v>8.6906244255393119</v>
      </c>
      <c r="F8" s="179">
        <f ca="1">'Input sheet(FF)'!I13</f>
        <v>47.798434340466201</v>
      </c>
    </row>
    <row r="9" spans="3:6">
      <c r="C9" t="str">
        <f>'Input sheet(FF)'!A15</f>
        <v>Market Consensus</v>
      </c>
      <c r="D9" s="179">
        <f>'Input sheet(FF)'!H15</f>
        <v>40</v>
      </c>
      <c r="E9" s="194">
        <f t="shared" si="0"/>
        <v>80</v>
      </c>
      <c r="F9" s="179">
        <f>'Input sheet(FF)'!I15</f>
        <v>120</v>
      </c>
    </row>
    <row r="10" spans="3:6">
      <c r="C10" t="str">
        <f>'Input sheet(FF)'!A17</f>
        <v>52 week range</v>
      </c>
      <c r="D10" s="179">
        <f>'Input sheet(FF)'!H17</f>
        <v>52.5</v>
      </c>
      <c r="E10" s="194">
        <f t="shared" si="0"/>
        <v>45.540000000000006</v>
      </c>
      <c r="F10" s="179">
        <f>'Input sheet(FF)'!I17</f>
        <v>98.04</v>
      </c>
    </row>
    <row r="11" spans="3:6">
      <c r="C11" s="165" t="s">
        <v>185</v>
      </c>
      <c r="D11" s="195">
        <f>'Input sheet(FF)'!H19</f>
        <v>54.32</v>
      </c>
      <c r="E11" s="194">
        <f t="shared" si="0"/>
        <v>0</v>
      </c>
      <c r="F11" s="195">
        <f>D11</f>
        <v>54.32</v>
      </c>
    </row>
    <row r="12" spans="3:6">
      <c r="C12" s="165" t="s">
        <v>184</v>
      </c>
      <c r="D12" s="166">
        <f ca="1">MIN(D3:D11)</f>
        <v>26.938416075621589</v>
      </c>
      <c r="E12" s="167">
        <f t="shared" ca="1" si="0"/>
        <v>106.2615839243784</v>
      </c>
      <c r="F12" s="166">
        <f ca="1">MAX(F3:F11)</f>
        <v>133.19999999999999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Valuation </vt:lpstr>
      <vt:lpstr>Output</vt:lpstr>
      <vt:lpstr>Input</vt:lpstr>
      <vt:lpstr>Crocs</vt:lpstr>
      <vt:lpstr>DECK</vt:lpstr>
      <vt:lpstr>Lulu</vt:lpstr>
      <vt:lpstr>SKX</vt:lpstr>
      <vt:lpstr>Input sheet(FF)</vt:lpstr>
      <vt:lpstr>Outputsheet(FF)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Pankajj Goel</dc:creator>
  <cp:lastModifiedBy>helllo</cp:lastModifiedBy>
  <dcterms:created xsi:type="dcterms:W3CDTF">2023-09-18T16:13:25Z</dcterms:created>
  <dcterms:modified xsi:type="dcterms:W3CDTF">2025-04-10T18:13:28Z</dcterms:modified>
</cp:coreProperties>
</file>