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jw\OneDrive\Desktop\"/>
    </mc:Choice>
  </mc:AlternateContent>
  <xr:revisionPtr revIDLastSave="0" documentId="8_{B27D2832-6E77-4781-BFA7-48344975D533}" xr6:coauthVersionLast="47" xr6:coauthVersionMax="47" xr10:uidLastSave="{00000000-0000-0000-0000-000000000000}"/>
  <bookViews>
    <workbookView xWindow="-120" yWindow="-120" windowWidth="23280" windowHeight="14880" firstSheet="2" activeTab="2" xr2:uid="{D4D68308-9443-478A-A1A8-AFEDF7641D08}"/>
  </bookViews>
  <sheets>
    <sheet name="Concept" sheetId="1" r:id="rId1"/>
    <sheet name="Data" sheetId="2" r:id="rId2"/>
    <sheet name="14 &amp; 15" sheetId="11" r:id="rId3"/>
    <sheet name="12" sheetId="10" r:id="rId4"/>
    <sheet name="13" sheetId="13" r:id="rId5"/>
    <sheet name="11" sheetId="9" r:id="rId6"/>
    <sheet name="10" sheetId="8" r:id="rId7"/>
    <sheet name="9" sheetId="7" r:id="rId8"/>
    <sheet name="8 &amp;9" sheetId="6" r:id="rId9"/>
    <sheet name="6 &amp; 7" sheetId="5" r:id="rId10"/>
    <sheet name="3 &amp; 4" sheetId="4" r:id="rId11"/>
    <sheet name="5" sheetId="12" r:id="rId12"/>
    <sheet name="1 &amp; 2" sheetId="3" r:id="rId13"/>
  </sheets>
  <definedNames>
    <definedName name="_xlnm._FilterDatabase" localSheetId="11" hidden="1">'5'!$D$2:$J$2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1" l="1"/>
  <c r="I7" i="11"/>
  <c r="I8" i="11"/>
  <c r="I9" i="11"/>
  <c r="I10" i="11"/>
  <c r="I11" i="11"/>
  <c r="I12" i="11"/>
  <c r="I13" i="11"/>
  <c r="I14" i="11"/>
  <c r="I15" i="11"/>
  <c r="I16" i="11"/>
  <c r="I5" i="11"/>
  <c r="H6" i="11" a="1"/>
  <c r="H6" i="11" s="1"/>
  <c r="H7" i="11" a="1"/>
  <c r="H7" i="11" s="1"/>
  <c r="H8" i="11" a="1"/>
  <c r="H8" i="11"/>
  <c r="H9" i="11" a="1"/>
  <c r="H9" i="11" s="1"/>
  <c r="H10" i="11" a="1"/>
  <c r="H10" i="11" s="1"/>
  <c r="H11" i="11" a="1"/>
  <c r="H11" i="11" s="1"/>
  <c r="H12" i="11" a="1"/>
  <c r="H12" i="11" s="1"/>
  <c r="H13" i="11" a="1"/>
  <c r="H13" i="11" s="1"/>
  <c r="H14" i="11" a="1"/>
  <c r="H14" i="11" s="1"/>
  <c r="H15" i="11" a="1"/>
  <c r="H15" i="11" s="1"/>
  <c r="H16" i="11" a="1"/>
  <c r="H16" i="11" s="1"/>
  <c r="H5" i="11" a="1"/>
  <c r="H5" i="11"/>
  <c r="G6" i="11"/>
  <c r="G7" i="11"/>
  <c r="G8" i="11"/>
  <c r="G9" i="11"/>
  <c r="G10" i="11"/>
  <c r="G11" i="11"/>
  <c r="G12" i="11"/>
  <c r="G13" i="11"/>
  <c r="G14" i="11"/>
  <c r="G15" i="11"/>
  <c r="G16" i="11"/>
  <c r="G5" i="11"/>
  <c r="B5" i="11" a="1"/>
  <c r="B5" i="11" s="1"/>
  <c r="B4" i="13" a="1"/>
  <c r="B4" i="13" s="1"/>
  <c r="B3" i="10" a="1"/>
  <c r="B3" i="10" s="1"/>
  <c r="B3" i="13" a="1"/>
  <c r="B3" i="13" s="1"/>
  <c r="B2" i="10" a="1"/>
  <c r="B2" i="10" s="1"/>
  <c r="C3" i="9"/>
  <c r="C6" i="9" s="1" a="1"/>
  <c r="C6" i="9" s="1"/>
  <c r="B15" i="7"/>
  <c r="B21" i="7" s="1" a="1"/>
  <c r="B21" i="7" s="1"/>
  <c r="B17" i="7"/>
  <c r="C14" i="8"/>
  <c r="B18" i="7"/>
  <c r="B8" i="7"/>
  <c r="H14" i="6"/>
  <c r="C3" i="6"/>
  <c r="C16" i="8"/>
  <c r="C15" i="8"/>
  <c r="C8" i="8"/>
  <c r="C7" i="8"/>
  <c r="C6" i="8"/>
  <c r="C5" i="8"/>
  <c r="P40" i="2"/>
  <c r="B7" i="7"/>
  <c r="B6" i="7"/>
  <c r="B5" i="7"/>
  <c r="A4" i="6" a="1"/>
  <c r="A4" i="6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C6" i="5" a="1"/>
  <c r="C6" i="5" s="1"/>
  <c r="B15" i="5" a="1"/>
  <c r="B15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5" i="5"/>
  <c r="B12" i="5"/>
  <c r="B11" i="5"/>
  <c r="B10" i="5"/>
  <c r="B9" i="5"/>
  <c r="B8" i="5"/>
  <c r="B7" i="5"/>
  <c r="B6" i="5"/>
  <c r="D5" i="5"/>
  <c r="D4" i="5"/>
  <c r="C4" i="5"/>
  <c r="B5" i="5"/>
  <c r="B4" i="5"/>
  <c r="D3" i="12" a="1"/>
  <c r="D3" i="12" s="1"/>
  <c r="D2" i="12" a="1"/>
  <c r="D2" i="12" s="1"/>
  <c r="P3" i="4" a="1"/>
  <c r="P3" i="4" s="1"/>
  <c r="B4" i="4" a="1"/>
  <c r="B4" i="4" s="1"/>
  <c r="B3" i="4" a="1"/>
  <c r="B3" i="4" s="1"/>
  <c r="A4" i="3" a="1"/>
  <c r="A4" i="3" s="1"/>
  <c r="E4" i="3" s="1"/>
  <c r="D3" i="11"/>
  <c r="E14" i="8"/>
  <c r="P2" i="4" a="1"/>
  <c r="P2" i="4" s="1"/>
  <c r="B16" i="7" l="1" a="1"/>
  <c r="B16" i="7" s="1"/>
  <c r="C4" i="9" a="1"/>
  <c r="C4" i="9" s="1"/>
  <c r="D5" i="11"/>
  <c r="E5" i="11" s="1"/>
  <c r="F5" i="11" s="1"/>
  <c r="C15" i="11"/>
  <c r="C7" i="11"/>
  <c r="D11" i="11"/>
  <c r="E11" i="11" s="1"/>
  <c r="F11" i="11" s="1"/>
  <c r="C10" i="11"/>
  <c r="D14" i="11"/>
  <c r="E14" i="11" s="1"/>
  <c r="F14" i="11" s="1"/>
  <c r="D6" i="11"/>
  <c r="E6" i="11" s="1"/>
  <c r="F6" i="11" s="1"/>
  <c r="C5" i="11"/>
  <c r="C9" i="11"/>
  <c r="D13" i="11"/>
  <c r="E13" i="11" s="1"/>
  <c r="F13" i="11" s="1"/>
  <c r="C16" i="11"/>
  <c r="C8" i="11"/>
  <c r="D12" i="11"/>
  <c r="E12" i="11" s="1"/>
  <c r="F12" i="11" s="1"/>
  <c r="C14" i="11"/>
  <c r="C6" i="11"/>
  <c r="D10" i="11"/>
  <c r="E10" i="11" s="1"/>
  <c r="F10" i="11" s="1"/>
  <c r="C13" i="11"/>
  <c r="D9" i="11"/>
  <c r="E9" i="11" s="1"/>
  <c r="F9" i="11" s="1"/>
  <c r="C12" i="11"/>
  <c r="D16" i="11"/>
  <c r="E16" i="11" s="1"/>
  <c r="F16" i="11" s="1"/>
  <c r="D8" i="11"/>
  <c r="E8" i="11" s="1"/>
  <c r="F8" i="11" s="1"/>
  <c r="C11" i="11"/>
  <c r="D15" i="11"/>
  <c r="E15" i="11" s="1"/>
  <c r="F15" i="11" s="1"/>
  <c r="D7" i="11"/>
  <c r="E7" i="11" s="1"/>
  <c r="F7" i="11" s="1"/>
  <c r="B10" i="3"/>
  <c r="C8" i="3"/>
  <c r="D8" i="3"/>
  <c r="E9" i="3"/>
  <c r="F7" i="3"/>
  <c r="B6" i="3"/>
  <c r="C7" i="3"/>
  <c r="D7" i="3"/>
  <c r="E6" i="3"/>
  <c r="F6" i="3"/>
  <c r="B13" i="3"/>
  <c r="C14" i="3"/>
  <c r="D12" i="3"/>
  <c r="E12" i="3"/>
  <c r="F13" i="3"/>
  <c r="B12" i="3"/>
  <c r="C12" i="3"/>
  <c r="D11" i="3"/>
  <c r="E11" i="3"/>
  <c r="F12" i="3"/>
  <c r="B5" i="3"/>
  <c r="C6" i="3"/>
  <c r="D6" i="3"/>
  <c r="F4" i="3"/>
  <c r="F5" i="3"/>
  <c r="B15" i="3"/>
  <c r="C4" i="3"/>
  <c r="D4" i="3"/>
  <c r="E15" i="3"/>
  <c r="F15" i="3"/>
  <c r="B14" i="3"/>
  <c r="C15" i="3"/>
  <c r="D15" i="3"/>
  <c r="E14" i="3"/>
  <c r="F14" i="3"/>
  <c r="B11" i="3"/>
  <c r="C9" i="3"/>
  <c r="D10" i="3"/>
  <c r="E10" i="3"/>
  <c r="F8" i="3"/>
  <c r="B8" i="3"/>
  <c r="C11" i="3"/>
  <c r="D14" i="3"/>
  <c r="D5" i="3"/>
  <c r="E8" i="3"/>
  <c r="F11" i="3"/>
  <c r="B4" i="3"/>
  <c r="B7" i="3"/>
  <c r="C10" i="3"/>
  <c r="D13" i="3"/>
  <c r="E7" i="3"/>
  <c r="F10" i="3"/>
  <c r="B9" i="3"/>
  <c r="C13" i="3"/>
  <c r="C5" i="3"/>
  <c r="D9" i="3"/>
  <c r="E13" i="3"/>
  <c r="E5" i="3"/>
  <c r="F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<sst xmlns="http://schemas.openxmlformats.org/spreadsheetml/2006/main" count="2462" uniqueCount="815">
  <si>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</si>
  <si>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</si>
  <si>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</si>
  <si>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</si>
  <si>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</si>
  <si>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</si>
  <si>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</si>
  <si>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</si>
  <si>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</si>
  <si>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</si>
  <si>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</si>
  <si>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</si>
  <si>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</si>
  <si>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</si>
  <si>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</si>
  <si>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</si>
  <si>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</si>
  <si>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</si>
  <si>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</si>
  <si>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</si>
  <si>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</si>
  <si>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</si>
  <si>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</si>
  <si>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</si>
  <si>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</si>
  <si>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</si>
  <si>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</si>
  <si>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</si>
  <si>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</si>
  <si>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</si>
  <si>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</si>
  <si>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</si>
  <si>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</si>
  <si>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</si>
  <si>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</si>
  <si>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</si>
  <si>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</si>
  <si>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</si>
  <si>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</si>
  <si>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</si>
  <si>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</si>
  <si>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</si>
  <si>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</si>
  <si>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</si>
  <si>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</si>
  <si>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</si>
  <si>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</si>
  <si>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</si>
  <si>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</si>
  <si>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</si>
  <si>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</si>
  <si>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</si>
  <si>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</si>
  <si>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</si>
  <si>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</si>
  <si>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</si>
  <si>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</si>
  <si>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</si>
  <si>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</si>
  <si>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</si>
  <si>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</si>
  <si>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</si>
  <si>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</si>
  <si>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</si>
  <si>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</si>
  <si>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</si>
  <si>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</si>
  <si>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</si>
  <si>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</si>
  <si>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</si>
  <si>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</si>
  <si>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</si>
  <si>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</si>
  <si>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</si>
  <si>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</si>
  <si>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</si>
  <si>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</si>
  <si>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</si>
  <si>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</si>
  <si>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</si>
  <si>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</si>
  <si>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</si>
  <si>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</si>
  <si>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</si>
  <si>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</si>
  <si>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</si>
  <si>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</si>
  <si>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</si>
  <si>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</si>
  <si>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</si>
  <si>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</si>
  <si>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</si>
  <si>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</si>
  <si>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</si>
  <si>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</si>
  <si>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</si>
  <si>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</si>
  <si>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</si>
  <si>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</si>
  <si>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</si>
  <si>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</si>
  <si>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</si>
  <si>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</si>
  <si>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</si>
  <si>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</si>
  <si>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</si>
  <si>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</si>
  <si>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</si>
  <si>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</si>
  <si>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</si>
  <si>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</si>
  <si>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</si>
  <si>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</si>
  <si>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</si>
  <si>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</si>
  <si>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</si>
  <si>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</si>
  <si>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</si>
  <si>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</si>
  <si>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</si>
  <si>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</si>
  <si>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</si>
  <si>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</si>
  <si>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</si>
  <si>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</si>
  <si>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</si>
  <si>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</si>
  <si>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</si>
  <si>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</si>
  <si>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</si>
  <si>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</si>
  <si>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</si>
  <si>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</si>
  <si>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</si>
  <si>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</si>
  <si>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</si>
  <si>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</si>
  <si>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</si>
  <si>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</si>
  <si>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</si>
  <si>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</si>
  <si>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</si>
  <si>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</si>
  <si>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</si>
  <si>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</si>
  <si>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</si>
  <si>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</si>
  <si>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</si>
  <si>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</si>
  <si>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</si>
  <si>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</si>
  <si>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</si>
  <si>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</si>
  <si>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</si>
  <si>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</si>
  <si>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</si>
  <si>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</si>
  <si>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</si>
  <si>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</si>
  <si>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</si>
  <si>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</si>
  <si>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</si>
  <si>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</si>
  <si>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</si>
  <si>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</si>
  <si>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</si>
  <si>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</si>
  <si>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</si>
  <si>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</si>
  <si>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</si>
  <si>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</si>
  <si>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</si>
  <si>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</si>
  <si>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</si>
  <si>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</si>
  <si>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</si>
  <si>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</si>
  <si>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</si>
  <si>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</si>
  <si>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</si>
  <si>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</si>
  <si>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</si>
  <si>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</si>
  <si>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</si>
  <si>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</si>
  <si>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</si>
  <si>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</si>
  <si>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</si>
  <si>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</si>
  <si>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</si>
  <si>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</si>
  <si>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</si>
  <si>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</si>
  <si>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</si>
  <si>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</si>
  <si>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</si>
  <si>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</si>
  <si>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</si>
  <si>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</si>
  <si>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</si>
  <si>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</si>
  <si>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</si>
  <si>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</si>
  <si>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</si>
  <si>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</si>
  <si>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</si>
  <si>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</si>
  <si>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</si>
  <si>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</si>
  <si>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</si>
  <si>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</si>
  <si>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</si>
  <si>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</si>
  <si>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</si>
  <si>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</si>
  <si>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</si>
  <si>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</si>
  <si>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</si>
  <si>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</si>
  <si>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</si>
  <si>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</si>
  <si>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</si>
  <si>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</si>
  <si>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</si>
  <si>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</si>
  <si>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</si>
  <si>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</si>
  <si>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</si>
  <si>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</si>
  <si>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</si>
  <si>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</si>
  <si>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</si>
  <si>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</si>
  <si>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</si>
  <si>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</si>
  <si>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</si>
  <si>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</si>
  <si>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</si>
  <si>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</si>
  <si>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</si>
  <si>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</si>
  <si>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</si>
  <si>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</si>
  <si>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</si>
  <si>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</si>
  <si>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</si>
  <si>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</si>
  <si>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</si>
  <si>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</si>
  <si>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</si>
  <si>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</si>
  <si>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</si>
  <si>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</si>
  <si>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</si>
  <si>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</si>
  <si>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</si>
  <si>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</si>
  <si>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</si>
  <si>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</si>
  <si>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</si>
  <si>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</si>
  <si>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</si>
  <si>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</si>
  <si>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</si>
  <si>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</si>
  <si>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</si>
  <si>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</si>
  <si>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</si>
  <si>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</si>
  <si>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</si>
  <si>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</si>
  <si>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</si>
  <si>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</si>
  <si>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</si>
  <si>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</si>
  <si>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</si>
  <si>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</si>
  <si>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</si>
  <si>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</si>
  <si>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</si>
  <si>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</si>
  <si>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</si>
  <si>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</si>
  <si>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</si>
  <si>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</si>
  <si>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</si>
  <si>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</si>
  <si>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</si>
  <si>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</si>
  <si>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</si>
  <si>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</si>
  <si>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</si>
  <si>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</si>
  <si>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</si>
  <si>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</si>
  <si>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</si>
  <si>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</si>
  <si>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</si>
  <si>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</si>
  <si>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</si>
  <si>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</si>
  <si>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</si>
  <si>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</si>
  <si>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</si>
  <si>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</si>
  <si>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</si>
  <si>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</si>
  <si>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</si>
  <si>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</si>
  <si>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</si>
  <si>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</si>
  <si>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</si>
  <si>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</si>
  <si>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</si>
  <si>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</si>
  <si>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</si>
  <si>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</si>
  <si>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</si>
  <si>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</si>
  <si>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</si>
  <si>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</si>
  <si>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</si>
  <si>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</si>
  <si>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</si>
  <si>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</si>
  <si>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</si>
  <si>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</si>
  <si>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</si>
  <si>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</si>
  <si>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</si>
  <si>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</si>
  <si>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</si>
  <si>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</si>
  <si>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</si>
  <si>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</si>
  <si>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</si>
  <si>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</si>
  <si>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</si>
  <si>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</si>
  <si>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</si>
  <si>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</si>
  <si>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</si>
  <si>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</si>
  <si>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</si>
  <si>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</si>
  <si>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</si>
  <si>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</si>
  <si>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</si>
  <si>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</si>
  <si>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</si>
  <si>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</si>
  <si>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</si>
  <si>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</si>
  <si>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</si>
  <si>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</si>
  <si>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</si>
  <si>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</si>
  <si>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</si>
  <si>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</si>
  <si>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</si>
  <si>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</si>
  <si>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</si>
  <si>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</si>
  <si>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</si>
  <si>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</si>
  <si>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</si>
  <si>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</si>
  <si>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</si>
  <si>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</si>
  <si>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</si>
  <si>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</si>
  <si>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</si>
  <si>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</si>
  <si>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</si>
  <si>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</si>
  <si>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</si>
  <si>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</si>
  <si>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</si>
  <si>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</si>
  <si>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</si>
  <si>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</si>
  <si>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</si>
  <si>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</si>
  <si>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</si>
  <si>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</si>
  <si>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</si>
  <si>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</si>
  <si>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</si>
  <si>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</si>
  <si>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</si>
  <si>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</si>
  <si>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</si>
  <si>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</si>
  <si>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</si>
  <si>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</si>
  <si>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</si>
  <si>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</si>
  <si>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</si>
  <si>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</si>
  <si>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</si>
  <si>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</si>
  <si>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</si>
  <si>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</si>
  <si>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</si>
  <si>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</si>
  <si>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</si>
  <si>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</si>
  <si>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</si>
  <si>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</si>
  <si>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</si>
  <si>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</si>
  <si>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</si>
  <si>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</si>
  <si>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</si>
  <si>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</si>
  <si>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</si>
  <si>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</si>
  <si>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</si>
  <si>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</si>
  <si>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</si>
  <si>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</si>
  <si>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</si>
  <si>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</si>
  <si>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</si>
  <si>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</si>
  <si>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</si>
  <si>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</si>
  <si>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</si>
  <si>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</si>
  <si>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</si>
  <si>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</si>
  <si>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</si>
  <si>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</si>
  <si>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</si>
  <si>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</si>
  <si>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</si>
  <si>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</si>
  <si>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</si>
  <si>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</si>
  <si>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</si>
  <si>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</si>
  <si>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</si>
  <si>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</si>
  <si>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</si>
  <si>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</si>
  <si>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</si>
  <si>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</si>
  <si>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</si>
  <si>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</si>
  <si>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</si>
  <si>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</si>
  <si>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</si>
  <si>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</si>
  <si>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</si>
  <si>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</si>
  <si>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</si>
  <si>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</si>
  <si>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</si>
  <si>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</si>
  <si>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</si>
  <si>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</si>
  <si>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</si>
  <si>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</si>
  <si>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</si>
  <si>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</si>
  <si>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</si>
  <si>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</si>
  <si>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</si>
  <si>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</si>
  <si>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</si>
  <si>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</si>
  <si>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</si>
  <si>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</si>
  <si>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</si>
  <si>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</si>
  <si>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</si>
  <si>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</si>
  <si>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</si>
  <si>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</si>
  <si>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</si>
  <si>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</si>
  <si>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</si>
  <si>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</si>
  <si>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</si>
  <si>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</si>
  <si>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</si>
  <si>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</si>
  <si>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</si>
  <si>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</si>
  <si>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</si>
  <si>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</si>
  <si>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</si>
  <si>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</si>
  <si>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</si>
  <si>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</si>
  <si>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</si>
  <si>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</si>
  <si>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</si>
  <si>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</si>
  <si>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</si>
  <si>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</si>
  <si>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</si>
  <si>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</si>
  <si>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</si>
  <si>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</si>
  <si>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</si>
  <si>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</si>
  <si>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</si>
  <si>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</si>
  <si>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</si>
  <si>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</si>
  <si>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</si>
  <si>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</si>
  <si>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</si>
  <si>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</si>
  <si>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</si>
  <si>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</si>
  <si>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</si>
  <si>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</si>
  <si>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</si>
  <si>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</si>
  <si>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</si>
  <si>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</si>
  <si>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</si>
  <si>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</si>
  <si>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</si>
  <si>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</si>
  <si>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</si>
  <si>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</si>
  <si>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</si>
  <si>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</si>
  <si>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</si>
  <si>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</si>
  <si>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</si>
  <si>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</si>
  <si>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</si>
  <si>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</si>
  <si>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</si>
  <si>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</si>
  <si>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</si>
  <si>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</si>
  <si>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</si>
  <si>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</si>
  <si>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</si>
  <si>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</si>
  <si>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</si>
  <si>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</si>
  <si>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</si>
  <si>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</si>
  <si>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</si>
  <si>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</si>
  <si>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</si>
  <si>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</si>
  <si>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</si>
  <si>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</si>
  <si>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</si>
  <si>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</si>
  <si>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</si>
  <si>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</si>
  <si>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</si>
  <si>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</si>
  <si>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</si>
  <si>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</si>
  <si>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</si>
  <si>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</si>
  <si>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</si>
  <si>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</si>
  <si>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</si>
  <si>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</si>
  <si>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</si>
  <si>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</si>
  <si>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</si>
  <si>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</si>
  <si>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</si>
  <si>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</si>
  <si>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</si>
  <si>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</si>
  <si>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</si>
  <si>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</si>
  <si>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</si>
  <si>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</si>
  <si>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</si>
  <si>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</si>
  <si>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</si>
  <si>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</si>
  <si>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</si>
  <si>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</si>
  <si>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</si>
  <si>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</si>
  <si>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</si>
  <si>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</si>
  <si>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</si>
  <si>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</si>
  <si>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</si>
  <si>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</si>
  <si>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</si>
  <si>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</si>
  <si>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</si>
  <si>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</si>
  <si>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</si>
  <si>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</si>
  <si>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</si>
  <si>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</si>
  <si>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</si>
  <si>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</si>
  <si>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</si>
  <si>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</si>
  <si>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</si>
  <si>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</si>
  <si>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</si>
  <si>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</si>
  <si>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</si>
  <si>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</si>
  <si>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</si>
  <si>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</si>
  <si>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</si>
  <si>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</si>
  <si>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</si>
  <si>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</si>
  <si>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</si>
  <si>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</si>
  <si>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</si>
  <si>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</si>
  <si>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</si>
  <si>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</si>
  <si>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</si>
  <si>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</si>
  <si>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</si>
  <si>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</si>
  <si>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</si>
  <si>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</si>
  <si>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</si>
  <si>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</si>
  <si>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</si>
  <si>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</si>
  <si>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</si>
  <si>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</si>
  <si>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</si>
  <si>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</si>
  <si>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</si>
  <si>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</si>
  <si>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</si>
  <si>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</si>
  <si>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</si>
  <si>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</si>
  <si>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</si>
  <si>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</si>
  <si>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</si>
  <si>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</si>
  <si>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</si>
  <si>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</si>
  <si>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</si>
  <si>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</si>
  <si>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</si>
  <si>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</si>
  <si>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</si>
  <si>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</si>
  <si>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</si>
  <si>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</si>
  <si>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</si>
  <si>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</si>
  <si>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</si>
  <si>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</si>
  <si>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</si>
  <si>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</si>
  <si>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</si>
  <si>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</si>
  <si>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</si>
  <si>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</si>
  <si>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</si>
  <si>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</si>
  <si>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</si>
  <si>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</si>
  <si>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</si>
  <si>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</si>
  <si>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</si>
  <si>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</si>
  <si>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</si>
  <si>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</si>
  <si>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</si>
  <si>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</si>
  <si>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</si>
  <si>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</si>
  <si>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</si>
  <si>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</si>
  <si>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</si>
  <si>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</si>
  <si>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</si>
  <si>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</si>
  <si>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</si>
  <si>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</si>
  <si>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</si>
  <si>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</si>
  <si>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</si>
  <si>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</si>
  <si>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</si>
  <si>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</si>
  <si>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</si>
  <si>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</si>
  <si>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</si>
  <si>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</si>
  <si>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</si>
  <si>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</si>
  <si>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</si>
  <si>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</si>
  <si>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</si>
  <si>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</si>
  <si>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</si>
  <si>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</si>
  <si>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</si>
  <si>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</si>
  <si>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</si>
  <si>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</si>
  <si>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</si>
  <si>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</si>
  <si>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</si>
  <si>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</si>
  <si>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</si>
  <si>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</si>
  <si>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</si>
  <si>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</si>
  <si>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</si>
  <si>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</si>
  <si>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</si>
  <si>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</si>
  <si>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</si>
  <si>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</si>
  <si>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</si>
  <si>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</si>
  <si>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</si>
  <si>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</si>
  <si>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</si>
  <si>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</si>
  <si>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</si>
  <si>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</si>
  <si>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</si>
  <si>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</si>
  <si>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</si>
  <si>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</si>
  <si>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</si>
  <si>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</si>
  <si>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</si>
  <si>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</si>
  <si>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</si>
  <si>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</si>
  <si>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</si>
  <si>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</si>
  <si>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</si>
  <si>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</si>
  <si>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</si>
  <si>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</si>
  <si>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</si>
  <si>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</si>
  <si>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</si>
  <si>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</si>
  <si>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</si>
  <si>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</si>
  <si>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</si>
  <si>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</si>
  <si>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</si>
  <si>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</si>
  <si>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</si>
  <si>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</si>
  <si>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</si>
  <si>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</si>
  <si>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</si>
  <si>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</si>
  <si>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</si>
  <si>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</si>
  <si>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</si>
  <si>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</si>
  <si>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</si>
  <si>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</si>
  <si>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</si>
  <si>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</si>
  <si>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</si>
  <si>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</si>
  <si>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</si>
  <si>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</si>
  <si>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</si>
  <si>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</si>
  <si>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</si>
  <si>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</si>
  <si>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</si>
  <si>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</si>
  <si>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</si>
  <si>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</si>
  <si>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</si>
  <si>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</si>
  <si>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</si>
  <si>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</si>
  <si>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</si>
  <si>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</si>
  <si>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</si>
  <si>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</si>
  <si>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</si>
  <si>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</si>
  <si>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</si>
  <si>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</si>
  <si>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</si>
  <si>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</si>
  <si>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</si>
  <si>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</si>
  <si>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</si>
  <si>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</si>
  <si>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</si>
  <si>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</si>
  <si>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All Departments</t>
  </si>
  <si>
    <t>Median Salary</t>
  </si>
  <si>
    <t>Female Ratio</t>
  </si>
  <si>
    <t>Permanent Total Salary</t>
  </si>
  <si>
    <t>All Female Employee who earn more than 100k salary and join in 2020 or after</t>
  </si>
  <si>
    <t>avg</t>
  </si>
  <si>
    <t>change avg</t>
  </si>
  <si>
    <t>Female Employee Joined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</si>
</sst>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7" xfId="0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14" fontId="0" fillId="0" borderId="0" xfId="0" applyNumberFormat="1"/>
    <xf numFmtId="9" fontId="7" fillId="0" borderId="0" xfId="3" applyFont="1"/>
    <xf numFmtId="0" fontId="3" fillId="0" borderId="0" xfId="0" applyFont="1" applyAlignment="1"/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>
    <filterColumn colId="4">
      <filters>
        <filter val="Sales"/>
      </filters>
    </filterColumn>
  </autoFilter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D10" sqref="D10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31" t="s">
        <v>767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3">
        <v>2</v>
      </c>
      <c r="D7" s="32" t="s">
        <v>775</v>
      </c>
      <c r="E7" s="7"/>
      <c r="F7" s="8" t="s">
        <v>769</v>
      </c>
      <c r="G7" s="32" t="s">
        <v>768</v>
      </c>
      <c r="H7" s="8" t="s">
        <v>769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5">
        <v>5</v>
      </c>
      <c r="D10" s="34" t="s">
        <v>777</v>
      </c>
      <c r="E10" s="13"/>
      <c r="F10" s="14"/>
      <c r="G10" s="32" t="s">
        <v>768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8" t="s">
        <v>783</v>
      </c>
      <c r="E12" s="13"/>
      <c r="F12" s="14" t="s">
        <v>784</v>
      </c>
      <c r="G12" s="38" t="s">
        <v>768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8" t="s">
        <v>788</v>
      </c>
      <c r="E14" s="13"/>
      <c r="F14" s="14" t="s">
        <v>802</v>
      </c>
      <c r="G14" s="32" t="s">
        <v>768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803</v>
      </c>
      <c r="E19" s="19"/>
      <c r="F19" s="39"/>
      <c r="G19" s="32" t="s">
        <v>768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40">
        <v>15</v>
      </c>
      <c r="D21" s="18" t="s">
        <v>23</v>
      </c>
      <c r="G21" s="32" t="s">
        <v>768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P261"/>
  <sheetViews>
    <sheetView topLeftCell="B32" workbookViewId="0">
      <selection activeCell="C44" sqref="C44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140625" bestFit="1" customWidth="1"/>
    <col min="7" max="7" width="12.28515625" bestFit="1" customWidth="1"/>
    <col min="8" max="8" width="9.5703125" bestFit="1" customWidth="1"/>
    <col min="9" max="9" width="4" bestFit="1" customWidth="1"/>
    <col min="10" max="10" width="13.28515625" bestFit="1" customWidth="1"/>
    <col min="11" max="11" width="20.85546875" bestFit="1" customWidth="1"/>
    <col min="12" max="12" width="6.5703125" bestFit="1" customWidth="1"/>
    <col min="13" max="13" width="9.570312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hidden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hidden="1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hidden="1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hidden="1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hidden="1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hidden="1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/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hidden="1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hidden="1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hidden="1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hidden="1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hidden="1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hidden="1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hidden="1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hidden="1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hidden="1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hidden="1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hidden="1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hidden="1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hidden="1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hidden="1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hidden="1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hidden="1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hidden="1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hidden="1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hidden="1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hidden="1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hidden="1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hidden="1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hidden="1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hidden="1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6" hidden="1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6" hidden="1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6" hidden="1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6" hidden="1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6" hidden="1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6" hidden="1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6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6" hidden="1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  <c r="P40">
        <f>MATCH(C175,staff[Last Name],0)</f>
        <v>43</v>
      </c>
    </row>
    <row r="41" spans="1:16" hidden="1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6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6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6" hidden="1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6" hidden="1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6" hidden="1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6" hidden="1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6" hidden="1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hidden="1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hidden="1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hidden="1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hidden="1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hidden="1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hidden="1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hidden="1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hidden="1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hidden="1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hidden="1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hidden="1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hidden="1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hidden="1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hidden="1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hidden="1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hidden="1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hidden="1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hidden="1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hidden="1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hidden="1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hidden="1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hidden="1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hidden="1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hidden="1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hidden="1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hidden="1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hidden="1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hidden="1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hidden="1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hidden="1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hidden="1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hidden="1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hidden="1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hidden="1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hidden="1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hidden="1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hidden="1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hidden="1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hidden="1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hidden="1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hidden="1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hidden="1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hidden="1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hidden="1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hidden="1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hidden="1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hidden="1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hidden="1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hidden="1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hidden="1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hidden="1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hidden="1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hidden="1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hidden="1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hidden="1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hidden="1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hidden="1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hidden="1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hidden="1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hidden="1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hidden="1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hidden="1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hidden="1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hidden="1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hidden="1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hidden="1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hidden="1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hidden="1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hidden="1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hidden="1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hidden="1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hidden="1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hidden="1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hidden="1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hidden="1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hidden="1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hidden="1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hidden="1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hidden="1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hidden="1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hidden="1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hidden="1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hidden="1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hidden="1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hidden="1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hidden="1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hidden="1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hidden="1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hidden="1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hidden="1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hidden="1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hidden="1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hidden="1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hidden="1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hidden="1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hidden="1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hidden="1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hidden="1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hidden="1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hidden="1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hidden="1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hidden="1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hidden="1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hidden="1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hidden="1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hidden="1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hidden="1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hidden="1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hidden="1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hidden="1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hidden="1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hidden="1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hidden="1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hidden="1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hidden="1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hidden="1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hidden="1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hidden="1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hidden="1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hidden="1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hidden="1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hidden="1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hidden="1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hidden="1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hidden="1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hidden="1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hidden="1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hidden="1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hidden="1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hidden="1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hidden="1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hidden="1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hidden="1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hidden="1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hidden="1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hidden="1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hidden="1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hidden="1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hidden="1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hidden="1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hidden="1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hidden="1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hidden="1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hidden="1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hidden="1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hidden="1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hidden="1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hidden="1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hidden="1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hidden="1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hidden="1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hidden="1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hidden="1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hidden="1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hidden="1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hidden="1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hidden="1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hidden="1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hidden="1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hidden="1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hidden="1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hidden="1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hidden="1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hidden="1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hidden="1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hidden="1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hidden="1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hidden="1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hidden="1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hidden="1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hidden="1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hidden="1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hidden="1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hidden="1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hidden="1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hidden="1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hidden="1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hidden="1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hidden="1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hidden="1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hidden="1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hidden="1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hidden="1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hidden="1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hidden="1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hidden="1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hidden="1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hidden="1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hidden="1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hidden="1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hidden="1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hidden="1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hidden="1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hidden="1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hidden="1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hidden="1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hidden="1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hidden="1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hidden="1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tabSelected="1" topLeftCell="B1" zoomScaleNormal="100" workbookViewId="0">
      <selection activeCell="H22" sqref="H22"/>
    </sheetView>
  </sheetViews>
  <sheetFormatPr defaultColWidth="18.140625" defaultRowHeight="15" x14ac:dyDescent="0.25"/>
  <cols>
    <col min="5" max="5" width="13.42578125" customWidth="1"/>
    <col min="6" max="6" width="9.7109375" customWidth="1"/>
  </cols>
  <sheetData>
    <row r="1" spans="2:9" x14ac:dyDescent="0.25">
      <c r="B1" t="s">
        <v>804</v>
      </c>
    </row>
    <row r="3" spans="2:9" x14ac:dyDescent="0.25">
      <c r="B3" s="30" t="s">
        <v>807</v>
      </c>
      <c r="D3" s="9">
        <f>AVERAGE(staff[Salary])</f>
        <v>73861.325230769246</v>
      </c>
    </row>
    <row r="4" spans="2:9" x14ac:dyDescent="0.25">
      <c r="B4" s="30" t="s">
        <v>28</v>
      </c>
      <c r="C4" s="30" t="s">
        <v>805</v>
      </c>
      <c r="D4" s="30" t="s">
        <v>806</v>
      </c>
      <c r="E4" s="44" t="s">
        <v>813</v>
      </c>
      <c r="F4" s="44" t="s">
        <v>812</v>
      </c>
      <c r="G4" s="30" t="s">
        <v>779</v>
      </c>
      <c r="H4" s="30" t="s">
        <v>808</v>
      </c>
      <c r="I4" s="30" t="s">
        <v>809</v>
      </c>
    </row>
    <row r="5" spans="2:9" x14ac:dyDescent="0.25">
      <c r="B5" t="str" cm="1">
        <f t="array" ref="B5:B16">_xlfn.UNIQUE(staff[Department])</f>
        <v>Training</v>
      </c>
      <c r="C5">
        <f>COUNTIF(staff[Department],B5)</f>
        <v>24</v>
      </c>
      <c r="D5" s="28">
        <f>AVERAGEIF(staff[Department],B5,staff[Salary])</f>
        <v>83883.965000000011</v>
      </c>
      <c r="E5" s="28">
        <f xml:space="preserve"> D5-$D$3</f>
        <v>10022.639769230766</v>
      </c>
      <c r="F5" s="43">
        <f>E5/$D$3</f>
        <v>0.1356953688268718</v>
      </c>
      <c r="G5" s="28">
        <f>_xlfn.MAXIFS(staff[Salary],staff[Department],B5)</f>
        <v>116767.63</v>
      </c>
      <c r="H5" cm="1">
        <f t="array" ref="H5">MEDIAN(_xlfn._xlws.FILTER(staff[Salary],staff[Department]=B5))</f>
        <v>89569.44</v>
      </c>
      <c r="I5">
        <f>(COUNTIFS(staff[Department],B5,staff[Gender],"Female"))/COUNTIF(staff[Department],B5)</f>
        <v>0.70833333333333337</v>
      </c>
    </row>
    <row r="6" spans="2:9" x14ac:dyDescent="0.25">
      <c r="B6" t="str">
        <v>Business Development</v>
      </c>
      <c r="C6">
        <f>COUNTIF(staff[Department],B6)</f>
        <v>26</v>
      </c>
      <c r="D6" s="28">
        <f>AVERAGEIF(staff[Department],B6,staff[Salary])</f>
        <v>79781.805769230778</v>
      </c>
      <c r="E6" s="28">
        <f t="shared" ref="E6:E16" si="0" xml:space="preserve"> D6-$D$3</f>
        <v>5920.480538461532</v>
      </c>
      <c r="F6" s="43">
        <f t="shared" ref="F6:F16" si="1">E6/$D$3</f>
        <v>8.0156706097051861E-2</v>
      </c>
      <c r="G6" s="28">
        <f>_xlfn.MAXIFS(staff[Salary],staff[Department],B6)</f>
        <v>110042.37</v>
      </c>
      <c r="H6" cm="1">
        <f t="array" ref="H6">MEDIAN(_xlfn._xlws.FILTER(staff[Salary],staff[Department]=B6))</f>
        <v>80695.740000000005</v>
      </c>
      <c r="I6">
        <f>(COUNTIFS(staff[Department],B6,staff[Gender],"Female"))/COUNTIF(staff[Department],B6)</f>
        <v>0.42307692307692307</v>
      </c>
    </row>
    <row r="7" spans="2:9" x14ac:dyDescent="0.25">
      <c r="B7" t="str">
        <v>Engineering</v>
      </c>
      <c r="C7">
        <f>COUNTIF(staff[Department],B7)</f>
        <v>26</v>
      </c>
      <c r="D7" s="28">
        <f>AVERAGEIF(staff[Department],B7,staff[Salary])</f>
        <v>81976.441923076913</v>
      </c>
      <c r="E7" s="28">
        <f t="shared" si="0"/>
        <v>8115.1166923076671</v>
      </c>
      <c r="F7" s="43">
        <f t="shared" si="1"/>
        <v>0.10986963295003352</v>
      </c>
      <c r="G7" s="28">
        <f>_xlfn.MAXIFS(staff[Salary],staff[Department],B7)</f>
        <v>120000</v>
      </c>
      <c r="H7" cm="1">
        <f t="array" ref="H7">MEDIAN(_xlfn._xlws.FILTER(staff[Salary],staff[Department]=B7))</f>
        <v>85332.304999999993</v>
      </c>
      <c r="I7">
        <f>(COUNTIFS(staff[Department],B7,staff[Gender],"Female"))/COUNTIF(staff[Department],B7)</f>
        <v>0.38461538461538464</v>
      </c>
    </row>
    <row r="8" spans="2:9" x14ac:dyDescent="0.25">
      <c r="B8" t="str">
        <v>Marketing</v>
      </c>
      <c r="C8">
        <f>COUNTIF(staff[Department],B8)</f>
        <v>12</v>
      </c>
      <c r="D8" s="28">
        <f>AVERAGEIF(staff[Department],B8,staff[Salary])</f>
        <v>64441.299999999996</v>
      </c>
      <c r="E8" s="28">
        <f t="shared" si="0"/>
        <v>-9420.0252307692499</v>
      </c>
      <c r="F8" s="43">
        <f t="shared" si="1"/>
        <v>-0.1275366397954236</v>
      </c>
      <c r="G8" s="28">
        <f>_xlfn.MAXIFS(staff[Salary],staff[Department],B8)</f>
        <v>104903.79</v>
      </c>
      <c r="H8" cm="1">
        <f t="array" ref="H8">MEDIAN(_xlfn._xlws.FILTER(staff[Salary],staff[Department]=B8))</f>
        <v>66961.489999999991</v>
      </c>
      <c r="I8">
        <f>(COUNTIFS(staff[Department],B8,staff[Gender],"Female"))/COUNTIF(staff[Department],B8)</f>
        <v>0.41666666666666669</v>
      </c>
    </row>
    <row r="9" spans="2:9" x14ac:dyDescent="0.25">
      <c r="B9" t="str">
        <v>Legal</v>
      </c>
      <c r="C9">
        <f>COUNTIF(staff[Department],B9)</f>
        <v>21</v>
      </c>
      <c r="D9" s="28">
        <f>AVERAGEIF(staff[Department],B9,staff[Salary])</f>
        <v>67242.51761904762</v>
      </c>
      <c r="E9" s="28">
        <f t="shared" si="0"/>
        <v>-6618.807611721626</v>
      </c>
      <c r="F9" s="43">
        <f t="shared" si="1"/>
        <v>-8.9611276145426577E-2</v>
      </c>
      <c r="G9" s="28">
        <f>_xlfn.MAXIFS(staff[Salary],staff[Department],B9)</f>
        <v>113747.56</v>
      </c>
      <c r="H9" cm="1">
        <f t="array" ref="H9">MEDIAN(_xlfn._xlws.FILTER(staff[Salary],staff[Department]=B9))</f>
        <v>66572.58</v>
      </c>
      <c r="I9">
        <f>(COUNTIFS(staff[Department],B9,staff[Gender],"Female"))/COUNTIF(staff[Department],B9)</f>
        <v>0.33333333333333331</v>
      </c>
    </row>
    <row r="10" spans="2:9" x14ac:dyDescent="0.25">
      <c r="B10" t="str">
        <v>Accounting</v>
      </c>
      <c r="C10">
        <f>COUNTIF(staff[Department],B10)</f>
        <v>26</v>
      </c>
      <c r="D10" s="28">
        <f>AVERAGEIF(staff[Department],B10,staff[Salary])</f>
        <v>69806.945769230777</v>
      </c>
      <c r="E10" s="28">
        <f t="shared" si="0"/>
        <v>-4054.3794615384686</v>
      </c>
      <c r="F10" s="43">
        <f t="shared" si="1"/>
        <v>-5.4891777921275232E-2</v>
      </c>
      <c r="G10" s="28">
        <f>_xlfn.MAXIFS(staff[Salary],staff[Department],B10)</f>
        <v>119022.49</v>
      </c>
      <c r="H10" cm="1">
        <f t="array" ref="H10">MEDIAN(_xlfn._xlws.FILTER(staff[Salary],staff[Department]=B10))</f>
        <v>69025.614999999991</v>
      </c>
      <c r="I10">
        <f>(COUNTIFS(staff[Department],B10,staff[Gender],"Female"))/COUNTIF(staff[Department],B10)</f>
        <v>0.34615384615384615</v>
      </c>
    </row>
    <row r="11" spans="2:9" x14ac:dyDescent="0.25">
      <c r="B11" t="str">
        <v>Human Resources</v>
      </c>
      <c r="C11">
        <f>COUNTIF(staff[Department],B11)</f>
        <v>22</v>
      </c>
      <c r="D11" s="28">
        <f>AVERAGEIF(staff[Department],B11,staff[Salary])</f>
        <v>73109.377727272746</v>
      </c>
      <c r="E11" s="28">
        <f t="shared" si="0"/>
        <v>-751.94750349649985</v>
      </c>
      <c r="F11" s="43">
        <f t="shared" si="1"/>
        <v>-1.0180530895528159E-2</v>
      </c>
      <c r="G11" s="28">
        <f>_xlfn.MAXIFS(staff[Salary],staff[Department],B11)</f>
        <v>103494.94</v>
      </c>
      <c r="H11" cm="1">
        <f t="array" ref="H11">MEDIAN(_xlfn._xlws.FILTER(staff[Salary],staff[Department]=B11))</f>
        <v>73182.794999999998</v>
      </c>
      <c r="I11">
        <f>(COUNTIFS(staff[Department],B11,staff[Gender],"Female"))/COUNTIF(staff[Department],B11)</f>
        <v>0.31818181818181818</v>
      </c>
    </row>
    <row r="12" spans="2:9" x14ac:dyDescent="0.25">
      <c r="B12" t="str">
        <v>Research and Development</v>
      </c>
      <c r="C12">
        <f>COUNTIF(staff[Department],B12)</f>
        <v>18</v>
      </c>
      <c r="D12" s="28">
        <f>AVERAGEIF(staff[Department],B12,staff[Salary])</f>
        <v>66910.765555555554</v>
      </c>
      <c r="E12" s="28">
        <f t="shared" si="0"/>
        <v>-6950.5596752136917</v>
      </c>
      <c r="F12" s="43">
        <f t="shared" si="1"/>
        <v>-9.4102829234347651E-2</v>
      </c>
      <c r="G12" s="28">
        <f>_xlfn.MAXIFS(staff[Salary],staff[Department],B12)</f>
        <v>99683.67</v>
      </c>
      <c r="H12" cm="1">
        <f t="array" ref="H12">MEDIAN(_xlfn._xlws.FILTER(staff[Salary],staff[Department]=B12))</f>
        <v>65995.375</v>
      </c>
      <c r="I12">
        <f>(COUNTIFS(staff[Department],B12,staff[Gender],"Female"))/COUNTIF(staff[Department],B12)</f>
        <v>0.61111111111111116</v>
      </c>
    </row>
    <row r="13" spans="2:9" x14ac:dyDescent="0.25">
      <c r="B13" t="str">
        <v>Services</v>
      </c>
      <c r="C13">
        <f>COUNTIF(staff[Department],B13)</f>
        <v>21</v>
      </c>
      <c r="D13" s="28">
        <f>AVERAGEIF(staff[Department],B13,staff[Salary])</f>
        <v>74673.974761904756</v>
      </c>
      <c r="E13" s="28">
        <f t="shared" si="0"/>
        <v>812.64953113551019</v>
      </c>
      <c r="F13" s="43">
        <f t="shared" si="1"/>
        <v>1.1002368676658615E-2</v>
      </c>
      <c r="G13" s="28">
        <f>_xlfn.MAXIFS(staff[Salary],staff[Department],B13)</f>
        <v>120000</v>
      </c>
      <c r="H13" cm="1">
        <f t="array" ref="H13">MEDIAN(_xlfn._xlws.FILTER(staff[Salary],staff[Department]=B13))</f>
        <v>77096.05</v>
      </c>
      <c r="I13">
        <f>(COUNTIFS(staff[Department],B13,staff[Gender],"Female"))/COUNTIF(staff[Department],B13)</f>
        <v>0.61904761904761907</v>
      </c>
    </row>
    <row r="14" spans="2:9" x14ac:dyDescent="0.25">
      <c r="B14" t="str">
        <v>Product Management</v>
      </c>
      <c r="C14">
        <f>COUNTIF(staff[Department],B14)</f>
        <v>29</v>
      </c>
      <c r="D14" s="28">
        <f>AVERAGEIF(staff[Department],B14,staff[Salary])</f>
        <v>75179.064482758593</v>
      </c>
      <c r="E14" s="28">
        <f t="shared" si="0"/>
        <v>1317.7392519893474</v>
      </c>
      <c r="F14" s="43">
        <f t="shared" si="1"/>
        <v>1.784072040235208E-2</v>
      </c>
      <c r="G14" s="28">
        <f>_xlfn.MAXIFS(staff[Salary],staff[Department],B14)</f>
        <v>115191.38</v>
      </c>
      <c r="H14" cm="1">
        <f t="array" ref="H14">MEDIAN(_xlfn._xlws.FILTER(staff[Salary],staff[Department]=B14))</f>
        <v>72502.61</v>
      </c>
      <c r="I14">
        <f>(COUNTIFS(staff[Department],B14,staff[Gender],"Female"))/COUNTIF(staff[Department],B14)</f>
        <v>0.58620689655172409</v>
      </c>
    </row>
    <row r="15" spans="2:9" x14ac:dyDescent="0.25">
      <c r="B15" t="str">
        <v>Support</v>
      </c>
      <c r="C15">
        <f>COUNTIF(staff[Department],B15)</f>
        <v>17</v>
      </c>
      <c r="D15" s="28">
        <f>AVERAGEIF(staff[Department],B15,staff[Salary])</f>
        <v>66432.455882352937</v>
      </c>
      <c r="E15" s="28">
        <f t="shared" si="0"/>
        <v>-7428.8693484163086</v>
      </c>
      <c r="F15" s="43">
        <f t="shared" si="1"/>
        <v>-0.10057860897033541</v>
      </c>
      <c r="G15" s="28">
        <f>_xlfn.MAXIFS(staff[Salary],staff[Department],B15)</f>
        <v>104802.63</v>
      </c>
      <c r="H15" cm="1">
        <f t="array" ref="H15">MEDIAN(_xlfn._xlws.FILTER(staff[Salary],staff[Department]=B15))</f>
        <v>61214.26</v>
      </c>
      <c r="I15">
        <f>(COUNTIFS(staff[Department],B15,staff[Gender],"Female"))/COUNTIF(staff[Department],B15)</f>
        <v>0.47058823529411764</v>
      </c>
    </row>
    <row r="16" spans="2:9" x14ac:dyDescent="0.25">
      <c r="B16" t="str">
        <v>Sales</v>
      </c>
      <c r="C16">
        <f>COUNTIF(staff[Department],B16)</f>
        <v>18</v>
      </c>
      <c r="D16" s="28">
        <f>AVERAGEIF(staff[Department],B16,staff[Salary])</f>
        <v>71897.095555555556</v>
      </c>
      <c r="E16" s="28">
        <f t="shared" si="0"/>
        <v>-1964.2296752136899</v>
      </c>
      <c r="F16" s="43">
        <f t="shared" si="1"/>
        <v>-2.6593479998859113E-2</v>
      </c>
      <c r="G16" s="28">
        <f>_xlfn.MAXIFS(staff[Salary],staff[Department],B16)</f>
        <v>102129.37</v>
      </c>
      <c r="H16" cm="1">
        <f t="array" ref="H16">MEDIAN(_xlfn._xlws.FILTER(staff[Salary],staff[Department]=B16))</f>
        <v>79396.654999999999</v>
      </c>
      <c r="I16">
        <f>(COUNTIFS(staff[Department],B16,staff[Gender],"Female"))/COUNTIF(staff[Department],B16)</f>
        <v>0.55555555555555558</v>
      </c>
    </row>
  </sheetData>
  <conditionalFormatting sqref="F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6">
    <cfRule type="iconSet" priority="1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4"/>
  <sheetViews>
    <sheetView workbookViewId="0">
      <selection activeCell="B3" sqref="B3"/>
    </sheetView>
  </sheetViews>
  <sheetFormatPr defaultRowHeight="15" x14ac:dyDescent="0.25"/>
  <sheetData>
    <row r="1" spans="2:4" x14ac:dyDescent="0.25">
      <c r="B1" s="30" t="s">
        <v>18</v>
      </c>
    </row>
    <row r="2" spans="2:4" x14ac:dyDescent="0.25">
      <c r="B2" t="str" cm="1">
        <f t="array" ref="B2:D2">_xlfn.CHOOSECOLS(staff[#Headers],1,2,3)</f>
        <v>Emp ID</v>
      </c>
      <c r="C2" t="str">
        <v>First Name</v>
      </c>
      <c r="D2" t="str">
        <v>Last Name</v>
      </c>
    </row>
    <row r="3" spans="2:4" x14ac:dyDescent="0.25">
      <c r="B3" t="str" cm="1">
        <f t="array" ref="B3:D24">_xlfn.CHOOSECOLS( _xlfn._xlws.FILTER(staff[], MONTH(staff[Start Date])=3), 1, 2, 3)</f>
        <v>PR00746</v>
      </c>
      <c r="C3" t="str">
        <v>Hogan</v>
      </c>
      <c r="D3" t="str">
        <v>Iles</v>
      </c>
    </row>
    <row r="4" spans="2:4" x14ac:dyDescent="0.25">
      <c r="B4" t="str">
        <v>PR00893</v>
      </c>
      <c r="C4" t="str">
        <v>Vasavi</v>
      </c>
      <c r="D4" t="str">
        <v>Veeravasarapu</v>
      </c>
    </row>
    <row r="5" spans="2:4" x14ac:dyDescent="0.25">
      <c r="B5" t="str">
        <v>SQ00022</v>
      </c>
      <c r="C5" t="str">
        <v>Carlin</v>
      </c>
      <c r="D5" t="str">
        <v>Demke</v>
      </c>
    </row>
    <row r="6" spans="2:4" x14ac:dyDescent="0.25">
      <c r="B6" t="str">
        <v>SQ00105</v>
      </c>
      <c r="C6" t="str">
        <v>Sarayu</v>
      </c>
      <c r="D6" t="str">
        <v>Ragunathan</v>
      </c>
    </row>
    <row r="7" spans="2:4" x14ac:dyDescent="0.25">
      <c r="B7" t="str">
        <v>SQ01519</v>
      </c>
      <c r="C7" t="str">
        <v>Caron</v>
      </c>
      <c r="D7" t="str">
        <v>Kolakovic</v>
      </c>
    </row>
    <row r="8" spans="2:4" x14ac:dyDescent="0.25">
      <c r="B8" t="str">
        <v>SQ03112</v>
      </c>
      <c r="C8" t="str">
        <v>Kantimoy</v>
      </c>
      <c r="D8" t="str">
        <v>Pritish</v>
      </c>
    </row>
    <row r="9" spans="2:4" x14ac:dyDescent="0.25">
      <c r="B9" t="str">
        <v>SQ03625</v>
      </c>
      <c r="C9" t="str">
        <v>Fidela</v>
      </c>
      <c r="D9" t="str">
        <v>Artis</v>
      </c>
    </row>
    <row r="10" spans="2:4" x14ac:dyDescent="0.25">
      <c r="B10" t="str">
        <v>SQ04612</v>
      </c>
      <c r="C10" t="str">
        <v>Mick</v>
      </c>
      <c r="D10" t="str">
        <v>Spraberry</v>
      </c>
    </row>
    <row r="11" spans="2:4" x14ac:dyDescent="0.25">
      <c r="B11" t="str">
        <v>TN01256</v>
      </c>
      <c r="C11" t="str">
        <v>Shattesh</v>
      </c>
      <c r="D11" t="str">
        <v>Utpat</v>
      </c>
    </row>
    <row r="12" spans="2:4" x14ac:dyDescent="0.25">
      <c r="B12" t="str">
        <v>TN01256</v>
      </c>
      <c r="C12" t="str">
        <v>Sawini</v>
      </c>
      <c r="D12" t="str">
        <v>Chandan</v>
      </c>
    </row>
    <row r="13" spans="2:4" x14ac:dyDescent="0.25">
      <c r="B13" t="str">
        <v>TN01601</v>
      </c>
      <c r="C13" t="str">
        <v>Melva</v>
      </c>
      <c r="D13" t="str">
        <v>Jickells</v>
      </c>
    </row>
    <row r="14" spans="2:4" x14ac:dyDescent="0.25">
      <c r="B14" t="str">
        <v>TN01601</v>
      </c>
      <c r="C14" t="str">
        <v>Melva</v>
      </c>
      <c r="D14" t="str">
        <v>Jickells</v>
      </c>
    </row>
    <row r="15" spans="2:4" x14ac:dyDescent="0.25">
      <c r="B15" t="str">
        <v>TN04892</v>
      </c>
      <c r="C15" t="str">
        <v>Luca</v>
      </c>
      <c r="D15" t="str">
        <v>Wolstenholme</v>
      </c>
    </row>
    <row r="16" spans="2:4" x14ac:dyDescent="0.25">
      <c r="B16" t="str">
        <v>VT01762</v>
      </c>
      <c r="C16" t="str">
        <v>Geena</v>
      </c>
      <c r="D16" t="str">
        <v>Raghavanpillai</v>
      </c>
    </row>
    <row r="17" spans="2:4" x14ac:dyDescent="0.25">
      <c r="B17" t="str">
        <v>VT01803</v>
      </c>
      <c r="C17" t="str">
        <v>Freddy</v>
      </c>
      <c r="D17" t="str">
        <v>Linford</v>
      </c>
    </row>
    <row r="18" spans="2:4" x14ac:dyDescent="0.25">
      <c r="B18" t="str">
        <v>VT02417</v>
      </c>
      <c r="C18" t="str">
        <v>Evangelina</v>
      </c>
      <c r="D18" t="str">
        <v>Lergan</v>
      </c>
    </row>
    <row r="19" spans="2:4" x14ac:dyDescent="0.25">
      <c r="B19" t="str">
        <v>VT03421</v>
      </c>
      <c r="C19" t="str">
        <v>Alic</v>
      </c>
      <c r="D19" t="str">
        <v>Bagg</v>
      </c>
    </row>
    <row r="20" spans="2:4" x14ac:dyDescent="0.25">
      <c r="B20" t="str">
        <v>VT03421</v>
      </c>
      <c r="C20" t="str">
        <v>Alic</v>
      </c>
      <c r="D20" t="str">
        <v>Bagg</v>
      </c>
    </row>
    <row r="21" spans="2:4" x14ac:dyDescent="0.25">
      <c r="B21" t="str">
        <v>VT03993</v>
      </c>
      <c r="C21" t="str">
        <v>Dulce</v>
      </c>
      <c r="D21" t="str">
        <v>Colbeck</v>
      </c>
    </row>
    <row r="22" spans="2:4" x14ac:dyDescent="0.25">
      <c r="B22" t="str">
        <v>VT04028</v>
      </c>
      <c r="C22" t="str">
        <v>Michale</v>
      </c>
      <c r="D22" t="str">
        <v>Rolf</v>
      </c>
    </row>
    <row r="23" spans="2:4" x14ac:dyDescent="0.25">
      <c r="B23" t="str">
        <v>VT04028</v>
      </c>
      <c r="C23" t="str">
        <v>Michale</v>
      </c>
      <c r="D23" t="str">
        <v>Rolf</v>
      </c>
    </row>
    <row r="24" spans="2:4" x14ac:dyDescent="0.25">
      <c r="B24" t="str">
        <v>VT04415</v>
      </c>
      <c r="C24" t="str">
        <v>Malory</v>
      </c>
      <c r="D24" t="str">
        <v>Biles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8B72-4BF5-4B8A-8381-AF7CA9C4108D}">
  <dimension ref="B1:D65"/>
  <sheetViews>
    <sheetView workbookViewId="0">
      <selection activeCell="B5" sqref="B5"/>
    </sheetView>
  </sheetViews>
  <sheetFormatPr defaultRowHeight="15" x14ac:dyDescent="0.25"/>
  <sheetData>
    <row r="1" spans="2:4" s="27" customFormat="1" ht="20.25" thickBot="1" x14ac:dyDescent="0.35">
      <c r="C1" s="27" t="s">
        <v>814</v>
      </c>
    </row>
    <row r="2" spans="2:4" ht="15.75" thickTop="1" x14ac:dyDescent="0.25"/>
    <row r="3" spans="2:4" x14ac:dyDescent="0.25">
      <c r="B3" t="str" cm="1">
        <f t="array" ref="B3:D3">_xlfn.CHOOSECOLS(staff[#Headers],1,2,3)</f>
        <v>Emp ID</v>
      </c>
      <c r="C3" t="str">
        <v>First Name</v>
      </c>
      <c r="D3" t="str">
        <v>Last Name</v>
      </c>
    </row>
    <row r="4" spans="2:4" x14ac:dyDescent="0.25">
      <c r="B4" t="str" cm="1">
        <f t="array" ref="B4:D65">_xlfn.CHOOSECOLS(_xlfn._xlws.FILTER(staff[], (staff[Gender]="Female") * (WEEKDAY(staff[Start Date], 2)=1)),  1, 2, 3)</f>
        <v>PR00007</v>
      </c>
      <c r="C4" t="str">
        <v>Torrance</v>
      </c>
      <c r="D4" t="str">
        <v>Collier</v>
      </c>
    </row>
    <row r="5" spans="2:4" x14ac:dyDescent="0.25">
      <c r="B5" t="str">
        <v>PR00095</v>
      </c>
      <c r="C5" t="str">
        <v>Devrat</v>
      </c>
      <c r="D5" t="str">
        <v>Damarsingh</v>
      </c>
    </row>
    <row r="6" spans="2:4" x14ac:dyDescent="0.25">
      <c r="B6" t="str">
        <v>PR00113</v>
      </c>
      <c r="C6" t="str">
        <v>Van</v>
      </c>
      <c r="D6" t="str">
        <v>Tuxwell</v>
      </c>
    </row>
    <row r="7" spans="2:4" x14ac:dyDescent="0.25">
      <c r="B7" t="str">
        <v>PR00113</v>
      </c>
      <c r="C7" t="str">
        <v>Van</v>
      </c>
      <c r="D7" t="str">
        <v>Tuxwell</v>
      </c>
    </row>
    <row r="8" spans="2:4" x14ac:dyDescent="0.25">
      <c r="B8" t="str">
        <v>PR00576</v>
      </c>
      <c r="C8" t="str">
        <v>Lalitchandra</v>
      </c>
      <c r="D8" t="str">
        <v>Vadali</v>
      </c>
    </row>
    <row r="9" spans="2:4" x14ac:dyDescent="0.25">
      <c r="B9" t="str">
        <v>PR00916</v>
      </c>
      <c r="C9" t="str">
        <v>Inger</v>
      </c>
      <c r="D9" t="str">
        <v>Chapelhow</v>
      </c>
    </row>
    <row r="10" spans="2:4" x14ac:dyDescent="0.25">
      <c r="B10" t="str">
        <v>PR01383</v>
      </c>
      <c r="C10" t="str">
        <v>Addi</v>
      </c>
      <c r="D10" t="str">
        <v>Studdeard</v>
      </c>
    </row>
    <row r="11" spans="2:4" x14ac:dyDescent="0.25">
      <c r="B11" t="str">
        <v>PR02016</v>
      </c>
      <c r="C11" t="str">
        <v>Iris</v>
      </c>
      <c r="D11" t="str">
        <v>Wagg</v>
      </c>
    </row>
    <row r="12" spans="2:4" x14ac:dyDescent="0.25">
      <c r="B12" t="str">
        <v>PR02113</v>
      </c>
      <c r="C12" t="str">
        <v>Beverie</v>
      </c>
      <c r="D12" t="str">
        <v>Moffet</v>
      </c>
    </row>
    <row r="13" spans="2:4" x14ac:dyDescent="0.25">
      <c r="B13" t="str">
        <v>PR02275</v>
      </c>
      <c r="C13" t="str">
        <v>Louise</v>
      </c>
      <c r="D13" t="str">
        <v>Lamming</v>
      </c>
    </row>
    <row r="14" spans="2:4" x14ac:dyDescent="0.25">
      <c r="B14" t="str">
        <v>PR02436</v>
      </c>
      <c r="C14" t="str">
        <v>Marmaduke</v>
      </c>
      <c r="D14" t="str">
        <v>Worssam</v>
      </c>
    </row>
    <row r="15" spans="2:4" x14ac:dyDescent="0.25">
      <c r="B15" t="str">
        <v>PR02603</v>
      </c>
      <c r="C15" t="str">
        <v>Dinanath</v>
      </c>
      <c r="D15" t="str">
        <v>Simhambhatla</v>
      </c>
    </row>
    <row r="16" spans="2:4" x14ac:dyDescent="0.25">
      <c r="B16" t="str">
        <v>PR03158</v>
      </c>
      <c r="C16" t="str">
        <v>Danica</v>
      </c>
      <c r="D16" t="str">
        <v>Nayshe</v>
      </c>
    </row>
    <row r="17" spans="2:4" x14ac:dyDescent="0.25">
      <c r="B17" t="str">
        <v>PR04380</v>
      </c>
      <c r="C17" t="str">
        <v>Van</v>
      </c>
      <c r="D17" t="str">
        <v>Tuxwell</v>
      </c>
    </row>
    <row r="18" spans="2:4" x14ac:dyDescent="0.25">
      <c r="B18" t="str">
        <v>PR04446</v>
      </c>
      <c r="C18" t="str">
        <v>Sameer</v>
      </c>
      <c r="D18" t="str">
        <v>Shashank</v>
      </c>
    </row>
    <row r="19" spans="2:4" x14ac:dyDescent="0.25">
      <c r="B19" t="str">
        <v>PR04473</v>
      </c>
      <c r="C19" t="str">
        <v>Wyn</v>
      </c>
      <c r="D19" t="str">
        <v>Treadger</v>
      </c>
    </row>
    <row r="20" spans="2:4" x14ac:dyDescent="0.25">
      <c r="B20" t="str">
        <v>PR04686</v>
      </c>
      <c r="C20" t="str">
        <v>Oona</v>
      </c>
      <c r="D20" t="str">
        <v>Donan</v>
      </c>
    </row>
    <row r="21" spans="2:4" x14ac:dyDescent="0.25">
      <c r="B21" t="str">
        <v>SQ00105</v>
      </c>
      <c r="C21" t="str">
        <v>Sarayu</v>
      </c>
      <c r="D21" t="str">
        <v>Ragunathan</v>
      </c>
    </row>
    <row r="22" spans="2:4" x14ac:dyDescent="0.25">
      <c r="B22" t="str">
        <v>SQ00841</v>
      </c>
      <c r="C22" t="str">
        <v>Bhuvan</v>
      </c>
      <c r="D22" t="str">
        <v>Pals</v>
      </c>
    </row>
    <row r="23" spans="2:4" x14ac:dyDescent="0.25">
      <c r="B23" t="str">
        <v>SQ00914</v>
      </c>
      <c r="C23" t="str">
        <v>Duran</v>
      </c>
      <c r="D23" t="str">
        <v>Appala</v>
      </c>
    </row>
    <row r="24" spans="2:4" x14ac:dyDescent="0.25">
      <c r="B24" t="str">
        <v>SQ00914</v>
      </c>
      <c r="C24" t="str">
        <v>Karuna</v>
      </c>
      <c r="D24" t="str">
        <v>Pashupathy</v>
      </c>
    </row>
    <row r="25" spans="2:4" x14ac:dyDescent="0.25">
      <c r="B25" t="str">
        <v>SQ01402</v>
      </c>
      <c r="C25" t="str">
        <v>Sahaj</v>
      </c>
      <c r="D25" t="str">
        <v>Jonnalagadda</v>
      </c>
    </row>
    <row r="26" spans="2:4" x14ac:dyDescent="0.25">
      <c r="B26" t="str">
        <v>SQ01730</v>
      </c>
      <c r="C26" t="str">
        <v>Austine</v>
      </c>
      <c r="D26" t="str">
        <v>Littlewood</v>
      </c>
    </row>
    <row r="27" spans="2:4" x14ac:dyDescent="0.25">
      <c r="B27" t="str">
        <v>SQ02174</v>
      </c>
      <c r="C27" t="str">
        <v>Sidoney</v>
      </c>
      <c r="D27" t="str">
        <v>Yitzhok</v>
      </c>
    </row>
    <row r="28" spans="2:4" x14ac:dyDescent="0.25">
      <c r="B28" t="str">
        <v>SQ03321</v>
      </c>
      <c r="C28" t="str">
        <v>Gradey</v>
      </c>
      <c r="D28" t="str">
        <v>Litton</v>
      </c>
    </row>
    <row r="29" spans="2:4" x14ac:dyDescent="0.25">
      <c r="B29" t="str">
        <v>SQ03350</v>
      </c>
      <c r="C29" t="str">
        <v>Felice</v>
      </c>
      <c r="D29" t="str">
        <v>McMurty</v>
      </c>
    </row>
    <row r="30" spans="2:4" x14ac:dyDescent="0.25">
      <c r="B30" t="str">
        <v>SQ03350</v>
      </c>
      <c r="C30" t="str">
        <v>Felice</v>
      </c>
      <c r="D30" t="str">
        <v>McMurty</v>
      </c>
    </row>
    <row r="31" spans="2:4" x14ac:dyDescent="0.25">
      <c r="B31" t="str">
        <v>SQ03491</v>
      </c>
      <c r="C31" t="str">
        <v>Freda</v>
      </c>
      <c r="D31" t="str">
        <v>Legan</v>
      </c>
    </row>
    <row r="32" spans="2:4" x14ac:dyDescent="0.25">
      <c r="B32" t="str">
        <v>SQ03546</v>
      </c>
      <c r="C32" t="str">
        <v>Amlankusum</v>
      </c>
      <c r="D32" t="str">
        <v>Rajabhushan</v>
      </c>
    </row>
    <row r="33" spans="2:4" x14ac:dyDescent="0.25">
      <c r="B33" t="str">
        <v>SQ03625</v>
      </c>
      <c r="C33" t="str">
        <v>Fidela</v>
      </c>
      <c r="D33" t="str">
        <v>Artis</v>
      </c>
    </row>
    <row r="34" spans="2:4" x14ac:dyDescent="0.25">
      <c r="B34" t="str">
        <v>SQ03626</v>
      </c>
      <c r="C34" t="str">
        <v>Krishnakanta</v>
      </c>
      <c r="D34" t="str">
        <v>Vellanki</v>
      </c>
    </row>
    <row r="35" spans="2:4" x14ac:dyDescent="0.25">
      <c r="B35" t="str">
        <v>SQ04613</v>
      </c>
      <c r="C35" t="str">
        <v>Sarojini</v>
      </c>
      <c r="D35" t="str">
        <v>Naueshwara</v>
      </c>
    </row>
    <row r="36" spans="2:4" x14ac:dyDescent="0.25">
      <c r="B36" t="str">
        <v>SQ04960</v>
      </c>
      <c r="C36" t="str">
        <v>Shubhra</v>
      </c>
      <c r="D36" t="str">
        <v>Potla</v>
      </c>
    </row>
    <row r="37" spans="2:4" x14ac:dyDescent="0.25">
      <c r="B37" t="str">
        <v>TN00083</v>
      </c>
      <c r="C37" t="str">
        <v>Chandana</v>
      </c>
      <c r="D37" t="str">
        <v>Sannidhi</v>
      </c>
    </row>
    <row r="38" spans="2:4" x14ac:dyDescent="0.25">
      <c r="B38" t="str">
        <v>TN00182</v>
      </c>
      <c r="C38" t="str">
        <v>Camilla</v>
      </c>
      <c r="D38" t="str">
        <v>Castle</v>
      </c>
    </row>
    <row r="39" spans="2:4" x14ac:dyDescent="0.25">
      <c r="B39" t="str">
        <v>TN00890</v>
      </c>
      <c r="C39" t="str">
        <v>Mayur</v>
      </c>
      <c r="D39" t="str">
        <v>Kousika</v>
      </c>
    </row>
    <row r="40" spans="2:4" x14ac:dyDescent="0.25">
      <c r="B40" t="str">
        <v>TN01281</v>
      </c>
      <c r="C40" t="str">
        <v>Cletus</v>
      </c>
      <c r="D40" t="str">
        <v>McGarahan</v>
      </c>
    </row>
    <row r="41" spans="2:4" x14ac:dyDescent="0.25">
      <c r="B41" t="str">
        <v>TN01601</v>
      </c>
      <c r="C41" t="str">
        <v>Melva</v>
      </c>
      <c r="D41" t="str">
        <v>Jickells</v>
      </c>
    </row>
    <row r="42" spans="2:4" x14ac:dyDescent="0.25">
      <c r="B42" t="str">
        <v>TN01601</v>
      </c>
      <c r="C42" t="str">
        <v>Melva</v>
      </c>
      <c r="D42" t="str">
        <v>Jickells</v>
      </c>
    </row>
    <row r="43" spans="2:4" x14ac:dyDescent="0.25">
      <c r="B43" t="str">
        <v>TN02749</v>
      </c>
      <c r="C43" t="str">
        <v>Parasuramudu</v>
      </c>
      <c r="D43" t="str">
        <v>Jamakayala</v>
      </c>
    </row>
    <row r="44" spans="2:4" x14ac:dyDescent="0.25">
      <c r="B44" t="str">
        <v>TN02883</v>
      </c>
      <c r="C44" t="str">
        <v>John</v>
      </c>
      <c r="D44" t="str">
        <v>Joseph</v>
      </c>
    </row>
    <row r="45" spans="2:4" x14ac:dyDescent="0.25">
      <c r="B45" t="str">
        <v>TN03575</v>
      </c>
      <c r="C45" t="str">
        <v>Janina</v>
      </c>
      <c r="D45" t="str">
        <v>Wolverson</v>
      </c>
    </row>
    <row r="46" spans="2:4" x14ac:dyDescent="0.25">
      <c r="B46" t="str">
        <v>TN03575</v>
      </c>
      <c r="C46" t="str">
        <v>Janina</v>
      </c>
      <c r="D46" t="str">
        <v>Wolverson</v>
      </c>
    </row>
    <row r="47" spans="2:4" x14ac:dyDescent="0.25">
      <c r="B47" t="str">
        <v>TN04067</v>
      </c>
      <c r="C47" t="str">
        <v>Lea</v>
      </c>
      <c r="D47" t="str">
        <v>Chaplin</v>
      </c>
    </row>
    <row r="48" spans="2:4" x14ac:dyDescent="0.25">
      <c r="B48" t="str">
        <v>TN04175</v>
      </c>
      <c r="C48" t="str">
        <v>Hinda</v>
      </c>
      <c r="D48" t="str">
        <v>Label</v>
      </c>
    </row>
    <row r="49" spans="2:4" x14ac:dyDescent="0.25">
      <c r="B49" t="str">
        <v>TN04246</v>
      </c>
      <c r="C49" t="str">
        <v>Shaylyn</v>
      </c>
      <c r="D49" t="str">
        <v>Ransbury</v>
      </c>
    </row>
    <row r="50" spans="2:4" x14ac:dyDescent="0.25">
      <c r="B50" t="str">
        <v>TN04740</v>
      </c>
      <c r="C50" t="str">
        <v>Tristam</v>
      </c>
      <c r="D50" t="str">
        <v>Cuming</v>
      </c>
    </row>
    <row r="51" spans="2:4" x14ac:dyDescent="0.25">
      <c r="B51" t="str">
        <v>VT00578</v>
      </c>
      <c r="C51" t="str">
        <v>Magnum</v>
      </c>
      <c r="D51" t="str">
        <v>Locksley</v>
      </c>
    </row>
    <row r="52" spans="2:4" x14ac:dyDescent="0.25">
      <c r="B52" t="str">
        <v>VT00596</v>
      </c>
      <c r="C52" t="str">
        <v>Letisha</v>
      </c>
      <c r="D52" t="str">
        <v>Carrett</v>
      </c>
    </row>
    <row r="53" spans="2:4" x14ac:dyDescent="0.25">
      <c r="B53" t="str">
        <v>VT00596</v>
      </c>
      <c r="C53" t="str">
        <v>Letisha</v>
      </c>
      <c r="D53" t="str">
        <v>Carrett</v>
      </c>
    </row>
    <row r="54" spans="2:4" x14ac:dyDescent="0.25">
      <c r="B54" t="str">
        <v>VT00740</v>
      </c>
      <c r="C54" t="str">
        <v>Chitrasen</v>
      </c>
      <c r="D54" t="str">
        <v>Laul</v>
      </c>
    </row>
    <row r="55" spans="2:4" x14ac:dyDescent="0.25">
      <c r="B55" t="str">
        <v>VT01249</v>
      </c>
      <c r="C55" t="str">
        <v>Brendan</v>
      </c>
      <c r="D55" t="str">
        <v>Edgeller</v>
      </c>
    </row>
    <row r="56" spans="2:4" x14ac:dyDescent="0.25">
      <c r="B56" t="str">
        <v>VT01610</v>
      </c>
      <c r="C56" t="str">
        <v>Dhruv</v>
      </c>
      <c r="D56" t="str">
        <v>Manjunath</v>
      </c>
    </row>
    <row r="57" spans="2:4" x14ac:dyDescent="0.25">
      <c r="B57" t="str">
        <v>VT01610</v>
      </c>
      <c r="C57" t="str">
        <v>Kunja</v>
      </c>
      <c r="D57" t="str">
        <v>Prashanta</v>
      </c>
    </row>
    <row r="58" spans="2:4" x14ac:dyDescent="0.25">
      <c r="B58" t="str">
        <v>VT01803</v>
      </c>
      <c r="C58" t="str">
        <v>Freddy</v>
      </c>
      <c r="D58" t="str">
        <v>Linford</v>
      </c>
    </row>
    <row r="59" spans="2:4" x14ac:dyDescent="0.25">
      <c r="B59" t="str">
        <v>VT02374</v>
      </c>
      <c r="C59" t="str">
        <v>Delphine</v>
      </c>
      <c r="D59" t="str">
        <v>Jewis</v>
      </c>
    </row>
    <row r="60" spans="2:4" x14ac:dyDescent="0.25">
      <c r="B60" t="str">
        <v>VT02374</v>
      </c>
      <c r="C60" t="str">
        <v>Delphine</v>
      </c>
      <c r="D60" t="str">
        <v>Jewis</v>
      </c>
    </row>
    <row r="61" spans="2:4" x14ac:dyDescent="0.25">
      <c r="B61" t="str">
        <v>VT02532</v>
      </c>
      <c r="C61" t="str">
        <v>Adey</v>
      </c>
      <c r="D61" t="str">
        <v>Ryal</v>
      </c>
    </row>
    <row r="62" spans="2:4" x14ac:dyDescent="0.25">
      <c r="B62" t="str">
        <v>VT03701</v>
      </c>
      <c r="C62" t="str">
        <v>Narois</v>
      </c>
      <c r="D62" t="str">
        <v>Motiwala</v>
      </c>
    </row>
    <row r="63" spans="2:4" x14ac:dyDescent="0.25">
      <c r="B63" t="str">
        <v>VT03988</v>
      </c>
      <c r="C63" t="str">
        <v>Venkat</v>
      </c>
      <c r="D63" t="str">
        <v>Kodi</v>
      </c>
    </row>
    <row r="64" spans="2:4" x14ac:dyDescent="0.25">
      <c r="B64" t="str">
        <v>VT04415</v>
      </c>
      <c r="C64" t="str">
        <v>Malory</v>
      </c>
      <c r="D64" t="str">
        <v>Biles</v>
      </c>
    </row>
    <row r="65" spans="2:4" x14ac:dyDescent="0.25">
      <c r="B65" t="str">
        <v>VT04552</v>
      </c>
      <c r="C65" t="str">
        <v>Theresita</v>
      </c>
      <c r="D65" t="str">
        <v>Chasmer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workbookViewId="0">
      <selection activeCell="C7" sqref="C7"/>
    </sheetView>
  </sheetViews>
  <sheetFormatPr defaultRowHeight="15" x14ac:dyDescent="0.25"/>
  <cols>
    <col min="2" max="2" width="34.42578125" bestFit="1" customWidth="1"/>
  </cols>
  <sheetData>
    <row r="1" spans="2:3" x14ac:dyDescent="0.25">
      <c r="B1" s="30" t="s">
        <v>16</v>
      </c>
    </row>
    <row r="3" spans="2:3" x14ac:dyDescent="0.25">
      <c r="B3" s="30" t="s">
        <v>800</v>
      </c>
      <c r="C3">
        <f>MAX(staff[Salary])</f>
        <v>120000</v>
      </c>
    </row>
    <row r="4" spans="2:3" x14ac:dyDescent="0.25">
      <c r="C4" t="str" cm="1">
        <f t="array" ref="C4">_xlfn.XLOOKUP(C3,staff[Salary],staff[First Name]&amp;","&amp;staff[Last Name],0)</f>
        <v>Minerva,Ricardot</v>
      </c>
    </row>
    <row r="6" spans="2:3" x14ac:dyDescent="0.25">
      <c r="B6" t="s">
        <v>801</v>
      </c>
      <c r="C6" t="str" cm="1">
        <f t="array" ref="C6:C7">_xlfn._xlws.FILTER(staff[First Name],staff[Salary]=C3)</f>
        <v>Minerva</v>
      </c>
    </row>
    <row r="7" spans="2:3" x14ac:dyDescent="0.25">
      <c r="C7" t="str">
        <v>Mick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C14" sqref="C14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789</v>
      </c>
    </row>
    <row r="3" spans="1:9" x14ac:dyDescent="0.25">
      <c r="B3" s="30" t="s">
        <v>794</v>
      </c>
      <c r="C3" t="s">
        <v>195</v>
      </c>
      <c r="E3" s="30" t="s">
        <v>796</v>
      </c>
    </row>
    <row r="5" spans="1:9" x14ac:dyDescent="0.25">
      <c r="B5" s="30" t="s">
        <v>25</v>
      </c>
      <c r="C5" t="str">
        <f>_xlfn.XLOOKUP(C3,staff[Emp ID],staff[First Name],"Not Found",0)</f>
        <v>Edd</v>
      </c>
    </row>
    <row r="6" spans="1:9" x14ac:dyDescent="0.25">
      <c r="B6" s="30" t="s">
        <v>26</v>
      </c>
      <c r="C6" t="str">
        <f>_xlfn.XLOOKUP(C3,staff[Emp ID],staff[Last Name],"Not Found",0)</f>
        <v>MacKnockiter</v>
      </c>
    </row>
    <row r="7" spans="1:9" x14ac:dyDescent="0.25">
      <c r="B7" s="30" t="s">
        <v>28</v>
      </c>
      <c r="C7" t="str">
        <f>_xlfn.XLOOKUP(C3,staff[Emp ID],staff[Department],"Not Found",0)</f>
        <v>Accounting</v>
      </c>
    </row>
    <row r="8" spans="1:9" x14ac:dyDescent="0.25">
      <c r="B8" s="30" t="s">
        <v>29</v>
      </c>
      <c r="C8">
        <f>_xlfn.XLOOKUP(C3,staff[Emp ID],staff[Salary],"Not Found",0)</f>
        <v>119022.49</v>
      </c>
    </row>
    <row r="12" spans="1:9" x14ac:dyDescent="0.25">
      <c r="B12" s="30" t="s">
        <v>792</v>
      </c>
      <c r="C12" t="s">
        <v>54</v>
      </c>
      <c r="G12" s="30" t="s">
        <v>798</v>
      </c>
      <c r="I12" s="30" t="s">
        <v>799</v>
      </c>
    </row>
    <row r="14" spans="1:9" x14ac:dyDescent="0.25">
      <c r="B14" s="30" t="s">
        <v>797</v>
      </c>
      <c r="C14" t="str">
        <f>_xlfn.XLOOKUP(C12,staff[Last Name],staff[Emp ID],0)</f>
        <v>PR00113</v>
      </c>
      <c r="E14" t="str">
        <f>_xlfn.XLOOKUP(C12,staff[Last Name],staff[Emp ID],0)</f>
        <v>PR00113</v>
      </c>
    </row>
    <row r="15" spans="1:9" x14ac:dyDescent="0.25">
      <c r="B15" s="30" t="s">
        <v>28</v>
      </c>
      <c r="C15" t="str">
        <f>_xlfn.XLOOKUP(C12,staff[Last Name],staff[Department],0)</f>
        <v>Business Development</v>
      </c>
    </row>
    <row r="16" spans="1:9" x14ac:dyDescent="0.25">
      <c r="B16" s="30" t="s">
        <v>29</v>
      </c>
      <c r="C16">
        <f>_xlfn.XLOOKUP(C12,staff[Last Name],staff[Salary],0)</f>
        <v>80695.740000000005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21"/>
  <sheetViews>
    <sheetView workbookViewId="0">
      <selection activeCell="G27" sqref="G27"/>
    </sheetView>
  </sheetViews>
  <sheetFormatPr defaultRowHeight="15" x14ac:dyDescent="0.25"/>
  <cols>
    <col min="1" max="1" width="10.28515625" bestFit="1" customWidth="1"/>
    <col min="2" max="2" width="21.85546875" bestFit="1" customWidth="1"/>
  </cols>
  <sheetData>
    <row r="1" spans="1:2" ht="20.25" thickBot="1" x14ac:dyDescent="0.35">
      <c r="B1" s="27" t="s">
        <v>789</v>
      </c>
    </row>
    <row r="2" spans="1:2" ht="15.75" thickTop="1" x14ac:dyDescent="0.25"/>
    <row r="3" spans="1:2" x14ac:dyDescent="0.25">
      <c r="A3" t="s">
        <v>790</v>
      </c>
      <c r="B3" s="24" t="s">
        <v>37</v>
      </c>
    </row>
    <row r="5" spans="1:2" x14ac:dyDescent="0.25">
      <c r="A5" t="s">
        <v>791</v>
      </c>
      <c r="B5" t="str">
        <f>VLOOKUP(B3,staff[], 2,TRUE)</f>
        <v>Torrance</v>
      </c>
    </row>
    <row r="6" spans="1:2" x14ac:dyDescent="0.25">
      <c r="A6" t="s">
        <v>792</v>
      </c>
      <c r="B6" t="str">
        <f>VLOOKUP(B3,staff[],3,TRUE)</f>
        <v>Collier</v>
      </c>
    </row>
    <row r="7" spans="1:2" x14ac:dyDescent="0.25">
      <c r="A7" t="s">
        <v>28</v>
      </c>
      <c r="B7" t="str">
        <f>VLOOKUP(B3,staff[],5,TRUE)</f>
        <v>Training</v>
      </c>
    </row>
    <row r="8" spans="1:2" x14ac:dyDescent="0.25">
      <c r="A8" t="s">
        <v>29</v>
      </c>
      <c r="B8" s="28">
        <f>VLOOKUP(B3,staff[],6,TRUE)</f>
        <v>96135.75</v>
      </c>
    </row>
    <row r="14" spans="1:2" x14ac:dyDescent="0.25">
      <c r="A14" t="s">
        <v>793</v>
      </c>
      <c r="B14" s="24" t="s">
        <v>186</v>
      </c>
    </row>
    <row r="15" spans="1:2" x14ac:dyDescent="0.25">
      <c r="B15">
        <f>MATCH(B14,staff[Last Name],0)</f>
        <v>43</v>
      </c>
    </row>
    <row r="16" spans="1:2" x14ac:dyDescent="0.25">
      <c r="A16" t="s">
        <v>794</v>
      </c>
      <c r="B16" t="str" cm="1">
        <f t="array" ref="B16">INDEX(staff[Emp ID],B15)</f>
        <v>PR03532</v>
      </c>
    </row>
    <row r="17" spans="1:2" x14ac:dyDescent="0.25">
      <c r="A17" t="s">
        <v>28</v>
      </c>
      <c r="B17" t="str">
        <f>VLOOKUP(B14,staff[[Last Name]:[Department]],3,FALSE)</f>
        <v>Human Resources</v>
      </c>
    </row>
    <row r="18" spans="1:2" x14ac:dyDescent="0.25">
      <c r="A18" t="s">
        <v>795</v>
      </c>
      <c r="B18" s="28">
        <f>VLOOKUP(B14,staff[Last Name]:staff[Salary],4,FALSE)</f>
        <v>72876.91</v>
      </c>
    </row>
    <row r="21" spans="1:2" x14ac:dyDescent="0.25">
      <c r="B21" t="str" cm="1">
        <f t="array" ref="B21">INDEX(staff[],B15,1)</f>
        <v>PR03532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H15"/>
  <sheetViews>
    <sheetView workbookViewId="0">
      <selection activeCell="H15" sqref="H15"/>
    </sheetView>
  </sheetViews>
  <sheetFormatPr defaultRowHeight="15" x14ac:dyDescent="0.25"/>
  <cols>
    <col min="1" max="1" width="24.28515625" bestFit="1" customWidth="1"/>
  </cols>
  <sheetData>
    <row r="1" spans="1:8" ht="20.25" thickBot="1" x14ac:dyDescent="0.35">
      <c r="A1" s="27" t="s">
        <v>785</v>
      </c>
    </row>
    <row r="2" spans="1:8" ht="15.75" thickTop="1" x14ac:dyDescent="0.25">
      <c r="C2" s="30" t="s">
        <v>786</v>
      </c>
    </row>
    <row r="3" spans="1:8" x14ac:dyDescent="0.25">
      <c r="A3" s="30" t="s">
        <v>28</v>
      </c>
      <c r="C3" s="30">
        <f>COUNTA(_xlfn.UNIQUE(staff[Department]))</f>
        <v>12</v>
      </c>
    </row>
    <row r="4" spans="1:8" x14ac:dyDescent="0.25">
      <c r="A4" t="str" cm="1">
        <f t="array" ref="A4:A15">_xlfn.UNIQUE(staff[Department])</f>
        <v>Training</v>
      </c>
      <c r="C4" s="30"/>
    </row>
    <row r="5" spans="1:8" x14ac:dyDescent="0.25">
      <c r="A5" t="str">
        <v>Business Development</v>
      </c>
      <c r="C5" s="30"/>
    </row>
    <row r="6" spans="1:8" x14ac:dyDescent="0.25">
      <c r="A6" t="str">
        <v>Engineering</v>
      </c>
      <c r="C6" s="30"/>
    </row>
    <row r="7" spans="1:8" x14ac:dyDescent="0.25">
      <c r="A7" t="str">
        <v>Marketing</v>
      </c>
      <c r="C7" s="30"/>
    </row>
    <row r="8" spans="1:8" x14ac:dyDescent="0.25">
      <c r="A8" t="str">
        <v>Legal</v>
      </c>
      <c r="C8" s="30"/>
    </row>
    <row r="9" spans="1:8" x14ac:dyDescent="0.25">
      <c r="A9" t="str">
        <v>Accounting</v>
      </c>
      <c r="C9" s="30"/>
    </row>
    <row r="10" spans="1:8" x14ac:dyDescent="0.25">
      <c r="A10" t="str">
        <v>Human Resources</v>
      </c>
      <c r="C10" s="30"/>
    </row>
    <row r="11" spans="1:8" x14ac:dyDescent="0.25">
      <c r="A11" t="str">
        <v>Research and Development</v>
      </c>
      <c r="C11" s="30"/>
    </row>
    <row r="12" spans="1:8" x14ac:dyDescent="0.25">
      <c r="A12" t="str">
        <v>Services</v>
      </c>
      <c r="C12" s="30"/>
    </row>
    <row r="13" spans="1:8" x14ac:dyDescent="0.25">
      <c r="A13" t="str">
        <v>Product Management</v>
      </c>
      <c r="C13" s="30"/>
    </row>
    <row r="14" spans="1:8" x14ac:dyDescent="0.25">
      <c r="A14" t="str">
        <v>Support</v>
      </c>
      <c r="C14" s="30"/>
      <c r="H14" t="str">
        <f>_xlfn.TEXTJOIN(",",TRUE,staff[Department])</f>
        <v>Training,Business Development,Business Development,Business Development,Engineering,Marketing,Business Development,Legal,Accounting,Legal,Accounting,Human Resources,Research and Development,Accounting,Engineering,Accounting,Engineering,Services,Business Development,Product Management,Services,Research and Development,Human Resources,Accounting,Accounting,Product Management,Engineering,Support,Accounting,Training,Sales,Product Management,Services,Engineering,Human Resources,Marketing,Training,Sales,Support,Services,Sales,Sales,Human Resources,Legal,Legal,Human Resources,Accounting,Marketing,Sales,Business Development,Research and Development,Business Development,Support,Business Development,Sales,Business Development,Research and Development,Training,Engineering,Services,Legal,Marketing,Sales,Legal,Research and Development,Support,Services,Product Management,Product Management,Research and Development,Product Management,Human Resources,Marketing,Legal,Engineering,Accounting,Legal,Sales,Business Development,Services,Product Management,Marketing,Product Management,Product Management,Human Resources,Human Resources,Engineering,Accounting,Research and Development,Human Resources,Accounting,Training,Engineering,Business Development,Business Development,Training,Product Management,Engineering,Marketing,Engineering,Marketing,Services,Services,Product Management,Engineering,Accounting,Product Management,Product Management,Human Resources,Accounting,Sales,Legal,Sales,Training,Engineering,Services,Marketing,Services,Product Management,Services,Human Resources,Services,Support,Business Development,Product Management,Training,Training,Support,Product Management,Engineering,Research and Development,Services,Support,Services,Support,Support,Training,Accounting,Legal,Legal,Legal,Engineering,Legal,Support,Product Management,Product Management,Product Management,Business Development,Accounting,Business Development,Business Development,Services,Business Development,Research and Development,Accounting,Human Resources,Human Resources,Accounting,Accounting,Sales,Sales,Support,Training,Business Development,Sales,Engineering,Research and Development,Research and Development,Business Development,Marketing,Product Management,Product Management,Training,Human Resources,Research and Development,Engineering,Research and Development,Research and Development,Product Management,Product Management,Human Resources,Legal,Product Management,Human Resources,Support,Training,Human Resources,Human Resources,Business Development,Support,Legal,Engineering,Product Management,Services,Product Management,Sales,Services,Sales,Sales,Engineering,Research and Development,Accounting,Support,Marketing,Legal,Business Development,Business Development,Accounting,Accounting,Training,Engineering,Services,Accounting,Training,Training,Training,Human Resources,Engineering,Research and Development,Training,Training,Research and Development,Accounting,Accounting,Support,Engineering,Legal,Engineering,Legal,Training,Engineering,Sales,Legal,Legal,Support,Business Development,Business Development,Engineering,Product Management,Legal,Sales,Accounting,Support,Human Resources,Services,Services,Training,Training,Training,Accounting,Business Development,Business Development,Research and Development,Training,Marketing,Product Management,Human Resources,Product Management,Human Resources,Engineering</v>
      </c>
    </row>
    <row r="15" spans="1:8" x14ac:dyDescent="0.25">
      <c r="A15" t="str">
        <v>Sales</v>
      </c>
      <c r="C15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workbookViewId="0">
      <selection activeCell="D13" sqref="D13"/>
    </sheetView>
  </sheetViews>
  <sheetFormatPr defaultRowHeight="15" x14ac:dyDescent="0.25"/>
  <cols>
    <col min="1" max="1" width="12.28515625" bestFit="1" customWidth="1"/>
    <col min="2" max="2" width="15.28515625" customWidth="1"/>
    <col min="3" max="3" width="14.7109375" customWidth="1"/>
    <col min="4" max="4" width="21.7109375" customWidth="1"/>
  </cols>
  <sheetData>
    <row r="1" spans="1:4" ht="20.25" thickBot="1" x14ac:dyDescent="0.35">
      <c r="B1" s="27" t="s">
        <v>10</v>
      </c>
    </row>
    <row r="2" spans="1:4" ht="15.75" thickTop="1" x14ac:dyDescent="0.25"/>
    <row r="3" spans="1:4" x14ac:dyDescent="0.25">
      <c r="B3" s="36" t="s">
        <v>781</v>
      </c>
      <c r="C3" s="36" t="s">
        <v>59</v>
      </c>
      <c r="D3" s="36" t="s">
        <v>40</v>
      </c>
    </row>
    <row r="4" spans="1:4" x14ac:dyDescent="0.25">
      <c r="A4" s="36" t="s">
        <v>778</v>
      </c>
      <c r="B4" s="37">
        <f>MIN(staff[Salary])</f>
        <v>28160.79</v>
      </c>
      <c r="C4" s="37">
        <f>_xlfn.MINIFS(staff[Salary], staff[Gender], "Male")</f>
        <v>28160.79</v>
      </c>
      <c r="D4" s="37">
        <f>_xlfn.MINIFS(staff[Salary],staff[Gender],"Female")</f>
        <v>28305.08</v>
      </c>
    </row>
    <row r="5" spans="1:4" x14ac:dyDescent="0.25">
      <c r="A5" s="36" t="s">
        <v>779</v>
      </c>
      <c r="B5" s="37">
        <f>MAX(staff[Salary])</f>
        <v>120000</v>
      </c>
      <c r="C5" s="37">
        <f>_xlfn.MAXIFS(staff[Salary], staff[Gender], "Male")</f>
        <v>120000</v>
      </c>
      <c r="D5" s="37">
        <f>_xlfn.MAXIFS(staff[Salary],staff[Gender],"Female")</f>
        <v>120000</v>
      </c>
    </row>
    <row r="6" spans="1:4" x14ac:dyDescent="0.25">
      <c r="A6" s="36" t="s">
        <v>780</v>
      </c>
      <c r="B6" s="37">
        <f xml:space="preserve"> LARGE(staff[],1)</f>
        <v>120000</v>
      </c>
      <c r="C6" s="37" cm="1">
        <f t="array" ref="C6">LARGE(_xlfn._xlws.FILTER(staff[Salary],staff[Gender]="Male"),1)</f>
        <v>120000</v>
      </c>
      <c r="D6" s="37" cm="1">
        <f t="array" ref="D6">LARGE(_xlfn._xlws.FILTER(staff[Salary],staff[Gender]="Female"),1)</f>
        <v>120000</v>
      </c>
    </row>
    <row r="7" spans="1:4" x14ac:dyDescent="0.25">
      <c r="B7" s="37">
        <f>LARGE(staff[],2)</f>
        <v>120000</v>
      </c>
      <c r="C7" s="37" cm="1">
        <f t="array" ref="C7">LARGE(_xlfn._xlws.FILTER(staff[Salary],staff[Gender]="Male"),2)</f>
        <v>119022.49</v>
      </c>
      <c r="D7" s="37" cm="1">
        <f t="array" ref="D7">LARGE(_xlfn._xlws.FILTER(staff[Salary],staff[Gender]="Female"),2)</f>
        <v>118442.54</v>
      </c>
    </row>
    <row r="8" spans="1:4" x14ac:dyDescent="0.25">
      <c r="B8" s="37">
        <f>LARGE(staff[],3)</f>
        <v>119022.49</v>
      </c>
      <c r="C8" s="37" cm="1">
        <f t="array" ref="C8">LARGE(_xlfn._xlws.FILTER(staff[Salary],staff[Gender]="Male"),3)</f>
        <v>118976.16</v>
      </c>
      <c r="D8" s="37" cm="1">
        <f t="array" ref="D8">LARGE(_xlfn._xlws.FILTER(staff[Salary],staff[Gender]="Female"),3)</f>
        <v>116767.63</v>
      </c>
    </row>
    <row r="9" spans="1:4" x14ac:dyDescent="0.25">
      <c r="B9" s="37">
        <f>LARGE(staff[],4)</f>
        <v>118976.16</v>
      </c>
      <c r="C9" s="37" cm="1">
        <f t="array" ref="C9">LARGE(_xlfn._xlws.FILTER(staff[Salary],staff[Gender]="Male"),3)</f>
        <v>118976.16</v>
      </c>
      <c r="D9" s="37" cm="1">
        <f t="array" ref="D9">LARGE(_xlfn._xlws.FILTER(staff[Salary],staff[Gender]="Female"),4)</f>
        <v>116767.63</v>
      </c>
    </row>
    <row r="10" spans="1:4" x14ac:dyDescent="0.25">
      <c r="B10" s="37">
        <f>LARGE(staff[],5)</f>
        <v>118442.54</v>
      </c>
      <c r="C10" s="37" cm="1">
        <f t="array" ref="C10">LARGE(_xlfn._xlws.FILTER(staff[Salary],staff[Gender]="Male"),4)</f>
        <v>115191.38</v>
      </c>
      <c r="D10" s="37" cm="1">
        <f t="array" ref="D10">LARGE(_xlfn._xlws.FILTER(staff[Salary],staff[Gender]="Female"),5)</f>
        <v>114772.32</v>
      </c>
    </row>
    <row r="11" spans="1:4" x14ac:dyDescent="0.25">
      <c r="B11" s="37">
        <f>LARGE(staff[],6)</f>
        <v>116767.63</v>
      </c>
      <c r="C11" s="37" cm="1">
        <f t="array" ref="C11">LARGE(_xlfn._xlws.FILTER(staff[Salary],staff[Gender]="Male"),5)</f>
        <v>114691.03</v>
      </c>
      <c r="D11" s="37" cm="1">
        <f t="array" ref="D11">LARGE(_xlfn._xlws.FILTER(staff[Salary],staff[Gender]="Female"),6)</f>
        <v>114425.19</v>
      </c>
    </row>
    <row r="12" spans="1:4" x14ac:dyDescent="0.25">
      <c r="B12" s="37">
        <f>LARGE(staff[],7)</f>
        <v>116767.63</v>
      </c>
      <c r="C12" s="37" cm="1">
        <f t="array" ref="C12">LARGE(_xlfn._xlws.FILTER(staff[Salary],staff[Gender]="Male"),6)</f>
        <v>114465.93</v>
      </c>
      <c r="D12" s="37" cm="1">
        <f t="array" ref="D12">LARGE(_xlfn._xlws.FILTER(staff[Salary],staff[Gender]="Female"),7)</f>
        <v>114177.23</v>
      </c>
    </row>
    <row r="15" spans="1:4" x14ac:dyDescent="0.25">
      <c r="A15" t="s">
        <v>782</v>
      </c>
      <c r="B15" s="28" cm="1">
        <f t="array" ref="B15:B19">_xlfn.TAKE(_xlfn._xlws.SORT(staff[Salary]),5)</f>
        <v>28160.79</v>
      </c>
    </row>
    <row r="16" spans="1:4" x14ac:dyDescent="0.25">
      <c r="B16" s="28">
        <v>28305.08</v>
      </c>
    </row>
    <row r="17" spans="2:2" x14ac:dyDescent="0.25">
      <c r="B17" s="28">
        <v>28329.77</v>
      </c>
    </row>
    <row r="18" spans="2:2" x14ac:dyDescent="0.25">
      <c r="B18" s="28">
        <v>28481.16</v>
      </c>
    </row>
    <row r="19" spans="2:2" x14ac:dyDescent="0.25">
      <c r="B19" s="28">
        <v>28481.16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27"/>
  <sheetViews>
    <sheetView workbookViewId="0">
      <selection activeCell="B1" sqref="B1"/>
    </sheetView>
  </sheetViews>
  <sheetFormatPr defaultRowHeight="15" x14ac:dyDescent="0.25"/>
  <cols>
    <col min="2" max="2" width="39.7109375" bestFit="1" customWidth="1"/>
    <col min="3" max="3" width="17.85546875" bestFit="1" customWidth="1"/>
  </cols>
  <sheetData>
    <row r="1" spans="2:21" ht="20.25" thickBot="1" x14ac:dyDescent="0.35">
      <c r="B1" s="27" t="s">
        <v>772</v>
      </c>
      <c r="C1" s="27" t="s">
        <v>771</v>
      </c>
      <c r="P1" s="27" t="s">
        <v>776</v>
      </c>
    </row>
    <row r="2" spans="2:21" ht="21" thickTop="1" thickBot="1" x14ac:dyDescent="0.35">
      <c r="B2" s="27" t="s">
        <v>773</v>
      </c>
      <c r="C2" s="27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.75" thickTop="1" x14ac:dyDescent="0.25">
      <c r="B3" s="30" t="str" cm="1">
        <f t="array" ref="B3:F3">_xlfn.CHOOSECOLS((staff[#Headers]),1,2,3,4,6)</f>
        <v>Emp ID</v>
      </c>
      <c r="C3" s="30" t="str">
        <v>First Name</v>
      </c>
      <c r="D3" s="30" t="str">
        <v>Last Name</v>
      </c>
      <c r="E3" s="30" t="str">
        <v>Gender</v>
      </c>
      <c r="F3" s="30" t="str">
        <v>Salary</v>
      </c>
      <c r="G3" s="30"/>
      <c r="H3" s="30"/>
      <c r="I3" s="30"/>
      <c r="J3" s="30"/>
      <c r="K3" s="30"/>
      <c r="L3" s="30"/>
      <c r="M3" s="30"/>
      <c r="N3" s="30"/>
      <c r="P3" t="str" cm="1">
        <f t="array" ref="P3:U127">_xlfn.CHOOSECOLS(_xlfn._xlws.FILTER(staff[],staff[Gender]="Female"),1,2,3,4,5,6)</f>
        <v>PR00007</v>
      </c>
      <c r="Q3" t="str">
        <v>Torrance</v>
      </c>
      <c r="R3" t="str">
        <v>Collier</v>
      </c>
      <c r="S3" t="str">
        <v>Female</v>
      </c>
      <c r="T3" t="str">
        <v>Training</v>
      </c>
      <c r="U3">
        <v>96135.75</v>
      </c>
    </row>
    <row r="4" spans="2:21" x14ac:dyDescent="0.25">
      <c r="B4" t="str" cm="1">
        <f t="array" ref="B4:F50">_xlfn.CHOOSECOLS(_xlfn._xlws.FILTER(staff[], staff[Salary]&gt;D2), 1,2,3,4,6)</f>
        <v>PR00147</v>
      </c>
      <c r="C4" t="str">
        <v>Minerva</v>
      </c>
      <c r="D4" t="str">
        <v>Ricardot</v>
      </c>
      <c r="E4" t="str">
        <v>Male</v>
      </c>
      <c r="F4">
        <v>120000</v>
      </c>
      <c r="P4" t="str">
        <v>PR00095</v>
      </c>
      <c r="Q4" t="str">
        <v>Devrat</v>
      </c>
      <c r="R4" t="str">
        <v>Damarsingh</v>
      </c>
      <c r="S4" t="str">
        <v>Female</v>
      </c>
      <c r="T4" t="str">
        <v>Business Development</v>
      </c>
      <c r="U4">
        <v>70649.460000000006</v>
      </c>
    </row>
    <row r="5" spans="2:21" x14ac:dyDescent="0.25">
      <c r="B5" t="str">
        <v>PR00746</v>
      </c>
      <c r="C5" t="str">
        <v>Hogan</v>
      </c>
      <c r="D5" t="str">
        <v>Iles</v>
      </c>
      <c r="E5" t="str">
        <v>Female</v>
      </c>
      <c r="F5">
        <v>114177.23</v>
      </c>
      <c r="P5" t="str">
        <v>PR00113</v>
      </c>
      <c r="Q5" t="str">
        <v>Van</v>
      </c>
      <c r="R5" t="str">
        <v>Tuxwell</v>
      </c>
      <c r="S5" t="str">
        <v>Female</v>
      </c>
      <c r="T5" t="str">
        <v>Business Development</v>
      </c>
      <c r="U5">
        <v>80695.740000000005</v>
      </c>
    </row>
    <row r="6" spans="2:21" x14ac:dyDescent="0.25">
      <c r="B6" t="str">
        <v>PR01159</v>
      </c>
      <c r="C6" t="str">
        <v>Mollie</v>
      </c>
      <c r="D6" t="str">
        <v>Hanway</v>
      </c>
      <c r="E6" t="str">
        <v>Male</v>
      </c>
      <c r="F6">
        <v>112645.99</v>
      </c>
      <c r="P6" t="str">
        <v>PR00113</v>
      </c>
      <c r="Q6" t="str">
        <v>Van</v>
      </c>
      <c r="R6" t="str">
        <v>Tuxwell</v>
      </c>
      <c r="S6" t="str">
        <v>Female</v>
      </c>
      <c r="T6" t="str">
        <v>Business Development</v>
      </c>
      <c r="U6">
        <v>80695.740000000005</v>
      </c>
    </row>
    <row r="7" spans="2:21" x14ac:dyDescent="0.25">
      <c r="B7" t="str">
        <v>PR02010</v>
      </c>
      <c r="C7" t="str">
        <v>Prerana</v>
      </c>
      <c r="D7" t="str">
        <v>Nishita</v>
      </c>
      <c r="E7" t="str">
        <v>Male</v>
      </c>
      <c r="F7">
        <v>115191.38</v>
      </c>
      <c r="P7" t="str">
        <v>PR00246</v>
      </c>
      <c r="Q7" t="str">
        <v>Husein</v>
      </c>
      <c r="R7" t="str">
        <v>Augar</v>
      </c>
      <c r="S7" t="str">
        <v>Female</v>
      </c>
      <c r="T7" t="str">
        <v>Marketing</v>
      </c>
      <c r="U7">
        <v>67905.8</v>
      </c>
    </row>
    <row r="8" spans="2:21" x14ac:dyDescent="0.25">
      <c r="B8" t="str">
        <v>PR02208</v>
      </c>
      <c r="C8" t="str">
        <v>Gowri</v>
      </c>
      <c r="D8" t="str">
        <v>Sankar</v>
      </c>
      <c r="E8" t="str">
        <v>Female</v>
      </c>
      <c r="F8">
        <v>102934.09</v>
      </c>
      <c r="P8" t="str">
        <v>PR00419</v>
      </c>
      <c r="Q8" t="str">
        <v>Billi</v>
      </c>
      <c r="R8" t="str">
        <v>Fellgate</v>
      </c>
      <c r="S8" t="str">
        <v>Female</v>
      </c>
      <c r="T8" t="str">
        <v>Business Development</v>
      </c>
      <c r="U8">
        <v>68980.52</v>
      </c>
    </row>
    <row r="9" spans="2:21" x14ac:dyDescent="0.25">
      <c r="B9" t="str">
        <v>PR02288</v>
      </c>
      <c r="C9" t="str">
        <v>Althea</v>
      </c>
      <c r="D9" t="str">
        <v>Bronger</v>
      </c>
      <c r="E9" t="str">
        <v>Male</v>
      </c>
      <c r="F9">
        <v>104335.03999999999</v>
      </c>
      <c r="P9" t="str">
        <v>PR00576</v>
      </c>
      <c r="Q9" t="str">
        <v>Lalitchandra</v>
      </c>
      <c r="R9" t="str">
        <v>Vadali</v>
      </c>
      <c r="S9" t="str">
        <v>Female</v>
      </c>
      <c r="T9" t="str">
        <v>Legal</v>
      </c>
      <c r="U9">
        <v>63705.4</v>
      </c>
    </row>
    <row r="10" spans="2:21" x14ac:dyDescent="0.25">
      <c r="B10" t="str">
        <v>PR03886</v>
      </c>
      <c r="C10" t="str">
        <v>Edd</v>
      </c>
      <c r="D10" t="str">
        <v>MacKnockiter</v>
      </c>
      <c r="E10" t="str">
        <v>Male</v>
      </c>
      <c r="F10">
        <v>119022.49</v>
      </c>
      <c r="P10" t="str">
        <v>PR00746</v>
      </c>
      <c r="Q10" t="str">
        <v>Hogan</v>
      </c>
      <c r="R10" t="str">
        <v>Iles</v>
      </c>
      <c r="S10" t="str">
        <v>Female</v>
      </c>
      <c r="T10" t="str">
        <v>Accounting</v>
      </c>
      <c r="U10">
        <v>114177.23</v>
      </c>
    </row>
    <row r="11" spans="2:21" x14ac:dyDescent="0.25">
      <c r="B11" t="str">
        <v>PR04601</v>
      </c>
      <c r="C11" t="str">
        <v>Yedukondalu</v>
      </c>
      <c r="D11" t="str">
        <v>Panditula</v>
      </c>
      <c r="E11" t="str">
        <v>Need to check</v>
      </c>
      <c r="F11">
        <v>104802.63</v>
      </c>
      <c r="P11" t="str">
        <v>PR00916</v>
      </c>
      <c r="Q11" t="str">
        <v>Inger</v>
      </c>
      <c r="R11" t="str">
        <v>Chapelhow</v>
      </c>
      <c r="S11" t="str">
        <v>Female</v>
      </c>
      <c r="T11" t="str">
        <v>Research and Development</v>
      </c>
      <c r="U11">
        <v>84309.95</v>
      </c>
    </row>
    <row r="12" spans="2:21" x14ac:dyDescent="0.25">
      <c r="B12" t="str">
        <v>SQ00022</v>
      </c>
      <c r="C12" t="str">
        <v>Carlin</v>
      </c>
      <c r="D12" t="str">
        <v>Demke</v>
      </c>
      <c r="E12" t="str">
        <v>Male</v>
      </c>
      <c r="F12">
        <v>110042.37</v>
      </c>
      <c r="P12" t="str">
        <v>PR01269</v>
      </c>
      <c r="Q12" t="str">
        <v>Eleonore</v>
      </c>
      <c r="R12" t="str">
        <v>Airdrie</v>
      </c>
      <c r="S12" t="str">
        <v>Female</v>
      </c>
      <c r="T12" t="str">
        <v>Engineering</v>
      </c>
      <c r="U12">
        <v>97105.19</v>
      </c>
    </row>
    <row r="13" spans="2:21" x14ac:dyDescent="0.25">
      <c r="B13" t="str">
        <v>SQ00144</v>
      </c>
      <c r="C13" t="str">
        <v>Collen</v>
      </c>
      <c r="D13" t="str">
        <v>Dunbleton</v>
      </c>
      <c r="E13" t="str">
        <v>Male</v>
      </c>
      <c r="F13">
        <v>118976.16</v>
      </c>
      <c r="P13" t="str">
        <v>PR01383</v>
      </c>
      <c r="Q13" t="str">
        <v>Addi</v>
      </c>
      <c r="R13" t="str">
        <v>Studdeard</v>
      </c>
      <c r="S13" t="str">
        <v>Female</v>
      </c>
      <c r="T13" t="str">
        <v>Product Management</v>
      </c>
      <c r="U13">
        <v>72502.61</v>
      </c>
    </row>
    <row r="14" spans="2:21" x14ac:dyDescent="0.25">
      <c r="B14" t="str">
        <v>SQ00498</v>
      </c>
      <c r="C14" t="str">
        <v>Amery</v>
      </c>
      <c r="D14" t="str">
        <v>Ofer</v>
      </c>
      <c r="E14" t="str">
        <v>Female</v>
      </c>
      <c r="F14">
        <v>111049.84</v>
      </c>
      <c r="P14" t="str">
        <v>PR01662</v>
      </c>
      <c r="Q14" t="str">
        <v>Genevra</v>
      </c>
      <c r="R14" t="str">
        <v>Friday</v>
      </c>
      <c r="S14" t="str">
        <v>Female</v>
      </c>
      <c r="T14" t="str">
        <v>Research and Development</v>
      </c>
      <c r="U14">
        <v>50449.46</v>
      </c>
    </row>
    <row r="15" spans="2:21" x14ac:dyDescent="0.25">
      <c r="B15" t="str">
        <v>SQ01620</v>
      </c>
      <c r="C15" t="str">
        <v>Westbrook</v>
      </c>
      <c r="D15" t="str">
        <v>Brandino</v>
      </c>
      <c r="E15" t="str">
        <v>Male</v>
      </c>
      <c r="F15">
        <v>113616.23</v>
      </c>
      <c r="P15" t="str">
        <v>PR02016</v>
      </c>
      <c r="Q15" t="str">
        <v>Iris</v>
      </c>
      <c r="R15" t="str">
        <v>Wagg</v>
      </c>
      <c r="S15" t="str">
        <v>Female</v>
      </c>
      <c r="T15" t="str">
        <v>Engineering</v>
      </c>
      <c r="U15">
        <v>58861.19</v>
      </c>
    </row>
    <row r="16" spans="2:21" x14ac:dyDescent="0.25">
      <c r="B16" t="str">
        <v>SQ02035</v>
      </c>
      <c r="C16" t="str">
        <v>Anni</v>
      </c>
      <c r="D16" t="str">
        <v>Izzard</v>
      </c>
      <c r="E16" t="str">
        <v>Male</v>
      </c>
      <c r="F16">
        <v>103494.94</v>
      </c>
      <c r="P16" t="str">
        <v>PR02113</v>
      </c>
      <c r="Q16" t="str">
        <v>Beverie</v>
      </c>
      <c r="R16" t="str">
        <v>Moffet</v>
      </c>
      <c r="S16" t="str">
        <v>Female</v>
      </c>
      <c r="T16" t="str">
        <v>Support</v>
      </c>
      <c r="U16">
        <v>75974.990000000005</v>
      </c>
    </row>
    <row r="17" spans="2:21" x14ac:dyDescent="0.25">
      <c r="B17" t="str">
        <v>SQ02035</v>
      </c>
      <c r="C17" t="str">
        <v>Anni</v>
      </c>
      <c r="D17" t="str">
        <v>Izzard</v>
      </c>
      <c r="E17" t="str">
        <v>Male</v>
      </c>
      <c r="F17">
        <v>103494.94</v>
      </c>
      <c r="P17" t="str">
        <v>PR02208</v>
      </c>
      <c r="Q17" t="str">
        <v>Gowri</v>
      </c>
      <c r="R17" t="str">
        <v>Sankar</v>
      </c>
      <c r="S17" t="str">
        <v>Female</v>
      </c>
      <c r="T17" t="str">
        <v>Training</v>
      </c>
      <c r="U17">
        <v>102934.09</v>
      </c>
    </row>
    <row r="18" spans="2:21" x14ac:dyDescent="0.25">
      <c r="B18" t="str">
        <v>SQ02174</v>
      </c>
      <c r="C18" t="str">
        <v>Sidoney</v>
      </c>
      <c r="D18" t="str">
        <v>Yitzhok</v>
      </c>
      <c r="E18" t="str">
        <v>Female</v>
      </c>
      <c r="F18">
        <v>118442.54</v>
      </c>
      <c r="P18" t="str">
        <v>PR02275</v>
      </c>
      <c r="Q18" t="str">
        <v>Louise</v>
      </c>
      <c r="R18" t="str">
        <v>Lamming</v>
      </c>
      <c r="S18" t="str">
        <v>Female</v>
      </c>
      <c r="T18" t="str">
        <v>Sales</v>
      </c>
      <c r="U18">
        <v>41934.71</v>
      </c>
    </row>
    <row r="19" spans="2:21" x14ac:dyDescent="0.25">
      <c r="B19" t="str">
        <v>SQ02624</v>
      </c>
      <c r="C19" t="str">
        <v>Gwenneth</v>
      </c>
      <c r="D19" t="str">
        <v>Fealey</v>
      </c>
      <c r="E19" t="str">
        <v>Female</v>
      </c>
      <c r="F19">
        <v>114772.32</v>
      </c>
      <c r="P19" t="str">
        <v>PR02321</v>
      </c>
      <c r="Q19" t="str">
        <v>Evanne</v>
      </c>
      <c r="R19" t="str">
        <v>Sheryn</v>
      </c>
      <c r="S19" t="str">
        <v>Female</v>
      </c>
      <c r="T19" t="str">
        <v>Services</v>
      </c>
      <c r="U19">
        <v>81897.789999999994</v>
      </c>
    </row>
    <row r="20" spans="2:21" x14ac:dyDescent="0.25">
      <c r="B20" t="str">
        <v>SQ02703</v>
      </c>
      <c r="C20" t="str">
        <v>Deepit</v>
      </c>
      <c r="D20" t="str">
        <v>Ranjana</v>
      </c>
      <c r="E20" t="str">
        <v>Female</v>
      </c>
      <c r="F20">
        <v>104903.79</v>
      </c>
      <c r="P20" t="str">
        <v>PR02436</v>
      </c>
      <c r="Q20" t="str">
        <v>Marmaduke</v>
      </c>
      <c r="R20" t="str">
        <v>Worssam</v>
      </c>
      <c r="S20" t="str">
        <v>Female</v>
      </c>
      <c r="T20" t="str">
        <v>Engineering</v>
      </c>
      <c r="U20">
        <v>78378.2</v>
      </c>
    </row>
    <row r="21" spans="2:21" x14ac:dyDescent="0.25">
      <c r="B21" t="str">
        <v>SQ03116</v>
      </c>
      <c r="C21" t="str">
        <v>Syd</v>
      </c>
      <c r="D21" t="str">
        <v>Fearn</v>
      </c>
      <c r="E21" t="str">
        <v>Male</v>
      </c>
      <c r="F21">
        <v>108872.77</v>
      </c>
      <c r="P21" t="str">
        <v>PR02603</v>
      </c>
      <c r="Q21" t="str">
        <v>Dinanath</v>
      </c>
      <c r="R21" t="str">
        <v>Simhambhatla</v>
      </c>
      <c r="S21" t="str">
        <v>Female</v>
      </c>
      <c r="T21" t="str">
        <v>Human Resources</v>
      </c>
      <c r="U21">
        <v>61994.76</v>
      </c>
    </row>
    <row r="22" spans="2:21" x14ac:dyDescent="0.25">
      <c r="B22" t="str">
        <v>SQ03387</v>
      </c>
      <c r="C22" t="str">
        <v>Robinia</v>
      </c>
      <c r="D22" t="str">
        <v>Scholling</v>
      </c>
      <c r="E22" t="str">
        <v>Female</v>
      </c>
      <c r="F22">
        <v>100731.95</v>
      </c>
      <c r="P22" t="str">
        <v>PR02957</v>
      </c>
      <c r="Q22" t="str">
        <v>Vaughn</v>
      </c>
      <c r="R22" t="str">
        <v>Carvill</v>
      </c>
      <c r="S22" t="str">
        <v>Female</v>
      </c>
      <c r="T22" t="str">
        <v>Training</v>
      </c>
      <c r="U22">
        <v>84745.93</v>
      </c>
    </row>
    <row r="23" spans="2:21" x14ac:dyDescent="0.25">
      <c r="B23" t="str">
        <v>SQ03476</v>
      </c>
      <c r="C23" t="str">
        <v>Ramalingam</v>
      </c>
      <c r="D23" t="str">
        <v>Kothapeta</v>
      </c>
      <c r="E23" t="str">
        <v>Need to check</v>
      </c>
      <c r="F23">
        <v>107107.6</v>
      </c>
      <c r="P23" t="str">
        <v>PR03158</v>
      </c>
      <c r="Q23" t="str">
        <v>Danica</v>
      </c>
      <c r="R23" t="str">
        <v>Nayshe</v>
      </c>
      <c r="S23" t="str">
        <v>Female</v>
      </c>
      <c r="T23" t="str">
        <v>Services</v>
      </c>
      <c r="U23">
        <v>89690.38</v>
      </c>
    </row>
    <row r="24" spans="2:21" x14ac:dyDescent="0.25">
      <c r="B24" t="str">
        <v>SQ03491</v>
      </c>
      <c r="C24" t="str">
        <v>Freda</v>
      </c>
      <c r="D24" t="str">
        <v>Legan</v>
      </c>
      <c r="E24" t="str">
        <v>Female</v>
      </c>
      <c r="F24">
        <v>102129.37</v>
      </c>
      <c r="P24" t="str">
        <v>PR03271</v>
      </c>
      <c r="Q24" t="str">
        <v>Stan</v>
      </c>
      <c r="R24" t="str">
        <v>Tolliday</v>
      </c>
      <c r="S24" t="str">
        <v>Female</v>
      </c>
      <c r="T24" t="str">
        <v>Sales</v>
      </c>
      <c r="U24">
        <v>39535.49</v>
      </c>
    </row>
    <row r="25" spans="2:21" x14ac:dyDescent="0.25">
      <c r="B25" t="str">
        <v>SQ03733</v>
      </c>
      <c r="C25" t="str">
        <v>Revkah</v>
      </c>
      <c r="D25" t="str">
        <v>Antonacci</v>
      </c>
      <c r="E25" t="str">
        <v>Male</v>
      </c>
      <c r="F25">
        <v>109143.17</v>
      </c>
      <c r="P25" t="str">
        <v>PR03844</v>
      </c>
      <c r="Q25" t="str">
        <v>Brose</v>
      </c>
      <c r="R25" t="str">
        <v>MacCorkell</v>
      </c>
      <c r="S25" t="str">
        <v>Female</v>
      </c>
      <c r="T25" t="str">
        <v>Human Resources</v>
      </c>
      <c r="U25">
        <v>35943.620000000003</v>
      </c>
    </row>
    <row r="26" spans="2:21" x14ac:dyDescent="0.25">
      <c r="B26" t="str">
        <v>SQ04603</v>
      </c>
      <c r="C26" t="str">
        <v>Natalee</v>
      </c>
      <c r="D26" t="str">
        <v>Craiker</v>
      </c>
      <c r="E26" t="str">
        <v>Male</v>
      </c>
      <c r="F26">
        <v>111229.47</v>
      </c>
      <c r="P26" t="str">
        <v>PR04366</v>
      </c>
      <c r="Q26" t="str">
        <v>Carry</v>
      </c>
      <c r="R26" t="str">
        <v>Loblie</v>
      </c>
      <c r="S26" t="str">
        <v>Female</v>
      </c>
      <c r="T26" t="str">
        <v>Sales</v>
      </c>
      <c r="U26">
        <v>47551.89</v>
      </c>
    </row>
    <row r="27" spans="2:21" x14ac:dyDescent="0.25">
      <c r="B27" t="str">
        <v>SQ04612</v>
      </c>
      <c r="C27" t="str">
        <v>Mick</v>
      </c>
      <c r="D27" t="str">
        <v>Spraberry</v>
      </c>
      <c r="E27" t="str">
        <v>Female</v>
      </c>
      <c r="F27">
        <v>120000</v>
      </c>
      <c r="P27" t="str">
        <v>PR04380</v>
      </c>
      <c r="Q27" t="str">
        <v>Van</v>
      </c>
      <c r="R27" t="str">
        <v>Tuxwell</v>
      </c>
      <c r="S27" t="str">
        <v>Female</v>
      </c>
      <c r="T27" t="str">
        <v>Business Development</v>
      </c>
      <c r="U27">
        <v>80695.740000000005</v>
      </c>
    </row>
    <row r="28" spans="2:21" x14ac:dyDescent="0.25">
      <c r="B28" t="str">
        <v>SQ04665</v>
      </c>
      <c r="C28" t="str">
        <v>Collin</v>
      </c>
      <c r="D28" t="str">
        <v>Jagson</v>
      </c>
      <c r="E28" t="str">
        <v>Male</v>
      </c>
      <c r="F28">
        <v>100424.23</v>
      </c>
      <c r="P28" t="str">
        <v>PR04446</v>
      </c>
      <c r="Q28" t="str">
        <v>Sameer</v>
      </c>
      <c r="R28" t="str">
        <v>Shashank</v>
      </c>
      <c r="S28" t="str">
        <v>Female</v>
      </c>
      <c r="T28" t="str">
        <v>Research and Development</v>
      </c>
      <c r="U28">
        <v>92336.08</v>
      </c>
    </row>
    <row r="29" spans="2:21" x14ac:dyDescent="0.25">
      <c r="B29" t="str">
        <v>TN00579</v>
      </c>
      <c r="C29" t="str">
        <v>Rafaelita</v>
      </c>
      <c r="D29" t="str">
        <v>Blaksland</v>
      </c>
      <c r="E29" t="str">
        <v>Female</v>
      </c>
      <c r="F29">
        <v>109163.39</v>
      </c>
      <c r="P29" t="str">
        <v>PR04473</v>
      </c>
      <c r="Q29" t="str">
        <v>Wyn</v>
      </c>
      <c r="R29" t="str">
        <v>Treadger</v>
      </c>
      <c r="S29" t="str">
        <v>Female</v>
      </c>
      <c r="T29" t="str">
        <v>Business Development</v>
      </c>
      <c r="U29">
        <v>69192.850000000006</v>
      </c>
    </row>
    <row r="30" spans="2:21" x14ac:dyDescent="0.25">
      <c r="B30" t="str">
        <v>TN01281</v>
      </c>
      <c r="C30" t="str">
        <v>Cletus</v>
      </c>
      <c r="D30" t="str">
        <v>McGarahan</v>
      </c>
      <c r="E30" t="str">
        <v>Female</v>
      </c>
      <c r="F30">
        <v>114425.19</v>
      </c>
      <c r="P30" t="str">
        <v>PR04686</v>
      </c>
      <c r="Q30" t="str">
        <v>Oona</v>
      </c>
      <c r="R30" t="str">
        <v>Donan</v>
      </c>
      <c r="S30" t="str">
        <v>Female</v>
      </c>
      <c r="T30" t="str">
        <v>Business Development</v>
      </c>
      <c r="U30">
        <v>98000</v>
      </c>
    </row>
    <row r="31" spans="2:21" x14ac:dyDescent="0.25">
      <c r="B31" t="str">
        <v>TN04058</v>
      </c>
      <c r="C31" t="str">
        <v>Subbarao</v>
      </c>
      <c r="D31" t="str">
        <v>Malladi</v>
      </c>
      <c r="E31" t="str">
        <v>Male</v>
      </c>
      <c r="F31">
        <v>106775.14</v>
      </c>
      <c r="P31" t="str">
        <v>PR04851</v>
      </c>
      <c r="Q31" t="str">
        <v>Rodina</v>
      </c>
      <c r="R31" t="str">
        <v>Drinan</v>
      </c>
      <c r="S31" t="str">
        <v>Female</v>
      </c>
      <c r="T31" t="str">
        <v>Sales</v>
      </c>
      <c r="U31">
        <v>77045.440000000002</v>
      </c>
    </row>
    <row r="32" spans="2:21" x14ac:dyDescent="0.25">
      <c r="B32" t="str">
        <v>TN04058</v>
      </c>
      <c r="C32" t="str">
        <v>Vasu</v>
      </c>
      <c r="D32" t="str">
        <v>Nandin</v>
      </c>
      <c r="E32" t="str">
        <v>Male</v>
      </c>
      <c r="F32">
        <v>106775.14</v>
      </c>
      <c r="P32" t="str">
        <v>SQ00105</v>
      </c>
      <c r="Q32" t="str">
        <v>Sarayu</v>
      </c>
      <c r="R32" t="str">
        <v>Ragunathan</v>
      </c>
      <c r="S32" t="str">
        <v>Female</v>
      </c>
      <c r="T32" t="str">
        <v>Training</v>
      </c>
      <c r="U32">
        <v>86010.54</v>
      </c>
    </row>
    <row r="33" spans="2:21" x14ac:dyDescent="0.25">
      <c r="B33" t="str">
        <v>TN04246</v>
      </c>
      <c r="C33" t="str">
        <v>Shaylyn</v>
      </c>
      <c r="D33" t="str">
        <v>Ransbury</v>
      </c>
      <c r="E33" t="str">
        <v>Female</v>
      </c>
      <c r="F33">
        <v>100371.31</v>
      </c>
      <c r="P33" t="str">
        <v>SQ00187</v>
      </c>
      <c r="Q33" t="str">
        <v>Rupak</v>
      </c>
      <c r="R33" t="str">
        <v>Mehra</v>
      </c>
      <c r="S33" t="str">
        <v>Female</v>
      </c>
      <c r="T33" t="str">
        <v>Services</v>
      </c>
      <c r="U33">
        <v>71229.42</v>
      </c>
    </row>
    <row r="34" spans="2:21" x14ac:dyDescent="0.25">
      <c r="B34" t="str">
        <v>TN04740</v>
      </c>
      <c r="C34" t="str">
        <v>Tristam</v>
      </c>
      <c r="D34" t="str">
        <v>Cuming</v>
      </c>
      <c r="E34" t="str">
        <v>Female</v>
      </c>
      <c r="F34">
        <v>104038.9</v>
      </c>
      <c r="P34" t="str">
        <v>SQ00286</v>
      </c>
      <c r="Q34" t="str">
        <v>Ilesh</v>
      </c>
      <c r="R34" t="str">
        <v>Dasgupta</v>
      </c>
      <c r="S34" t="str">
        <v>Female</v>
      </c>
      <c r="T34" t="str">
        <v>Legal</v>
      </c>
      <c r="U34">
        <v>61213.01</v>
      </c>
    </row>
    <row r="35" spans="2:21" x14ac:dyDescent="0.25">
      <c r="B35" t="str">
        <v>VT01684</v>
      </c>
      <c r="C35" t="str">
        <v>Audry</v>
      </c>
      <c r="D35" t="str">
        <v>Yu</v>
      </c>
      <c r="E35" t="str">
        <v>Female</v>
      </c>
      <c r="F35">
        <v>101187.36</v>
      </c>
      <c r="P35" t="str">
        <v>SQ00450</v>
      </c>
      <c r="Q35" t="str">
        <v>Louise</v>
      </c>
      <c r="R35" t="str">
        <v>Lamming</v>
      </c>
      <c r="S35" t="str">
        <v>Female</v>
      </c>
      <c r="T35" t="str">
        <v>Sales</v>
      </c>
      <c r="U35">
        <v>41934.71</v>
      </c>
    </row>
    <row r="36" spans="2:21" x14ac:dyDescent="0.25">
      <c r="B36" t="str">
        <v>VT01762</v>
      </c>
      <c r="C36" t="str">
        <v>Geena</v>
      </c>
      <c r="D36" t="str">
        <v>Raghavanpillai</v>
      </c>
      <c r="E36" t="str">
        <v>Male</v>
      </c>
      <c r="F36">
        <v>102515.81</v>
      </c>
      <c r="P36" t="str">
        <v>SQ00498</v>
      </c>
      <c r="Q36" t="str">
        <v>Amery</v>
      </c>
      <c r="R36" t="str">
        <v>Ofer</v>
      </c>
      <c r="S36" t="str">
        <v>Female</v>
      </c>
      <c r="T36" t="str">
        <v>Legal</v>
      </c>
      <c r="U36">
        <v>111049.84</v>
      </c>
    </row>
    <row r="37" spans="2:21" x14ac:dyDescent="0.25">
      <c r="B37" t="str">
        <v>VT01893</v>
      </c>
      <c r="C37" t="str">
        <v>Lindy</v>
      </c>
      <c r="D37" t="str">
        <v>Guillet</v>
      </c>
      <c r="E37" t="str">
        <v>Male</v>
      </c>
      <c r="F37">
        <v>112778.28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>
        <v>89690.38</v>
      </c>
    </row>
    <row r="38" spans="2:21" x14ac:dyDescent="0.25">
      <c r="B38" t="str">
        <v>VT01893</v>
      </c>
      <c r="C38" t="str">
        <v>Lindy</v>
      </c>
      <c r="D38" t="str">
        <v>Guillet</v>
      </c>
      <c r="E38" t="str">
        <v>Male</v>
      </c>
      <c r="F38">
        <v>112778.28</v>
      </c>
      <c r="P38" t="str">
        <v>SQ00914</v>
      </c>
      <c r="Q38" t="str">
        <v>Duran</v>
      </c>
      <c r="R38" t="str">
        <v>Appala</v>
      </c>
      <c r="S38" t="str">
        <v>Female</v>
      </c>
      <c r="T38" t="str">
        <v>Product Management</v>
      </c>
      <c r="U38">
        <v>38438.239999999998</v>
      </c>
    </row>
    <row r="39" spans="2:21" x14ac:dyDescent="0.25">
      <c r="B39" t="str">
        <v>VT02491</v>
      </c>
      <c r="C39" t="str">
        <v>Alexis</v>
      </c>
      <c r="D39" t="str">
        <v>Gotfrey</v>
      </c>
      <c r="E39" t="str">
        <v>Male</v>
      </c>
      <c r="F39">
        <v>114465.93</v>
      </c>
      <c r="P39" t="str">
        <v>SQ00914</v>
      </c>
      <c r="Q39" t="str">
        <v>Karuna</v>
      </c>
      <c r="R39" t="str">
        <v>Pashupathy</v>
      </c>
      <c r="S39" t="str">
        <v>Female</v>
      </c>
      <c r="T39" t="str">
        <v>Product Management</v>
      </c>
      <c r="U39">
        <v>38438.239999999998</v>
      </c>
    </row>
    <row r="40" spans="2:21" x14ac:dyDescent="0.25">
      <c r="B40" t="str">
        <v>VT02801</v>
      </c>
      <c r="C40" t="str">
        <v>Shellysheldon</v>
      </c>
      <c r="D40" t="str">
        <v>Mahady</v>
      </c>
      <c r="E40" t="str">
        <v>Male</v>
      </c>
      <c r="F40">
        <v>114691.03</v>
      </c>
      <c r="P40" t="str">
        <v>SQ00960</v>
      </c>
      <c r="Q40" t="str">
        <v>Calvin</v>
      </c>
      <c r="R40" t="str">
        <v>O'Carroll</v>
      </c>
      <c r="S40" t="str">
        <v>Female</v>
      </c>
      <c r="T40" t="str">
        <v>Research and Development</v>
      </c>
      <c r="U40">
        <v>44447.26</v>
      </c>
    </row>
    <row r="41" spans="2:21" x14ac:dyDescent="0.25">
      <c r="B41" t="str">
        <v>VT03421</v>
      </c>
      <c r="C41" t="str">
        <v>Alic</v>
      </c>
      <c r="D41" t="str">
        <v>Bagg</v>
      </c>
      <c r="E41" t="str">
        <v>Male</v>
      </c>
      <c r="F41">
        <v>113747.56</v>
      </c>
      <c r="P41" t="str">
        <v>SQ01283</v>
      </c>
      <c r="Q41" t="str">
        <v>Barr</v>
      </c>
      <c r="R41" t="str">
        <v>Faughny</v>
      </c>
      <c r="S41" t="str">
        <v>Female</v>
      </c>
      <c r="T41" t="str">
        <v>Marketing</v>
      </c>
      <c r="U41">
        <v>68008.55</v>
      </c>
    </row>
    <row r="42" spans="2:21" x14ac:dyDescent="0.25">
      <c r="B42" t="str">
        <v>VT03421</v>
      </c>
      <c r="C42" t="str">
        <v>Alic</v>
      </c>
      <c r="D42" t="str">
        <v>Bagg</v>
      </c>
      <c r="E42" t="str">
        <v>Male</v>
      </c>
      <c r="F42">
        <v>113747.56</v>
      </c>
      <c r="P42" t="str">
        <v>SQ01402</v>
      </c>
      <c r="Q42" t="str">
        <v>Sahaj</v>
      </c>
      <c r="R42" t="str">
        <v>Jonnalagadda</v>
      </c>
      <c r="S42" t="str">
        <v>Female</v>
      </c>
      <c r="T42" t="str">
        <v>Engineering</v>
      </c>
      <c r="U42">
        <v>44403.77</v>
      </c>
    </row>
    <row r="43" spans="2:21" x14ac:dyDescent="0.25">
      <c r="B43" t="str">
        <v>VT04028</v>
      </c>
      <c r="C43" t="str">
        <v>Michale</v>
      </c>
      <c r="D43" t="str">
        <v>Rolf</v>
      </c>
      <c r="E43" t="str">
        <v>Male</v>
      </c>
      <c r="F43">
        <v>111815.49</v>
      </c>
      <c r="P43" t="str">
        <v>SQ01730</v>
      </c>
      <c r="Q43" t="str">
        <v>Austine</v>
      </c>
      <c r="R43" t="str">
        <v>Littlewood</v>
      </c>
      <c r="S43" t="str">
        <v>Female</v>
      </c>
      <c r="T43" t="str">
        <v>Services</v>
      </c>
      <c r="U43">
        <v>32269.91</v>
      </c>
    </row>
    <row r="44" spans="2:21" x14ac:dyDescent="0.25">
      <c r="B44" t="str">
        <v>VT04028</v>
      </c>
      <c r="C44" t="str">
        <v>Michale</v>
      </c>
      <c r="D44" t="str">
        <v>Rolf</v>
      </c>
      <c r="E44" t="str">
        <v>Male</v>
      </c>
      <c r="F44">
        <v>111815.49</v>
      </c>
      <c r="P44" t="str">
        <v>SQ01854</v>
      </c>
      <c r="Q44" t="str">
        <v>Jessica</v>
      </c>
      <c r="R44" t="str">
        <v>Callcott</v>
      </c>
      <c r="S44" t="str">
        <v>Female</v>
      </c>
      <c r="T44" t="str">
        <v>Marketing</v>
      </c>
      <c r="U44">
        <v>66017.179999999993</v>
      </c>
    </row>
    <row r="45" spans="2:21" x14ac:dyDescent="0.25">
      <c r="B45" t="str">
        <v>VT04093</v>
      </c>
      <c r="C45" t="str">
        <v>Prasanna</v>
      </c>
      <c r="D45" t="str">
        <v>Lakshmi</v>
      </c>
      <c r="E45" t="str">
        <v>Female</v>
      </c>
      <c r="F45">
        <v>116767.63</v>
      </c>
      <c r="P45" t="str">
        <v>SQ02174</v>
      </c>
      <c r="Q45" t="str">
        <v>Sidoney</v>
      </c>
      <c r="R45" t="str">
        <v>Yitzhok</v>
      </c>
      <c r="S45" t="str">
        <v>Female</v>
      </c>
      <c r="T45" t="str">
        <v>Engineering</v>
      </c>
      <c r="U45">
        <v>118442.54</v>
      </c>
    </row>
    <row r="46" spans="2:21" x14ac:dyDescent="0.25">
      <c r="B46" t="str">
        <v>VT04093</v>
      </c>
      <c r="C46" t="str">
        <v>Baruna</v>
      </c>
      <c r="D46" t="str">
        <v>Ogale</v>
      </c>
      <c r="E46" t="str">
        <v>Female</v>
      </c>
      <c r="F46">
        <v>116767.63</v>
      </c>
      <c r="P46" t="str">
        <v>SQ02223</v>
      </c>
      <c r="Q46" t="str">
        <v>Pippy</v>
      </c>
      <c r="R46" t="str">
        <v>Shepperd</v>
      </c>
      <c r="S46" t="str">
        <v>Female</v>
      </c>
      <c r="T46" t="str">
        <v>Accounting</v>
      </c>
      <c r="U46">
        <v>44845.33</v>
      </c>
    </row>
    <row r="47" spans="2:21" x14ac:dyDescent="0.25">
      <c r="B47" t="str">
        <v>VT04350</v>
      </c>
      <c r="C47" t="str">
        <v>Kulbhushan</v>
      </c>
      <c r="D47" t="str">
        <v>Moorthy</v>
      </c>
      <c r="E47" t="str">
        <v>Male</v>
      </c>
      <c r="F47">
        <v>106400.02</v>
      </c>
      <c r="P47" t="str">
        <v>SQ02465</v>
      </c>
      <c r="Q47" t="str">
        <v>Bernie</v>
      </c>
      <c r="R47" t="str">
        <v>Gorges</v>
      </c>
      <c r="S47" t="str">
        <v>Female</v>
      </c>
      <c r="T47" t="str">
        <v>Training</v>
      </c>
      <c r="U47">
        <v>99965.97</v>
      </c>
    </row>
    <row r="48" spans="2:21" x14ac:dyDescent="0.25">
      <c r="B48" t="str">
        <v>VT04350</v>
      </c>
      <c r="C48" t="str">
        <v>Lalit</v>
      </c>
      <c r="D48" t="str">
        <v>Kothari</v>
      </c>
      <c r="E48" t="str">
        <v>Male</v>
      </c>
      <c r="F48">
        <v>106400.02</v>
      </c>
      <c r="P48" t="str">
        <v>SQ02565</v>
      </c>
      <c r="Q48" t="str">
        <v>Konstantin</v>
      </c>
      <c r="R48" t="str">
        <v>Timblett</v>
      </c>
      <c r="S48" t="str">
        <v>Female</v>
      </c>
      <c r="T48" t="str">
        <v>Training</v>
      </c>
      <c r="U48">
        <v>56253.81</v>
      </c>
    </row>
    <row r="49" spans="2:21" x14ac:dyDescent="0.25">
      <c r="B49" t="str">
        <v>VT04552</v>
      </c>
      <c r="C49" t="str">
        <v>Theresita</v>
      </c>
      <c r="D49" t="str">
        <v>Chasmer</v>
      </c>
      <c r="E49" t="str">
        <v>Female</v>
      </c>
      <c r="F49">
        <v>106665.67</v>
      </c>
      <c r="P49" t="str">
        <v>SQ02582</v>
      </c>
      <c r="Q49" t="str">
        <v>Kaishori</v>
      </c>
      <c r="R49" t="str">
        <v>Harathi</v>
      </c>
      <c r="S49" t="str">
        <v>Female</v>
      </c>
      <c r="T49" t="str">
        <v>Product Management</v>
      </c>
      <c r="U49">
        <v>51798.25</v>
      </c>
    </row>
    <row r="50" spans="2:21" x14ac:dyDescent="0.25">
      <c r="B50" t="str">
        <v>VT04681</v>
      </c>
      <c r="C50" t="str">
        <v>Nickolai</v>
      </c>
      <c r="D50" t="str">
        <v>Artin</v>
      </c>
      <c r="E50" t="str">
        <v>Female</v>
      </c>
      <c r="F50">
        <v>110906.35</v>
      </c>
      <c r="P50" t="str">
        <v>SQ02624</v>
      </c>
      <c r="Q50" t="str">
        <v>Gwenneth</v>
      </c>
      <c r="R50" t="str">
        <v>Fealey</v>
      </c>
      <c r="S50" t="str">
        <v>Female</v>
      </c>
      <c r="T50" t="str">
        <v>Engineering</v>
      </c>
      <c r="U50">
        <v>114772.32</v>
      </c>
    </row>
    <row r="51" spans="2:21" ht="20.25" thickBot="1" x14ac:dyDescent="0.35">
      <c r="B51" s="27"/>
      <c r="P51" t="str">
        <v>SQ02643</v>
      </c>
      <c r="Q51" t="str">
        <v>Indu</v>
      </c>
      <c r="R51" t="str">
        <v>Varada</v>
      </c>
      <c r="S51" t="str">
        <v>Female</v>
      </c>
      <c r="T51" t="str">
        <v>Engineering</v>
      </c>
      <c r="U51">
        <v>88425.08</v>
      </c>
    </row>
    <row r="52" spans="2:21" ht="15.75" thickTop="1" x14ac:dyDescent="0.25">
      <c r="P52" t="str">
        <v>SQ02703</v>
      </c>
      <c r="Q52" t="str">
        <v>Deepit</v>
      </c>
      <c r="R52" t="str">
        <v>Ranjana</v>
      </c>
      <c r="S52" t="str">
        <v>Female</v>
      </c>
      <c r="T52" t="str">
        <v>Marketing</v>
      </c>
      <c r="U52">
        <v>104903.79</v>
      </c>
    </row>
    <row r="53" spans="2:21" x14ac:dyDescent="0.25">
      <c r="P53" t="str">
        <v>SQ03024</v>
      </c>
      <c r="Q53" t="str">
        <v>Inge</v>
      </c>
      <c r="R53" t="str">
        <v>Creer</v>
      </c>
      <c r="S53" t="str">
        <v>Female</v>
      </c>
      <c r="T53" t="str">
        <v>Services</v>
      </c>
      <c r="U53">
        <v>69057.320000000007</v>
      </c>
    </row>
    <row r="54" spans="2:21" x14ac:dyDescent="0.25">
      <c r="P54" t="str">
        <v>SQ03024</v>
      </c>
      <c r="Q54" t="str">
        <v>Inge</v>
      </c>
      <c r="R54" t="str">
        <v>Creer</v>
      </c>
      <c r="S54" t="str">
        <v>Female</v>
      </c>
      <c r="T54" t="str">
        <v>Services</v>
      </c>
      <c r="U54">
        <v>69057.320000000007</v>
      </c>
    </row>
    <row r="55" spans="2:21" x14ac:dyDescent="0.25">
      <c r="P55" t="str">
        <v>SQ03321</v>
      </c>
      <c r="Q55" t="str">
        <v>Gradey</v>
      </c>
      <c r="R55" t="str">
        <v>Litton</v>
      </c>
      <c r="S55" t="str">
        <v>Female</v>
      </c>
      <c r="T55" t="str">
        <v>Accounting</v>
      </c>
      <c r="U55">
        <v>68887.839999999997</v>
      </c>
    </row>
    <row r="56" spans="2:21" x14ac:dyDescent="0.25">
      <c r="P56" t="str">
        <v>SQ03350</v>
      </c>
      <c r="Q56" t="str">
        <v>Felice</v>
      </c>
      <c r="R56" t="str">
        <v>McMurty</v>
      </c>
      <c r="S56" t="str">
        <v>Female</v>
      </c>
      <c r="T56" t="str">
        <v>Product Management</v>
      </c>
      <c r="U56">
        <v>66865.490000000005</v>
      </c>
    </row>
    <row r="57" spans="2:21" x14ac:dyDescent="0.25">
      <c r="P57" t="str">
        <v>SQ03350</v>
      </c>
      <c r="Q57" t="str">
        <v>Felice</v>
      </c>
      <c r="R57" t="str">
        <v>McMurty</v>
      </c>
      <c r="S57" t="str">
        <v>Female</v>
      </c>
      <c r="T57" t="str">
        <v>Product Management</v>
      </c>
      <c r="U57">
        <v>66865.490000000005</v>
      </c>
    </row>
    <row r="58" spans="2:21" x14ac:dyDescent="0.25">
      <c r="P58" t="str">
        <v>SQ03387</v>
      </c>
      <c r="Q58" t="str">
        <v>Robinia</v>
      </c>
      <c r="R58" t="str">
        <v>Scholling</v>
      </c>
      <c r="S58" t="str">
        <v>Female</v>
      </c>
      <c r="T58" t="str">
        <v>Human Resources</v>
      </c>
      <c r="U58">
        <v>100731.95</v>
      </c>
    </row>
    <row r="59" spans="2:21" x14ac:dyDescent="0.25">
      <c r="P59" t="str">
        <v>SQ03491</v>
      </c>
      <c r="Q59" t="str">
        <v>Freda</v>
      </c>
      <c r="R59" t="str">
        <v>Legan</v>
      </c>
      <c r="S59" t="str">
        <v>Female</v>
      </c>
      <c r="T59" t="str">
        <v>Sales</v>
      </c>
      <c r="U59">
        <v>102129.37</v>
      </c>
    </row>
    <row r="60" spans="2:21" x14ac:dyDescent="0.25">
      <c r="P60" t="str">
        <v>SQ03546</v>
      </c>
      <c r="Q60" t="str">
        <v>Amlankusum</v>
      </c>
      <c r="R60" t="str">
        <v>Rajabhushan</v>
      </c>
      <c r="S60" t="str">
        <v>Female</v>
      </c>
      <c r="T60" t="str">
        <v>Legal</v>
      </c>
      <c r="U60">
        <v>75733.740000000005</v>
      </c>
    </row>
    <row r="61" spans="2:21" x14ac:dyDescent="0.25">
      <c r="P61" t="str">
        <v>SQ03625</v>
      </c>
      <c r="Q61" t="str">
        <v>Fidela</v>
      </c>
      <c r="R61" t="str">
        <v>Artis</v>
      </c>
      <c r="S61" t="str">
        <v>Female</v>
      </c>
      <c r="T61" t="str">
        <v>Sales</v>
      </c>
      <c r="U61">
        <v>78020.39</v>
      </c>
    </row>
    <row r="62" spans="2:21" x14ac:dyDescent="0.25">
      <c r="P62" t="str">
        <v>SQ03626</v>
      </c>
      <c r="Q62" t="str">
        <v>Krishnakanta</v>
      </c>
      <c r="R62" t="str">
        <v>Vellanki</v>
      </c>
      <c r="S62" t="str">
        <v>Female</v>
      </c>
      <c r="T62" t="str">
        <v>Training</v>
      </c>
      <c r="U62">
        <v>95677.9</v>
      </c>
    </row>
    <row r="63" spans="2:21" x14ac:dyDescent="0.25">
      <c r="P63" t="str">
        <v>SQ04437</v>
      </c>
      <c r="Q63" t="str">
        <v>Hephzibah</v>
      </c>
      <c r="R63" t="str">
        <v>Summerell</v>
      </c>
      <c r="S63" t="str">
        <v>Female</v>
      </c>
      <c r="T63" t="str">
        <v>Services</v>
      </c>
      <c r="U63">
        <v>28305.08</v>
      </c>
    </row>
    <row r="64" spans="2:21" x14ac:dyDescent="0.25">
      <c r="P64" t="str">
        <v>SQ04612</v>
      </c>
      <c r="Q64" t="str">
        <v>Mick</v>
      </c>
      <c r="R64" t="str">
        <v>Spraberry</v>
      </c>
      <c r="S64" t="str">
        <v>Female</v>
      </c>
      <c r="T64" t="str">
        <v>Services</v>
      </c>
      <c r="U64">
        <v>120000</v>
      </c>
    </row>
    <row r="65" spans="16:21" x14ac:dyDescent="0.25">
      <c r="P65" t="str">
        <v>SQ04613</v>
      </c>
      <c r="Q65" t="str">
        <v>Sarojini</v>
      </c>
      <c r="R65" t="str">
        <v>Naueshwara</v>
      </c>
      <c r="S65" t="str">
        <v>Female</v>
      </c>
      <c r="T65" t="str">
        <v>Human Resources</v>
      </c>
      <c r="U65">
        <v>85264.38</v>
      </c>
    </row>
    <row r="66" spans="16:21" x14ac:dyDescent="0.25">
      <c r="P66" t="str">
        <v>SQ04960</v>
      </c>
      <c r="Q66" t="str">
        <v>Shubhra</v>
      </c>
      <c r="R66" t="str">
        <v>Potla</v>
      </c>
      <c r="S66" t="str">
        <v>Female</v>
      </c>
      <c r="T66" t="str">
        <v>Support</v>
      </c>
      <c r="U66">
        <v>71924.850000000006</v>
      </c>
    </row>
    <row r="67" spans="16:21" x14ac:dyDescent="0.25">
      <c r="P67" t="str">
        <v>TN00083</v>
      </c>
      <c r="Q67" t="str">
        <v>Chandana</v>
      </c>
      <c r="R67" t="str">
        <v>Sannidhi</v>
      </c>
      <c r="S67" t="str">
        <v>Female</v>
      </c>
      <c r="T67" t="str">
        <v>Business Development</v>
      </c>
      <c r="U67">
        <v>61688.77</v>
      </c>
    </row>
    <row r="68" spans="16:21" x14ac:dyDescent="0.25">
      <c r="P68" t="str">
        <v>TN00182</v>
      </c>
      <c r="Q68" t="str">
        <v>Camilla</v>
      </c>
      <c r="R68" t="str">
        <v>Castle</v>
      </c>
      <c r="S68" t="str">
        <v>Female</v>
      </c>
      <c r="T68" t="str">
        <v>Product Management</v>
      </c>
      <c r="U68">
        <v>75475.929999999993</v>
      </c>
    </row>
    <row r="69" spans="16:21" x14ac:dyDescent="0.25">
      <c r="P69" t="str">
        <v>TN00214</v>
      </c>
      <c r="Q69" t="str">
        <v>Devsena</v>
      </c>
      <c r="R69" t="str">
        <v>Veluvalapalli</v>
      </c>
      <c r="S69" t="str">
        <v>Female</v>
      </c>
      <c r="T69" t="str">
        <v>Training</v>
      </c>
      <c r="U69">
        <v>37902.35</v>
      </c>
    </row>
    <row r="70" spans="16:21" x14ac:dyDescent="0.25">
      <c r="P70" t="str">
        <v>TN00214</v>
      </c>
      <c r="Q70" t="str">
        <v>Hemavati</v>
      </c>
      <c r="R70" t="str">
        <v>Muthiah</v>
      </c>
      <c r="S70" t="str">
        <v>Female</v>
      </c>
      <c r="T70" t="str">
        <v>Training</v>
      </c>
      <c r="U70">
        <v>37902.35</v>
      </c>
    </row>
    <row r="71" spans="16:21" x14ac:dyDescent="0.25">
      <c r="P71" t="str">
        <v>TN00227</v>
      </c>
      <c r="Q71" t="str">
        <v>Raghuveer</v>
      </c>
      <c r="R71" t="str">
        <v>Yettugunna</v>
      </c>
      <c r="S71" t="str">
        <v>Female</v>
      </c>
      <c r="T71" t="str">
        <v>Support</v>
      </c>
      <c r="U71">
        <v>63555.73</v>
      </c>
    </row>
    <row r="72" spans="16:21" x14ac:dyDescent="0.25">
      <c r="P72" t="str">
        <v>TN00258</v>
      </c>
      <c r="Q72" t="str">
        <v>Joyce</v>
      </c>
      <c r="R72" t="str">
        <v>Leyband</v>
      </c>
      <c r="S72" t="str">
        <v>Female</v>
      </c>
      <c r="T72" t="str">
        <v>Product Management</v>
      </c>
      <c r="U72">
        <v>68197.899999999994</v>
      </c>
    </row>
    <row r="73" spans="16:21" x14ac:dyDescent="0.25">
      <c r="P73" t="str">
        <v>TN00328</v>
      </c>
      <c r="Q73" t="str">
        <v>Jeannie</v>
      </c>
      <c r="R73" t="str">
        <v>Petracco</v>
      </c>
      <c r="S73" t="str">
        <v>Female</v>
      </c>
      <c r="T73" t="str">
        <v>Engineering</v>
      </c>
      <c r="U73">
        <v>94815.28</v>
      </c>
    </row>
    <row r="74" spans="16:21" x14ac:dyDescent="0.25">
      <c r="P74" t="str">
        <v>TN00579</v>
      </c>
      <c r="Q74" t="str">
        <v>Rafaelita</v>
      </c>
      <c r="R74" t="str">
        <v>Blaksland</v>
      </c>
      <c r="S74" t="str">
        <v>Female</v>
      </c>
      <c r="T74" t="str">
        <v>Services</v>
      </c>
      <c r="U74">
        <v>109163.39</v>
      </c>
    </row>
    <row r="75" spans="16:21" x14ac:dyDescent="0.25">
      <c r="P75" t="str">
        <v>TN00698</v>
      </c>
      <c r="Q75" t="str">
        <v>Barbara-anne</v>
      </c>
      <c r="R75" t="str">
        <v>Kenchington</v>
      </c>
      <c r="S75" t="str">
        <v>Female</v>
      </c>
      <c r="T75" t="str">
        <v>Support</v>
      </c>
      <c r="U75">
        <v>88034.67</v>
      </c>
    </row>
    <row r="76" spans="16:21" x14ac:dyDescent="0.25">
      <c r="P76" t="str">
        <v>TN00727</v>
      </c>
      <c r="Q76" t="str">
        <v>Dulsea</v>
      </c>
      <c r="R76" t="str">
        <v>Folkes</v>
      </c>
      <c r="S76" t="str">
        <v>Female</v>
      </c>
      <c r="T76" t="str">
        <v>Services</v>
      </c>
      <c r="U76">
        <v>42161.77</v>
      </c>
    </row>
    <row r="77" spans="16:21" x14ac:dyDescent="0.25">
      <c r="P77" t="str">
        <v>TN00890</v>
      </c>
      <c r="Q77" t="str">
        <v>Mayur</v>
      </c>
      <c r="R77" t="str">
        <v>Kousika</v>
      </c>
      <c r="S77" t="str">
        <v>Female</v>
      </c>
      <c r="T77" t="str">
        <v>Training</v>
      </c>
      <c r="U77">
        <v>71570.990000000005</v>
      </c>
    </row>
    <row r="78" spans="16:21" x14ac:dyDescent="0.25">
      <c r="P78" t="str">
        <v>TN01281</v>
      </c>
      <c r="Q78" t="str">
        <v>Cletus</v>
      </c>
      <c r="R78" t="str">
        <v>McGarahan</v>
      </c>
      <c r="S78" t="str">
        <v>Female</v>
      </c>
      <c r="T78" t="str">
        <v>Engineering</v>
      </c>
      <c r="U78">
        <v>114425.19</v>
      </c>
    </row>
    <row r="79" spans="16:21" x14ac:dyDescent="0.25">
      <c r="P79" t="str">
        <v>TN01601</v>
      </c>
      <c r="Q79" t="str">
        <v>Melva</v>
      </c>
      <c r="R79" t="str">
        <v>Jickells</v>
      </c>
      <c r="S79" t="str">
        <v>Female</v>
      </c>
      <c r="T79" t="str">
        <v>Product Management</v>
      </c>
      <c r="U79">
        <v>68795.48</v>
      </c>
    </row>
    <row r="80" spans="16:21" x14ac:dyDescent="0.25">
      <c r="P80" t="str">
        <v>TN01601</v>
      </c>
      <c r="Q80" t="str">
        <v>Melva</v>
      </c>
      <c r="R80" t="str">
        <v>Jickells</v>
      </c>
      <c r="S80" t="str">
        <v>Female</v>
      </c>
      <c r="T80" t="str">
        <v>Product Management</v>
      </c>
      <c r="U80">
        <v>68795.48</v>
      </c>
    </row>
    <row r="81" spans="16:21" x14ac:dyDescent="0.25">
      <c r="P81" t="str">
        <v>TN02570</v>
      </c>
      <c r="Q81" t="str">
        <v>Grady</v>
      </c>
      <c r="R81" t="str">
        <v>Rochelle</v>
      </c>
      <c r="S81" t="str">
        <v>Female</v>
      </c>
      <c r="T81" t="str">
        <v>Accounting</v>
      </c>
      <c r="U81">
        <v>69163.39</v>
      </c>
    </row>
    <row r="82" spans="16:21" x14ac:dyDescent="0.25">
      <c r="P82" t="str">
        <v>TN02570</v>
      </c>
      <c r="Q82" t="str">
        <v>Grady</v>
      </c>
      <c r="R82" t="str">
        <v>Rochelle</v>
      </c>
      <c r="S82" t="str">
        <v>Female</v>
      </c>
      <c r="T82" t="str">
        <v>Accounting</v>
      </c>
      <c r="U82">
        <v>69163.39</v>
      </c>
    </row>
    <row r="83" spans="16:21" x14ac:dyDescent="0.25">
      <c r="P83" t="str">
        <v>TN02727</v>
      </c>
      <c r="Q83" t="str">
        <v>Wald</v>
      </c>
      <c r="R83" t="str">
        <v>Bountiff</v>
      </c>
      <c r="S83" t="str">
        <v>Female</v>
      </c>
      <c r="T83" t="str">
        <v>Support</v>
      </c>
      <c r="U83">
        <v>28974.03</v>
      </c>
    </row>
    <row r="84" spans="16:21" x14ac:dyDescent="0.25">
      <c r="P84" t="str">
        <v>TN02749</v>
      </c>
      <c r="Q84" t="str">
        <v>Parasuramudu</v>
      </c>
      <c r="R84" t="str">
        <v>Jamakayala</v>
      </c>
      <c r="S84" t="str">
        <v>Female</v>
      </c>
      <c r="T84" t="str">
        <v>Training</v>
      </c>
      <c r="U84">
        <v>57002.02</v>
      </c>
    </row>
    <row r="85" spans="16:21" x14ac:dyDescent="0.25">
      <c r="P85" t="str">
        <v>TN02798</v>
      </c>
      <c r="Q85" t="str">
        <v>Krittika</v>
      </c>
      <c r="R85" t="str">
        <v>Gaekwad</v>
      </c>
      <c r="S85" t="str">
        <v>Female</v>
      </c>
      <c r="T85" t="str">
        <v>Business Development</v>
      </c>
      <c r="U85">
        <v>33031.26</v>
      </c>
    </row>
    <row r="86" spans="16:21" x14ac:dyDescent="0.25">
      <c r="P86" t="str">
        <v>TN02883</v>
      </c>
      <c r="Q86" t="str">
        <v>John</v>
      </c>
      <c r="R86" t="str">
        <v>Joseph</v>
      </c>
      <c r="S86" t="str">
        <v>Female</v>
      </c>
      <c r="T86" t="str">
        <v>Sales</v>
      </c>
      <c r="U86">
        <v>84762.76</v>
      </c>
    </row>
    <row r="87" spans="16:21" x14ac:dyDescent="0.25">
      <c r="P87" t="str">
        <v>TN03032</v>
      </c>
      <c r="Q87" t="str">
        <v>Jaipal</v>
      </c>
      <c r="R87" t="str">
        <v>Potanapudi</v>
      </c>
      <c r="S87" t="str">
        <v>Female</v>
      </c>
      <c r="T87" t="str">
        <v>Research and Development</v>
      </c>
      <c r="U87">
        <v>39700.82</v>
      </c>
    </row>
    <row r="88" spans="16:21" x14ac:dyDescent="0.25">
      <c r="P88" t="str">
        <v>TN03032</v>
      </c>
      <c r="Q88" t="str">
        <v>Fullara</v>
      </c>
      <c r="R88" t="str">
        <v>Sushanti</v>
      </c>
      <c r="S88" t="str">
        <v>Female</v>
      </c>
      <c r="T88" t="str">
        <v>Research and Development</v>
      </c>
      <c r="U88">
        <v>39700.82</v>
      </c>
    </row>
    <row r="89" spans="16:21" x14ac:dyDescent="0.25">
      <c r="P89" t="str">
        <v>TN03169</v>
      </c>
      <c r="Q89" t="str">
        <v>Doe</v>
      </c>
      <c r="R89" t="str">
        <v>Clubley</v>
      </c>
      <c r="S89" t="str">
        <v>Female</v>
      </c>
      <c r="T89" t="str">
        <v>Product Management</v>
      </c>
      <c r="U89">
        <v>67818.14</v>
      </c>
    </row>
    <row r="90" spans="16:21" x14ac:dyDescent="0.25">
      <c r="P90" t="str">
        <v>TN03169</v>
      </c>
      <c r="Q90" t="str">
        <v>Doe</v>
      </c>
      <c r="R90" t="str">
        <v>Clubley</v>
      </c>
      <c r="S90" t="str">
        <v>Female</v>
      </c>
      <c r="T90" t="str">
        <v>Product Management</v>
      </c>
      <c r="U90">
        <v>67818.14</v>
      </c>
    </row>
    <row r="91" spans="16:21" x14ac:dyDescent="0.25">
      <c r="P91" t="str">
        <v>TN03575</v>
      </c>
      <c r="Q91" t="str">
        <v>Janina</v>
      </c>
      <c r="R91" t="str">
        <v>Wolverson</v>
      </c>
      <c r="S91" t="str">
        <v>Female</v>
      </c>
      <c r="T91" t="str">
        <v>Research and Development</v>
      </c>
      <c r="U91">
        <v>99683.67</v>
      </c>
    </row>
    <row r="92" spans="16:21" x14ac:dyDescent="0.25">
      <c r="P92" t="str">
        <v>TN03575</v>
      </c>
      <c r="Q92" t="str">
        <v>Janina</v>
      </c>
      <c r="R92" t="str">
        <v>Wolverson</v>
      </c>
      <c r="S92" t="str">
        <v>Female</v>
      </c>
      <c r="T92" t="str">
        <v>Research and Development</v>
      </c>
      <c r="U92">
        <v>99683.67</v>
      </c>
    </row>
    <row r="93" spans="16:21" x14ac:dyDescent="0.25">
      <c r="P93" t="str">
        <v>TN04067</v>
      </c>
      <c r="Q93" t="str">
        <v>Lea</v>
      </c>
      <c r="R93" t="str">
        <v>Chaplin</v>
      </c>
      <c r="S93" t="str">
        <v>Female</v>
      </c>
      <c r="T93" t="str">
        <v>Human Resources</v>
      </c>
      <c r="U93">
        <v>73488.679999999993</v>
      </c>
    </row>
    <row r="94" spans="16:21" x14ac:dyDescent="0.25">
      <c r="P94" t="str">
        <v>TN04166</v>
      </c>
      <c r="Q94" t="str">
        <v>Tadio</v>
      </c>
      <c r="R94" t="str">
        <v>Dowdle</v>
      </c>
      <c r="S94" t="str">
        <v>Female</v>
      </c>
      <c r="T94" t="str">
        <v>Product Management</v>
      </c>
      <c r="U94">
        <v>91929.69</v>
      </c>
    </row>
    <row r="95" spans="16:21" x14ac:dyDescent="0.25">
      <c r="P95" t="str">
        <v>TN04175</v>
      </c>
      <c r="Q95" t="str">
        <v>Hinda</v>
      </c>
      <c r="R95" t="str">
        <v>Label</v>
      </c>
      <c r="S95" t="str">
        <v>Female</v>
      </c>
      <c r="T95" t="str">
        <v>Human Resources</v>
      </c>
      <c r="U95">
        <v>92704.48</v>
      </c>
    </row>
    <row r="96" spans="16:21" x14ac:dyDescent="0.25">
      <c r="P96" t="str">
        <v>TN04246</v>
      </c>
      <c r="Q96" t="str">
        <v>Shaylyn</v>
      </c>
      <c r="R96" t="str">
        <v>Ransbury</v>
      </c>
      <c r="S96" t="str">
        <v>Female</v>
      </c>
      <c r="T96" t="str">
        <v>Support</v>
      </c>
      <c r="U96">
        <v>100371.31</v>
      </c>
    </row>
    <row r="97" spans="16:21" x14ac:dyDescent="0.25">
      <c r="P97" t="str">
        <v>TN04265</v>
      </c>
      <c r="Q97" t="str">
        <v>Rushil</v>
      </c>
      <c r="R97" t="str">
        <v>Kripa</v>
      </c>
      <c r="S97" t="str">
        <v>Female</v>
      </c>
      <c r="T97" t="str">
        <v>Training</v>
      </c>
      <c r="U97">
        <v>93964.3</v>
      </c>
    </row>
    <row r="98" spans="16:21" x14ac:dyDescent="0.25">
      <c r="P98" t="str">
        <v>TN04740</v>
      </c>
      <c r="Q98" t="str">
        <v>Tristam</v>
      </c>
      <c r="R98" t="str">
        <v>Cuming</v>
      </c>
      <c r="S98" t="str">
        <v>Female</v>
      </c>
      <c r="T98" t="str">
        <v>Support</v>
      </c>
      <c r="U98">
        <v>104038.9</v>
      </c>
    </row>
    <row r="99" spans="16:21" x14ac:dyDescent="0.25">
      <c r="P99" t="str">
        <v>TN04775</v>
      </c>
      <c r="Q99" t="str">
        <v>Hridaynath</v>
      </c>
      <c r="R99" t="str">
        <v>Tendulkar</v>
      </c>
      <c r="S99" t="str">
        <v>Female</v>
      </c>
      <c r="T99" t="str">
        <v>Legal</v>
      </c>
      <c r="U99">
        <v>31089.22</v>
      </c>
    </row>
    <row r="100" spans="16:21" x14ac:dyDescent="0.25">
      <c r="P100" t="str">
        <v>VT00194</v>
      </c>
      <c r="Q100" t="str">
        <v>Violante</v>
      </c>
      <c r="R100" t="str">
        <v>Courtonne</v>
      </c>
      <c r="S100" t="str">
        <v>Female</v>
      </c>
      <c r="T100" t="str">
        <v>Product Management</v>
      </c>
      <c r="U100">
        <v>49625.64</v>
      </c>
    </row>
    <row r="101" spans="16:21" x14ac:dyDescent="0.25">
      <c r="P101" t="str">
        <v>VT00578</v>
      </c>
      <c r="Q101" t="str">
        <v>Magnum</v>
      </c>
      <c r="R101" t="str">
        <v>Locksley</v>
      </c>
      <c r="S101" t="str">
        <v>Female</v>
      </c>
      <c r="T101" t="str">
        <v>Services</v>
      </c>
      <c r="U101">
        <v>42314.39</v>
      </c>
    </row>
    <row r="102" spans="16:21" x14ac:dyDescent="0.25">
      <c r="P102" t="str">
        <v>VT00596</v>
      </c>
      <c r="Q102" t="str">
        <v>Letisha</v>
      </c>
      <c r="R102" t="str">
        <v>Carrett</v>
      </c>
      <c r="S102" t="str">
        <v>Female</v>
      </c>
      <c r="T102" t="str">
        <v>Sales</v>
      </c>
      <c r="U102">
        <v>84598.88</v>
      </c>
    </row>
    <row r="103" spans="16:21" x14ac:dyDescent="0.25">
      <c r="P103" t="str">
        <v>VT00596</v>
      </c>
      <c r="Q103" t="str">
        <v>Letisha</v>
      </c>
      <c r="R103" t="str">
        <v>Carrett</v>
      </c>
      <c r="S103" t="str">
        <v>Female</v>
      </c>
      <c r="T103" t="str">
        <v>Sales</v>
      </c>
      <c r="U103">
        <v>84598.88</v>
      </c>
    </row>
    <row r="104" spans="16:21" x14ac:dyDescent="0.25">
      <c r="P104" t="str">
        <v>VT00740</v>
      </c>
      <c r="Q104" t="str">
        <v>Chitrasen</v>
      </c>
      <c r="R104" t="str">
        <v>Laul</v>
      </c>
      <c r="S104" t="str">
        <v>Female</v>
      </c>
      <c r="T104" t="str">
        <v>Research and Development</v>
      </c>
      <c r="U104">
        <v>46751.7</v>
      </c>
    </row>
    <row r="105" spans="16:21" x14ac:dyDescent="0.25">
      <c r="P105" t="str">
        <v>VT01249</v>
      </c>
      <c r="Q105" t="str">
        <v>Brendan</v>
      </c>
      <c r="R105" t="str">
        <v>Edgeller</v>
      </c>
      <c r="S105" t="str">
        <v>Female</v>
      </c>
      <c r="T105" t="str">
        <v>Legal</v>
      </c>
      <c r="U105">
        <v>31042.51</v>
      </c>
    </row>
    <row r="106" spans="16:21" x14ac:dyDescent="0.25">
      <c r="P106" t="str">
        <v>VT01323</v>
      </c>
      <c r="Q106" t="str">
        <v>Mardav</v>
      </c>
      <c r="R106" t="str">
        <v>Ramaswami</v>
      </c>
      <c r="S106" t="str">
        <v>Female</v>
      </c>
      <c r="T106" t="str">
        <v>Business Development</v>
      </c>
      <c r="U106">
        <v>86233.83</v>
      </c>
    </row>
    <row r="107" spans="16:21" x14ac:dyDescent="0.25">
      <c r="P107" t="str">
        <v>VT01523</v>
      </c>
      <c r="Q107" t="str">
        <v>Charmane</v>
      </c>
      <c r="R107" t="str">
        <v>Heistermann</v>
      </c>
      <c r="S107" t="str">
        <v>Female</v>
      </c>
      <c r="T107" t="str">
        <v>Business Development</v>
      </c>
      <c r="U107">
        <v>86558.58</v>
      </c>
    </row>
    <row r="108" spans="16:21" x14ac:dyDescent="0.25">
      <c r="P108" t="str">
        <v>VT01610</v>
      </c>
      <c r="Q108" t="str">
        <v>Dhruv</v>
      </c>
      <c r="R108" t="str">
        <v>Manjunath</v>
      </c>
      <c r="S108" t="str">
        <v>Female</v>
      </c>
      <c r="T108" t="str">
        <v>Accounting</v>
      </c>
      <c r="U108">
        <v>76303.820000000007</v>
      </c>
    </row>
    <row r="109" spans="16:21" x14ac:dyDescent="0.25">
      <c r="P109" t="str">
        <v>VT01610</v>
      </c>
      <c r="Q109" t="str">
        <v>Kunja</v>
      </c>
      <c r="R109" t="str">
        <v>Prashanta</v>
      </c>
      <c r="S109" t="str">
        <v>Female</v>
      </c>
      <c r="T109" t="str">
        <v>Accounting</v>
      </c>
      <c r="U109">
        <v>76303.820000000007</v>
      </c>
    </row>
    <row r="110" spans="16:21" x14ac:dyDescent="0.25">
      <c r="P110" t="str">
        <v>VT01684</v>
      </c>
      <c r="Q110" t="str">
        <v>Audry</v>
      </c>
      <c r="R110" t="str">
        <v>Yu</v>
      </c>
      <c r="S110" t="str">
        <v>Female</v>
      </c>
      <c r="T110" t="str">
        <v>Training</v>
      </c>
      <c r="U110">
        <v>101187.36</v>
      </c>
    </row>
    <row r="111" spans="16:21" x14ac:dyDescent="0.25">
      <c r="P111" t="str">
        <v>VT01740</v>
      </c>
      <c r="Q111" t="str">
        <v>Ginger</v>
      </c>
      <c r="R111" t="str">
        <v>Myott</v>
      </c>
      <c r="S111" t="str">
        <v>Female</v>
      </c>
      <c r="T111" t="str">
        <v>Services</v>
      </c>
      <c r="U111">
        <v>31172.77</v>
      </c>
    </row>
    <row r="112" spans="16:21" x14ac:dyDescent="0.25">
      <c r="P112" t="str">
        <v>VT01803</v>
      </c>
      <c r="Q112" t="str">
        <v>Freddy</v>
      </c>
      <c r="R112" t="str">
        <v>Linford</v>
      </c>
      <c r="S112" t="str">
        <v>Female</v>
      </c>
      <c r="T112" t="str">
        <v>Training</v>
      </c>
      <c r="U112">
        <v>93128.34</v>
      </c>
    </row>
    <row r="113" spans="16:21" x14ac:dyDescent="0.25">
      <c r="P113" t="str">
        <v>VT02118</v>
      </c>
      <c r="Q113" t="str">
        <v>Oorjit</v>
      </c>
      <c r="R113" t="str">
        <v>Nandanavanam</v>
      </c>
      <c r="S113" t="str">
        <v>Female</v>
      </c>
      <c r="T113" t="str">
        <v>Engineering</v>
      </c>
      <c r="U113">
        <v>51165.37</v>
      </c>
    </row>
    <row r="114" spans="16:21" x14ac:dyDescent="0.25">
      <c r="P114" t="str">
        <v>VT02260</v>
      </c>
      <c r="Q114" t="str">
        <v>Rhiamon</v>
      </c>
      <c r="R114" t="str">
        <v>Mollison</v>
      </c>
      <c r="S114" t="str">
        <v>Female</v>
      </c>
      <c r="T114" t="str">
        <v>Research and Development</v>
      </c>
      <c r="U114">
        <v>59434.18</v>
      </c>
    </row>
    <row r="115" spans="16:21" x14ac:dyDescent="0.25">
      <c r="P115" t="str">
        <v>VT02319</v>
      </c>
      <c r="Q115" t="str">
        <v>Tarala</v>
      </c>
      <c r="R115" t="str">
        <v>Vishaal</v>
      </c>
      <c r="S115" t="str">
        <v>Female</v>
      </c>
      <c r="T115" t="str">
        <v>Research and Development</v>
      </c>
      <c r="U115">
        <v>96555.53</v>
      </c>
    </row>
    <row r="116" spans="16:21" x14ac:dyDescent="0.25">
      <c r="P116" t="str">
        <v>VT02374</v>
      </c>
      <c r="Q116" t="str">
        <v>Delphine</v>
      </c>
      <c r="R116" t="str">
        <v>Jewis</v>
      </c>
      <c r="S116" t="str">
        <v>Female</v>
      </c>
      <c r="T116" t="str">
        <v>Accounting</v>
      </c>
      <c r="U116">
        <v>71823.56</v>
      </c>
    </row>
    <row r="117" spans="16:21" x14ac:dyDescent="0.25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25">
      <c r="P118" t="str">
        <v>VT02532</v>
      </c>
      <c r="Q118" t="str">
        <v>Adey</v>
      </c>
      <c r="R118" t="str">
        <v>Ryal</v>
      </c>
      <c r="S118" t="str">
        <v>Female</v>
      </c>
      <c r="T118" t="str">
        <v>Legal</v>
      </c>
      <c r="U118">
        <v>32496.880000000001</v>
      </c>
    </row>
    <row r="119" spans="16:21" x14ac:dyDescent="0.25">
      <c r="P119" t="str">
        <v>VT03701</v>
      </c>
      <c r="Q119" t="str">
        <v>Narois</v>
      </c>
      <c r="R119" t="str">
        <v>Motiwala</v>
      </c>
      <c r="S119" t="str">
        <v>Female</v>
      </c>
      <c r="T119" t="str">
        <v>Product Management</v>
      </c>
      <c r="U119">
        <v>89829.33</v>
      </c>
    </row>
    <row r="120" spans="16:21" x14ac:dyDescent="0.25">
      <c r="P120" t="str">
        <v>VT03988</v>
      </c>
      <c r="Q120" t="str">
        <v>Venkat</v>
      </c>
      <c r="R120" t="str">
        <v>Kodi</v>
      </c>
      <c r="S120" t="str">
        <v>Female</v>
      </c>
      <c r="T120" t="str">
        <v>Support</v>
      </c>
      <c r="U120">
        <v>58935.92</v>
      </c>
    </row>
    <row r="121" spans="16:21" x14ac:dyDescent="0.25">
      <c r="P121" t="str">
        <v>VT04093</v>
      </c>
      <c r="Q121" t="str">
        <v>Prasanna</v>
      </c>
      <c r="R121" t="str">
        <v>Lakshmi</v>
      </c>
      <c r="S121" t="str">
        <v>Female</v>
      </c>
      <c r="T121" t="str">
        <v>Training</v>
      </c>
      <c r="U121">
        <v>116767.63</v>
      </c>
    </row>
    <row r="122" spans="16:21" x14ac:dyDescent="0.25">
      <c r="P122" t="str">
        <v>VT04093</v>
      </c>
      <c r="Q122" t="str">
        <v>Baruna</v>
      </c>
      <c r="R122" t="str">
        <v>Ogale</v>
      </c>
      <c r="S122" t="str">
        <v>Female</v>
      </c>
      <c r="T122" t="str">
        <v>Training</v>
      </c>
      <c r="U122">
        <v>116767.63</v>
      </c>
    </row>
    <row r="123" spans="16:21" x14ac:dyDescent="0.25">
      <c r="P123" t="str">
        <v>VT04415</v>
      </c>
      <c r="Q123" t="str">
        <v>Malory</v>
      </c>
      <c r="R123" t="str">
        <v>Biles</v>
      </c>
      <c r="S123" t="str">
        <v>Female</v>
      </c>
      <c r="T123" t="str">
        <v>Training</v>
      </c>
      <c r="U123">
        <v>58744.17</v>
      </c>
    </row>
    <row r="124" spans="16:21" x14ac:dyDescent="0.25">
      <c r="P124" t="str">
        <v>VT04467</v>
      </c>
      <c r="Q124" t="str">
        <v>Amal</v>
      </c>
      <c r="R124" t="str">
        <v>Nimesh</v>
      </c>
      <c r="S124" t="str">
        <v>Female</v>
      </c>
      <c r="T124" t="str">
        <v>Marketing</v>
      </c>
      <c r="U124">
        <v>70755.5</v>
      </c>
    </row>
    <row r="125" spans="16:21" x14ac:dyDescent="0.25">
      <c r="P125" t="str">
        <v>VT04552</v>
      </c>
      <c r="Q125" t="str">
        <v>Theresita</v>
      </c>
      <c r="R125" t="str">
        <v>Chasmer</v>
      </c>
      <c r="S125" t="str">
        <v>Female</v>
      </c>
      <c r="T125" t="str">
        <v>Product Management</v>
      </c>
      <c r="U125">
        <v>106665.67</v>
      </c>
    </row>
    <row r="126" spans="16:21" x14ac:dyDescent="0.25">
      <c r="P126" t="str">
        <v>VT04681</v>
      </c>
      <c r="Q126" t="str">
        <v>Nickolai</v>
      </c>
      <c r="R126" t="str">
        <v>Artin</v>
      </c>
      <c r="S126" t="str">
        <v>Female</v>
      </c>
      <c r="T126" t="str">
        <v>Product Management</v>
      </c>
      <c r="U126">
        <v>110906.35</v>
      </c>
    </row>
    <row r="127" spans="16:21" x14ac:dyDescent="0.25">
      <c r="P127" t="str">
        <v>VT04905</v>
      </c>
      <c r="Q127" t="str">
        <v>Suchira</v>
      </c>
      <c r="R127" t="str">
        <v>Bhanupriya</v>
      </c>
      <c r="S127" t="str">
        <v>Female</v>
      </c>
      <c r="T127" t="str">
        <v>Human Resources</v>
      </c>
      <c r="U127">
        <v>29808.07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17E4-CF7D-4601-8395-5E3518A40E5F}">
  <dimension ref="D1:J15"/>
  <sheetViews>
    <sheetView workbookViewId="0">
      <selection activeCell="I23" sqref="I23"/>
    </sheetView>
  </sheetViews>
  <sheetFormatPr defaultRowHeight="15" x14ac:dyDescent="0.25"/>
  <cols>
    <col min="10" max="10" width="10.42578125" bestFit="1" customWidth="1"/>
  </cols>
  <sheetData>
    <row r="1" spans="4:10" ht="18.75" x14ac:dyDescent="0.3">
      <c r="D1" s="41" t="s">
        <v>811</v>
      </c>
    </row>
    <row r="2" spans="4:10" x14ac:dyDescent="0.25">
      <c r="D2" t="str" cm="1">
        <f t="array" ref="D2:J2">_xlfn.CHOOSECOLS(staff[#Headers],1,2,3,4,5,6,8)</f>
        <v>Emp ID</v>
      </c>
      <c r="E2" t="str">
        <v>First Name</v>
      </c>
      <c r="F2" t="str">
        <v>Last Name</v>
      </c>
      <c r="G2" t="str">
        <v>Gender</v>
      </c>
      <c r="H2" t="str">
        <v>Department</v>
      </c>
      <c r="I2" t="str">
        <v>Salary</v>
      </c>
      <c r="J2" s="42" t="str">
        <v>Start Date</v>
      </c>
    </row>
    <row r="3" spans="4:10" x14ac:dyDescent="0.25">
      <c r="D3" t="str" cm="1">
        <f t="array" ref="D3:J15">_xlfn.CHOOSECOLS(_xlfn._xlws.FILTER(staff[], (staff[Gender]="Female") * (staff[Salary]&gt;100000)*(staff[Start Date]&gt;=DATE(2020,1,1)), "No matching staff"), 1,2, 3, 4, 5, 6, 8)</f>
        <v>PR00746</v>
      </c>
      <c r="E3" t="str">
        <v>Hogan</v>
      </c>
      <c r="F3" t="str">
        <v>Iles</v>
      </c>
      <c r="G3" t="str">
        <v>Female</v>
      </c>
      <c r="H3" t="str">
        <v>Accounting</v>
      </c>
      <c r="I3">
        <v>114177.23</v>
      </c>
      <c r="J3" s="42">
        <v>43908</v>
      </c>
    </row>
    <row r="4" spans="4:10" x14ac:dyDescent="0.25">
      <c r="D4" t="str">
        <v>PR02208</v>
      </c>
      <c r="E4" t="str">
        <v>Gowri</v>
      </c>
      <c r="F4" t="str">
        <v>Sankar</v>
      </c>
      <c r="G4" t="str">
        <v>Female</v>
      </c>
      <c r="H4" t="str">
        <v>Training</v>
      </c>
      <c r="I4">
        <v>102934.09</v>
      </c>
      <c r="J4" s="42">
        <v>44315</v>
      </c>
    </row>
    <row r="5" spans="4:10" x14ac:dyDescent="0.25">
      <c r="D5" t="str">
        <v>SQ00498</v>
      </c>
      <c r="E5" t="str">
        <v>Amery</v>
      </c>
      <c r="F5" t="str">
        <v>Ofer</v>
      </c>
      <c r="G5" t="str">
        <v>Female</v>
      </c>
      <c r="H5" t="str">
        <v>Legal</v>
      </c>
      <c r="I5">
        <v>111049.84</v>
      </c>
      <c r="J5" s="42">
        <v>44393</v>
      </c>
    </row>
    <row r="6" spans="4:10" x14ac:dyDescent="0.25">
      <c r="D6" t="str">
        <v>SQ02174</v>
      </c>
      <c r="E6" t="str">
        <v>Sidoney</v>
      </c>
      <c r="F6" t="str">
        <v>Yitzhok</v>
      </c>
      <c r="G6" t="str">
        <v>Female</v>
      </c>
      <c r="H6" t="str">
        <v>Engineering</v>
      </c>
      <c r="I6">
        <v>118442.54</v>
      </c>
      <c r="J6" s="42">
        <v>44193</v>
      </c>
    </row>
    <row r="7" spans="4:10" x14ac:dyDescent="0.25">
      <c r="D7" t="str">
        <v>SQ02624</v>
      </c>
      <c r="E7" t="str">
        <v>Gwenneth</v>
      </c>
      <c r="F7" t="str">
        <v>Fealey</v>
      </c>
      <c r="G7" t="str">
        <v>Female</v>
      </c>
      <c r="H7" t="str">
        <v>Engineering</v>
      </c>
      <c r="I7">
        <v>114772.32</v>
      </c>
      <c r="J7" s="42">
        <v>44251</v>
      </c>
    </row>
    <row r="8" spans="4:10" x14ac:dyDescent="0.25">
      <c r="D8" t="str">
        <v>SQ03387</v>
      </c>
      <c r="E8" t="str">
        <v>Robinia</v>
      </c>
      <c r="F8" t="str">
        <v>Scholling</v>
      </c>
      <c r="G8" t="str">
        <v>Female</v>
      </c>
      <c r="H8" t="str">
        <v>Human Resources</v>
      </c>
      <c r="I8">
        <v>100731.95</v>
      </c>
      <c r="J8" s="42">
        <v>43936</v>
      </c>
    </row>
    <row r="9" spans="4:10" x14ac:dyDescent="0.25">
      <c r="D9" t="str">
        <v>SQ03491</v>
      </c>
      <c r="E9" t="str">
        <v>Freda</v>
      </c>
      <c r="F9" t="str">
        <v>Legan</v>
      </c>
      <c r="G9" t="str">
        <v>Female</v>
      </c>
      <c r="H9" t="str">
        <v>Sales</v>
      </c>
      <c r="I9">
        <v>102129.37</v>
      </c>
      <c r="J9" s="42">
        <v>44396</v>
      </c>
    </row>
    <row r="10" spans="4:10" x14ac:dyDescent="0.25">
      <c r="D10" t="str">
        <v>SQ04612</v>
      </c>
      <c r="E10" t="str">
        <v>Mick</v>
      </c>
      <c r="F10" t="str">
        <v>Spraberry</v>
      </c>
      <c r="G10" t="str">
        <v>Female</v>
      </c>
      <c r="H10" t="str">
        <v>Services</v>
      </c>
      <c r="I10">
        <v>120000</v>
      </c>
      <c r="J10" s="42">
        <v>43902</v>
      </c>
    </row>
    <row r="11" spans="4:10" x14ac:dyDescent="0.25">
      <c r="D11" t="str">
        <v>TN00579</v>
      </c>
      <c r="E11" t="str">
        <v>Rafaelita</v>
      </c>
      <c r="F11" t="str">
        <v>Blaksland</v>
      </c>
      <c r="G11" t="str">
        <v>Female</v>
      </c>
      <c r="H11" t="str">
        <v>Services</v>
      </c>
      <c r="I11">
        <v>109163.39</v>
      </c>
      <c r="J11" s="42">
        <v>44019</v>
      </c>
    </row>
    <row r="12" spans="4:10" x14ac:dyDescent="0.25">
      <c r="D12" t="str">
        <v>TN01281</v>
      </c>
      <c r="E12" t="str">
        <v>Cletus</v>
      </c>
      <c r="F12" t="str">
        <v>McGarahan</v>
      </c>
      <c r="G12" t="str">
        <v>Female</v>
      </c>
      <c r="H12" t="str">
        <v>Engineering</v>
      </c>
      <c r="I12">
        <v>114425.19</v>
      </c>
      <c r="J12" s="42">
        <v>43857</v>
      </c>
    </row>
    <row r="13" spans="4:10" x14ac:dyDescent="0.25">
      <c r="D13" t="str">
        <v>TN04246</v>
      </c>
      <c r="E13" t="str">
        <v>Shaylyn</v>
      </c>
      <c r="F13" t="str">
        <v>Ransbury</v>
      </c>
      <c r="G13" t="str">
        <v>Female</v>
      </c>
      <c r="H13" t="str">
        <v>Support</v>
      </c>
      <c r="I13">
        <v>100371.31</v>
      </c>
      <c r="J13" s="42">
        <v>44067</v>
      </c>
    </row>
    <row r="14" spans="4:10" x14ac:dyDescent="0.25">
      <c r="D14" t="str">
        <v>VT04093</v>
      </c>
      <c r="E14" t="str">
        <v>Prasanna</v>
      </c>
      <c r="F14" t="str">
        <v>Lakshmi</v>
      </c>
      <c r="G14" t="str">
        <v>Female</v>
      </c>
      <c r="H14" t="str">
        <v>Training</v>
      </c>
      <c r="I14">
        <v>116767.63</v>
      </c>
      <c r="J14" s="42">
        <v>43949</v>
      </c>
    </row>
    <row r="15" spans="4:10" x14ac:dyDescent="0.25">
      <c r="D15" t="str">
        <v>VT04093</v>
      </c>
      <c r="E15" t="str">
        <v>Baruna</v>
      </c>
      <c r="F15" t="str">
        <v>Ogale</v>
      </c>
      <c r="G15" t="str">
        <v>Female</v>
      </c>
      <c r="H15" t="str">
        <v>Training</v>
      </c>
      <c r="I15">
        <v>116767.63</v>
      </c>
      <c r="J15" s="42">
        <v>43949</v>
      </c>
    </row>
  </sheetData>
  <autoFilter ref="D2:J2" xr:uid="{737F17E4-CF7D-4601-8395-5E3518A40E5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workbookViewId="0">
      <selection activeCell="F3" sqref="F3:F15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4.5703125" bestFit="1" customWidth="1"/>
    <col min="4" max="4" width="27.85546875" bestFit="1" customWidth="1"/>
    <col min="5" max="5" width="28" bestFit="1" customWidth="1"/>
    <col min="6" max="6" width="18.28515625" bestFit="1" customWidth="1"/>
  </cols>
  <sheetData>
    <row r="3" spans="1:6" ht="20.25" thickBot="1" x14ac:dyDescent="0.3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810</v>
      </c>
      <c r="F3" s="29" t="s">
        <v>770</v>
      </c>
    </row>
    <row r="4" spans="1:6" ht="15.75" thickTop="1" x14ac:dyDescent="0.25">
      <c r="A4" s="25" t="str" cm="1">
        <f t="array" ref="A4:A15">_xlfn.UNIQUE(staff[Department],FALSE)</f>
        <v>Training</v>
      </c>
      <c r="B4">
        <f>COUNTIF(staff[Department],A4)</f>
        <v>24</v>
      </c>
      <c r="C4" s="28">
        <f>SUMIF(staff[Department],A4,staff[Salary])</f>
        <v>2013215.1600000001</v>
      </c>
      <c r="D4">
        <f>COUNTIFS(staff[Department],A4,staff[Employee type],"Permanent")</f>
        <v>11</v>
      </c>
      <c r="E4" s="28">
        <f>SUMIFS(staff[Salary],staff[Department], A4, staff[Employee type],"Permanent")</f>
        <v>826101.70000000007</v>
      </c>
      <c r="F4" s="28">
        <f>AVERAGEIF(staff[Department], A4,staff[Salary])</f>
        <v>83883.965000000011</v>
      </c>
    </row>
    <row r="5" spans="1:6" x14ac:dyDescent="0.25">
      <c r="A5" s="26" t="str">
        <v>Business Development</v>
      </c>
      <c r="B5">
        <f>COUNTIF(staff[Department],A5)</f>
        <v>26</v>
      </c>
      <c r="C5" s="28">
        <f>SUMIF(staff[Department],A5,staff[Salary])</f>
        <v>2074326.9500000002</v>
      </c>
      <c r="D5">
        <f>COUNTIFS(staff[Department],A5,staff[Employee type],"Permanent")</f>
        <v>18</v>
      </c>
      <c r="E5" s="28">
        <f>SUMIFS(staff[Salary],staff[Department], A5, staff[Employee type],"Permanent")</f>
        <v>1432465.4</v>
      </c>
      <c r="F5" s="28">
        <f>AVERAGEIF(staff[Department], A5,staff[Salary])</f>
        <v>79781.805769230778</v>
      </c>
    </row>
    <row r="6" spans="1:6" x14ac:dyDescent="0.25">
      <c r="A6" s="25" t="str">
        <v>Engineering</v>
      </c>
      <c r="B6">
        <f>COUNTIF(staff[Department],A6)</f>
        <v>26</v>
      </c>
      <c r="C6" s="28">
        <f>SUMIF(staff[Department],A6,staff[Salary])</f>
        <v>2131387.4899999998</v>
      </c>
      <c r="D6">
        <f>COUNTIFS(staff[Department],A6,staff[Employee type],"Permanent")</f>
        <v>16</v>
      </c>
      <c r="E6" s="28">
        <f>SUMIFS(staff[Salary],staff[Department], A6, staff[Employee type],"Permanent")</f>
        <v>1523066.2699999998</v>
      </c>
      <c r="F6" s="28">
        <f>AVERAGEIF(staff[Department], A6,staff[Salary])</f>
        <v>81976.441923076913</v>
      </c>
    </row>
    <row r="7" spans="1:6" x14ac:dyDescent="0.25">
      <c r="A7" s="26" t="str">
        <v>Marketing</v>
      </c>
      <c r="B7">
        <f>COUNTIF(staff[Department],A7)</f>
        <v>12</v>
      </c>
      <c r="C7" s="28">
        <f>SUMIF(staff[Department],A7,staff[Salary])</f>
        <v>773295.6</v>
      </c>
      <c r="D7">
        <f>COUNTIFS(staff[Department],A7,staff[Employee type],"Permanent")</f>
        <v>9</v>
      </c>
      <c r="E7" s="28">
        <f>SUMIFS(staff[Salary],staff[Department], A7, staff[Employee type],"Permanent")</f>
        <v>617187.91</v>
      </c>
      <c r="F7" s="28">
        <f>AVERAGEIF(staff[Department], A7,staff[Salary])</f>
        <v>64441.299999999996</v>
      </c>
    </row>
    <row r="8" spans="1:6" x14ac:dyDescent="0.25">
      <c r="A8" s="26" t="str">
        <v>Legal</v>
      </c>
      <c r="B8">
        <f>COUNTIF(staff[Department],A8)</f>
        <v>21</v>
      </c>
      <c r="C8" s="28">
        <f>SUMIF(staff[Department],A8,staff[Salary])</f>
        <v>1412092.87</v>
      </c>
      <c r="D8">
        <f>COUNTIFS(staff[Department],A8,staff[Employee type],"Permanent")</f>
        <v>13</v>
      </c>
      <c r="E8" s="28">
        <f>SUMIFS(staff[Salary],staff[Department], A8, staff[Employee type],"Permanent")</f>
        <v>925197.68000000017</v>
      </c>
      <c r="F8" s="28">
        <f>AVERAGEIF(staff[Department], A8,staff[Salary])</f>
        <v>67242.51761904762</v>
      </c>
    </row>
    <row r="9" spans="1:6" x14ac:dyDescent="0.25">
      <c r="A9" s="25" t="str">
        <v>Accounting</v>
      </c>
      <c r="B9">
        <f>COUNTIF(staff[Department],A9)</f>
        <v>26</v>
      </c>
      <c r="C9" s="28">
        <f>SUMIF(staff[Department],A9,staff[Salary])</f>
        <v>1814980.59</v>
      </c>
      <c r="D9">
        <f>COUNTIFS(staff[Department],A9,staff[Employee type],"Permanent")</f>
        <v>18</v>
      </c>
      <c r="E9" s="28">
        <f>SUMIFS(staff[Salary],staff[Department], A9, staff[Employee type],"Permanent")</f>
        <v>1267719.1999999997</v>
      </c>
      <c r="F9" s="28">
        <f>AVERAGEIF(staff[Department], A9,staff[Salary])</f>
        <v>69806.945769230777</v>
      </c>
    </row>
    <row r="10" spans="1:6" x14ac:dyDescent="0.25">
      <c r="A10" s="26" t="str">
        <v>Human Resources</v>
      </c>
      <c r="B10">
        <f>COUNTIF(staff[Department],A10)</f>
        <v>22</v>
      </c>
      <c r="C10" s="28">
        <f>SUMIF(staff[Department],A10,staff[Salary])</f>
        <v>1608406.3100000003</v>
      </c>
      <c r="D10">
        <f>COUNTIFS(staff[Department],A10,staff[Employee type],"Permanent")</f>
        <v>13</v>
      </c>
      <c r="E10" s="28">
        <f>SUMIFS(staff[Salary],staff[Department], A10, staff[Employee type],"Permanent")</f>
        <v>915344.31</v>
      </c>
      <c r="F10" s="28">
        <f>AVERAGEIF(staff[Department], A10,staff[Salary])</f>
        <v>73109.377727272746</v>
      </c>
    </row>
    <row r="11" spans="1:6" x14ac:dyDescent="0.25">
      <c r="A11" s="25" t="str">
        <v>Research and Development</v>
      </c>
      <c r="B11">
        <f>COUNTIF(staff[Department],A11)</f>
        <v>18</v>
      </c>
      <c r="C11" s="28">
        <f>SUMIF(staff[Department],A11,staff[Salary])</f>
        <v>1204393.78</v>
      </c>
      <c r="D11">
        <f>COUNTIFS(staff[Department],A11,staff[Employee type],"Permanent")</f>
        <v>11</v>
      </c>
      <c r="E11" s="28">
        <f>SUMIFS(staff[Salary],staff[Department], A11, staff[Employee type],"Permanent")</f>
        <v>695418.30999999994</v>
      </c>
      <c r="F11" s="28">
        <f>AVERAGEIF(staff[Department], A11,staff[Salary])</f>
        <v>66910.765555555554</v>
      </c>
    </row>
    <row r="12" spans="1:6" x14ac:dyDescent="0.25">
      <c r="A12" s="26" t="str">
        <v>Services</v>
      </c>
      <c r="B12">
        <f>COUNTIF(staff[Department],A12)</f>
        <v>21</v>
      </c>
      <c r="C12" s="28">
        <f>SUMIF(staff[Department],A12,staff[Salary])</f>
        <v>1568153.47</v>
      </c>
      <c r="D12">
        <f>COUNTIFS(staff[Department],A12,staff[Employee type],"Permanent")</f>
        <v>16</v>
      </c>
      <c r="E12" s="28">
        <f>SUMIFS(staff[Salary],staff[Department], A12, staff[Employee type],"Permanent")</f>
        <v>1223388.3800000001</v>
      </c>
      <c r="F12" s="28">
        <f>AVERAGEIF(staff[Department], A12,staff[Salary])</f>
        <v>74673.974761904756</v>
      </c>
    </row>
    <row r="13" spans="1:6" x14ac:dyDescent="0.25">
      <c r="A13" s="26" t="str">
        <v>Product Management</v>
      </c>
      <c r="B13">
        <f>COUNTIF(staff[Department],A13)</f>
        <v>29</v>
      </c>
      <c r="C13" s="28">
        <f>SUMIF(staff[Department],A13,staff[Salary])</f>
        <v>2180192.8699999992</v>
      </c>
      <c r="D13">
        <f>COUNTIFS(staff[Department],A13,staff[Employee type],"Permanent")</f>
        <v>19</v>
      </c>
      <c r="E13" s="28">
        <f>SUMIFS(staff[Salary],staff[Department], A13, staff[Employee type],"Permanent")</f>
        <v>1292089.0299999996</v>
      </c>
      <c r="F13" s="28">
        <f>AVERAGEIF(staff[Department], A13,staff[Salary])</f>
        <v>75179.064482758593</v>
      </c>
    </row>
    <row r="14" spans="1:6" x14ac:dyDescent="0.25">
      <c r="A14" s="26" t="str">
        <v>Support</v>
      </c>
      <c r="B14">
        <f>COUNTIF(staff[Department],A14)</f>
        <v>17</v>
      </c>
      <c r="C14" s="28">
        <f>SUMIF(staff[Department],A14,staff[Salary])</f>
        <v>1129351.75</v>
      </c>
      <c r="D14">
        <f>COUNTIFS(staff[Department],A14,staff[Employee type],"Permanent")</f>
        <v>11</v>
      </c>
      <c r="E14" s="28">
        <f>SUMIFS(staff[Salary],staff[Department], A14, staff[Employee type],"Permanent")</f>
        <v>672712.15999999992</v>
      </c>
      <c r="F14" s="28">
        <f>AVERAGEIF(staff[Department], A14,staff[Salary])</f>
        <v>66432.455882352937</v>
      </c>
    </row>
    <row r="15" spans="1:6" x14ac:dyDescent="0.25">
      <c r="A15" s="25" t="str">
        <v>Sales</v>
      </c>
      <c r="B15">
        <f>COUNTIF(staff[Department],A15)</f>
        <v>18</v>
      </c>
      <c r="C15" s="28">
        <f>SUMIF(staff[Department],A15,staff[Salary])</f>
        <v>1294147.72</v>
      </c>
      <c r="D15">
        <f>COUNTIFS(staff[Department],A15,staff[Employee type],"Permanent")</f>
        <v>13</v>
      </c>
      <c r="E15" s="28">
        <f>SUMIFS(staff[Salary],staff[Department], A15, staff[Employee type],"Permanent")</f>
        <v>869670.34000000008</v>
      </c>
      <c r="F15" s="28">
        <f>AVERAGEIF(staff[Department], A15,staff[Salary])</f>
        <v>71897.095555555556</v>
      </c>
    </row>
  </sheetData>
  <conditionalFormatting sqref="B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15"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5">
    <cfRule type="colorScale" priority="2">
      <colorScale>
        <cfvo type="min"/>
        <cfvo type="max"/>
        <color rgb="FFFF7128"/>
        <color rgb="FFFFEF9C"/>
      </colorScale>
    </cfRule>
  </conditionalFormatting>
  <conditionalFormatting sqref="F3:F15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Concept</vt:lpstr>
      <vt:lpstr>Data</vt:lpstr>
      <vt:lpstr>14 &amp; 15</vt:lpstr>
      <vt:lpstr>12</vt:lpstr>
      <vt:lpstr>13</vt:lpstr>
      <vt:lpstr>11</vt:lpstr>
      <vt:lpstr>10</vt:lpstr>
      <vt:lpstr>9</vt:lpstr>
      <vt:lpstr>8 &amp;9</vt:lpstr>
      <vt:lpstr>6 &amp; 7</vt:lpstr>
      <vt:lpstr>3 &amp; 4</vt:lpstr>
      <vt:lpstr>5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Anoj Wagle</cp:lastModifiedBy>
  <dcterms:created xsi:type="dcterms:W3CDTF">2025-02-21T23:23:06Z</dcterms:created>
  <dcterms:modified xsi:type="dcterms:W3CDTF">2025-07-16T05:09:48Z</dcterms:modified>
</cp:coreProperties>
</file>