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6d9094337beacf/Рабочий стол/уник/4 sem/МатСтат/"/>
    </mc:Choice>
  </mc:AlternateContent>
  <xr:revisionPtr revIDLastSave="1279" documentId="8_{5BA57A7A-5B80-4015-A271-63C5133AED06}" xr6:coauthVersionLast="47" xr6:coauthVersionMax="47" xr10:uidLastSave="{45852D9B-EA0A-45F1-86CB-8D3B87EC3094}"/>
  <bookViews>
    <workbookView xWindow="-108" yWindow="-108" windowWidth="23256" windowHeight="12576" xr2:uid="{F9FEFC7F-BD89-430C-AA94-59CCF16058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1" i="1" l="1"/>
  <c r="L240" i="1"/>
  <c r="L239" i="1"/>
  <c r="L238" i="1"/>
  <c r="L237" i="1"/>
  <c r="L236" i="1"/>
  <c r="L235" i="1"/>
  <c r="L234" i="1"/>
  <c r="L232" i="1"/>
  <c r="L233" i="1"/>
  <c r="K179" i="1" l="1"/>
  <c r="AB184" i="1" l="1"/>
  <c r="Z184" i="1"/>
  <c r="AB188" i="1"/>
  <c r="AB189" i="1"/>
  <c r="AB190" i="1"/>
  <c r="AB191" i="1"/>
  <c r="AB192" i="1"/>
  <c r="AB193" i="1"/>
  <c r="AB194" i="1"/>
  <c r="AB195" i="1"/>
  <c r="AB196" i="1"/>
  <c r="AB187" i="1"/>
  <c r="AA188" i="1"/>
  <c r="AA189" i="1"/>
  <c r="AA190" i="1"/>
  <c r="AA191" i="1"/>
  <c r="AA192" i="1"/>
  <c r="AA193" i="1"/>
  <c r="AA194" i="1"/>
  <c r="AA195" i="1"/>
  <c r="AA196" i="1"/>
  <c r="AA187" i="1"/>
  <c r="Z188" i="1"/>
  <c r="Z189" i="1"/>
  <c r="Z190" i="1"/>
  <c r="Z191" i="1"/>
  <c r="Z192" i="1"/>
  <c r="Z193" i="1"/>
  <c r="Z194" i="1"/>
  <c r="Z195" i="1"/>
  <c r="Z196" i="1"/>
  <c r="Z187" i="1"/>
  <c r="Y188" i="1"/>
  <c r="Y189" i="1"/>
  <c r="Y190" i="1"/>
  <c r="Y191" i="1"/>
  <c r="Y192" i="1"/>
  <c r="Y193" i="1"/>
  <c r="Y194" i="1"/>
  <c r="Y195" i="1"/>
  <c r="Y196" i="1"/>
  <c r="Y187" i="1"/>
  <c r="X188" i="1"/>
  <c r="X189" i="1"/>
  <c r="X190" i="1"/>
  <c r="X191" i="1"/>
  <c r="X192" i="1"/>
  <c r="X193" i="1"/>
  <c r="X194" i="1"/>
  <c r="X195" i="1"/>
  <c r="X196" i="1"/>
  <c r="X187" i="1"/>
  <c r="W188" i="1"/>
  <c r="W189" i="1"/>
  <c r="W190" i="1"/>
  <c r="W191" i="1"/>
  <c r="W192" i="1"/>
  <c r="W193" i="1"/>
  <c r="W194" i="1"/>
  <c r="W195" i="1"/>
  <c r="W196" i="1"/>
  <c r="W187" i="1"/>
  <c r="V188" i="1"/>
  <c r="V189" i="1"/>
  <c r="V190" i="1"/>
  <c r="V191" i="1"/>
  <c r="V192" i="1"/>
  <c r="V193" i="1"/>
  <c r="V194" i="1"/>
  <c r="V195" i="1"/>
  <c r="V196" i="1"/>
  <c r="V187" i="1"/>
  <c r="S196" i="1"/>
  <c r="R187" i="1"/>
  <c r="F188" i="1"/>
  <c r="F189" i="1"/>
  <c r="F190" i="1"/>
  <c r="F191" i="1"/>
  <c r="F192" i="1"/>
  <c r="F193" i="1"/>
  <c r="F194" i="1"/>
  <c r="F195" i="1"/>
  <c r="F196" i="1"/>
  <c r="F187" i="1"/>
  <c r="E188" i="1"/>
  <c r="E189" i="1"/>
  <c r="E190" i="1"/>
  <c r="E191" i="1"/>
  <c r="E192" i="1"/>
  <c r="E193" i="1"/>
  <c r="E194" i="1"/>
  <c r="E195" i="1"/>
  <c r="E196" i="1"/>
  <c r="E187" i="1"/>
  <c r="F176" i="1"/>
  <c r="F177" i="1" s="1"/>
  <c r="F178" i="1" s="1"/>
  <c r="F179" i="1" s="1"/>
  <c r="F180" i="1" s="1"/>
  <c r="F181" i="1" s="1"/>
  <c r="F182" i="1" s="1"/>
  <c r="F183" i="1" s="1"/>
  <c r="G183" i="1" s="1"/>
  <c r="F175" i="1"/>
  <c r="F174" i="1"/>
  <c r="G181" i="1" l="1"/>
  <c r="G180" i="1"/>
  <c r="G182" i="1"/>
  <c r="G179" i="1"/>
  <c r="G178" i="1"/>
  <c r="G177" i="1"/>
  <c r="G176" i="1"/>
  <c r="G175" i="1"/>
  <c r="K173" i="1"/>
  <c r="G174" i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N173" i="1" l="1"/>
  <c r="I194" i="1"/>
  <c r="H196" i="1"/>
  <c r="I195" i="1"/>
  <c r="H187" i="1"/>
  <c r="P183" i="1"/>
  <c r="I196" i="1"/>
  <c r="I187" i="1"/>
  <c r="H188" i="1"/>
  <c r="H189" i="1"/>
  <c r="I191" i="1"/>
  <c r="I188" i="1"/>
  <c r="H190" i="1"/>
  <c r="I192" i="1"/>
  <c r="I189" i="1"/>
  <c r="H191" i="1"/>
  <c r="H193" i="1"/>
  <c r="H194" i="1"/>
  <c r="I190" i="1"/>
  <c r="H192" i="1"/>
  <c r="I193" i="1"/>
  <c r="H195" i="1"/>
  <c r="K174" i="1"/>
  <c r="K175" i="1" s="1"/>
  <c r="K176" i="1" s="1"/>
  <c r="S183" i="1" l="1"/>
  <c r="N174" i="1"/>
  <c r="P189" i="1"/>
  <c r="R189" i="1" s="1"/>
  <c r="P190" i="1"/>
  <c r="R190" i="1" s="1"/>
  <c r="P191" i="1"/>
  <c r="R191" i="1" s="1"/>
  <c r="Q188" i="1"/>
  <c r="S188" i="1" s="1"/>
  <c r="P192" i="1"/>
  <c r="R192" i="1" s="1"/>
  <c r="Q189" i="1"/>
  <c r="S189" i="1" s="1"/>
  <c r="P193" i="1"/>
  <c r="R193" i="1" s="1"/>
  <c r="Q190" i="1"/>
  <c r="S190" i="1" s="1"/>
  <c r="P194" i="1"/>
  <c r="R194" i="1" s="1"/>
  <c r="Q191" i="1"/>
  <c r="S191" i="1" s="1"/>
  <c r="P195" i="1"/>
  <c r="R195" i="1" s="1"/>
  <c r="Q192" i="1"/>
  <c r="S192" i="1" s="1"/>
  <c r="P196" i="1"/>
  <c r="R196" i="1" s="1"/>
  <c r="Q193" i="1"/>
  <c r="S193" i="1" s="1"/>
  <c r="P188" i="1"/>
  <c r="R188" i="1" s="1"/>
  <c r="Q187" i="1"/>
  <c r="S187" i="1" s="1"/>
  <c r="Q194" i="1"/>
  <c r="S194" i="1" s="1"/>
  <c r="Q195" i="1"/>
  <c r="S195" i="1" s="1"/>
  <c r="K177" i="1"/>
  <c r="K178" i="1"/>
  <c r="N169" i="1" l="1"/>
  <c r="B157" i="1"/>
  <c r="D156" i="1"/>
  <c r="D155" i="1"/>
  <c r="D154" i="1"/>
  <c r="F150" i="1"/>
  <c r="F148" i="1"/>
  <c r="F149" i="1"/>
  <c r="F147" i="1"/>
  <c r="D150" i="1"/>
  <c r="C155" i="1" s="1"/>
  <c r="E150" i="1"/>
  <c r="C156" i="1" s="1"/>
  <c r="C150" i="1"/>
  <c r="C154" i="1" s="1"/>
  <c r="L140" i="1"/>
  <c r="M140" i="1" s="1"/>
  <c r="L139" i="1"/>
  <c r="M139" i="1" s="1"/>
  <c r="L138" i="1"/>
  <c r="M138" i="1" s="1"/>
  <c r="L137" i="1"/>
  <c r="M137" i="1" s="1"/>
  <c r="L136" i="1"/>
  <c r="M136" i="1" s="1"/>
  <c r="K141" i="1"/>
  <c r="K142" i="1" s="1"/>
  <c r="J141" i="1"/>
  <c r="J142" i="1" s="1"/>
  <c r="I141" i="1"/>
  <c r="I142" i="1" s="1"/>
  <c r="H141" i="1"/>
  <c r="H142" i="1" s="1"/>
  <c r="G141" i="1"/>
  <c r="G142" i="1" s="1"/>
  <c r="F141" i="1"/>
  <c r="F142" i="1" s="1"/>
  <c r="E141" i="1"/>
  <c r="E142" i="1" s="1"/>
  <c r="D141" i="1"/>
  <c r="D142" i="1" s="1"/>
  <c r="L132" i="1"/>
  <c r="L128" i="1"/>
  <c r="L129" i="1"/>
  <c r="L130" i="1"/>
  <c r="L131" i="1"/>
  <c r="L127" i="1"/>
  <c r="E132" i="1"/>
  <c r="F132" i="1"/>
  <c r="G132" i="1"/>
  <c r="H132" i="1"/>
  <c r="I132" i="1"/>
  <c r="J132" i="1"/>
  <c r="K132" i="1"/>
  <c r="D132" i="1"/>
  <c r="J112" i="1"/>
  <c r="D121" i="1"/>
  <c r="I120" i="1"/>
  <c r="I121" i="1" s="1"/>
  <c r="H120" i="1"/>
  <c r="H121" i="1" s="1"/>
  <c r="G120" i="1"/>
  <c r="G121" i="1" s="1"/>
  <c r="F120" i="1"/>
  <c r="F121" i="1" s="1"/>
  <c r="E120" i="1"/>
  <c r="E121" i="1" s="1"/>
  <c r="D120" i="1"/>
  <c r="J119" i="1"/>
  <c r="K119" i="1" s="1"/>
  <c r="J118" i="1"/>
  <c r="K118" i="1" s="1"/>
  <c r="J117" i="1"/>
  <c r="K117" i="1" s="1"/>
  <c r="J116" i="1"/>
  <c r="K116" i="1" s="1"/>
  <c r="J115" i="1"/>
  <c r="K115" i="1" s="1"/>
  <c r="F112" i="1"/>
  <c r="G112" i="1"/>
  <c r="H112" i="1"/>
  <c r="I112" i="1"/>
  <c r="E112" i="1"/>
  <c r="D112" i="1"/>
  <c r="J111" i="1"/>
  <c r="J110" i="1"/>
  <c r="J109" i="1"/>
  <c r="J108" i="1"/>
  <c r="J107" i="1"/>
  <c r="D102" i="1"/>
  <c r="E94" i="1"/>
  <c r="D96" i="1"/>
  <c r="D95" i="1"/>
  <c r="D94" i="1"/>
  <c r="D93" i="1"/>
  <c r="D92" i="1"/>
  <c r="D91" i="1"/>
  <c r="D90" i="1"/>
  <c r="D89" i="1"/>
  <c r="D88" i="1"/>
  <c r="F88" i="1" s="1"/>
  <c r="D87" i="1"/>
  <c r="C96" i="1"/>
  <c r="E96" i="1" s="1"/>
  <c r="C95" i="1"/>
  <c r="F95" i="1" s="1"/>
  <c r="C94" i="1"/>
  <c r="F94" i="1" s="1"/>
  <c r="C93" i="1"/>
  <c r="F93" i="1" s="1"/>
  <c r="C92" i="1"/>
  <c r="E92" i="1" s="1"/>
  <c r="C91" i="1"/>
  <c r="F91" i="1" s="1"/>
  <c r="C90" i="1"/>
  <c r="E90" i="1" s="1"/>
  <c r="C89" i="1"/>
  <c r="C88" i="1"/>
  <c r="E88" i="1" s="1"/>
  <c r="C87" i="1"/>
  <c r="E87" i="1" s="1"/>
  <c r="J121" i="1" l="1"/>
  <c r="E91" i="1"/>
  <c r="H154" i="1"/>
  <c r="K154" i="1"/>
  <c r="G154" i="1"/>
  <c r="C157" i="1"/>
  <c r="D163" i="1" s="1"/>
  <c r="J154" i="1"/>
  <c r="F154" i="1"/>
  <c r="I154" i="1"/>
  <c r="E154" i="1"/>
  <c r="K155" i="1"/>
  <c r="G155" i="1"/>
  <c r="J155" i="1"/>
  <c r="F155" i="1"/>
  <c r="I155" i="1"/>
  <c r="E155" i="1"/>
  <c r="H155" i="1"/>
  <c r="H156" i="1"/>
  <c r="K156" i="1"/>
  <c r="G156" i="1"/>
  <c r="F156" i="1"/>
  <c r="J156" i="1"/>
  <c r="I156" i="1"/>
  <c r="E156" i="1"/>
  <c r="L142" i="1"/>
  <c r="K120" i="1"/>
  <c r="M141" i="1"/>
  <c r="F96" i="1"/>
  <c r="E95" i="1"/>
  <c r="D97" i="1"/>
  <c r="F102" i="1" s="1"/>
  <c r="F89" i="1"/>
  <c r="F92" i="1"/>
  <c r="E93" i="1"/>
  <c r="F90" i="1"/>
  <c r="E89" i="1"/>
  <c r="C97" i="1"/>
  <c r="F87" i="1"/>
  <c r="Y16" i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67" i="1"/>
  <c r="N67" i="1" s="1"/>
  <c r="M66" i="1"/>
  <c r="N66" i="1" s="1"/>
  <c r="E73" i="1"/>
  <c r="O73" i="1" s="1"/>
  <c r="P73" i="1" s="1"/>
  <c r="Q73" i="1" s="1"/>
  <c r="E72" i="1"/>
  <c r="O72" i="1" s="1"/>
  <c r="P72" i="1" s="1"/>
  <c r="Q72" i="1" s="1"/>
  <c r="E71" i="1"/>
  <c r="O71" i="1" s="1"/>
  <c r="P71" i="1" s="1"/>
  <c r="Q71" i="1" s="1"/>
  <c r="E70" i="1"/>
  <c r="O70" i="1" s="1"/>
  <c r="P70" i="1" s="1"/>
  <c r="Q70" i="1" s="1"/>
  <c r="E69" i="1"/>
  <c r="E68" i="1"/>
  <c r="E67" i="1"/>
  <c r="E66" i="1"/>
  <c r="C58" i="1"/>
  <c r="Y14" i="1"/>
  <c r="C43" i="1"/>
  <c r="P27" i="1"/>
  <c r="I30" i="1"/>
  <c r="F32" i="1" s="1"/>
  <c r="F33" i="1"/>
  <c r="E33" i="1"/>
  <c r="D33" i="1"/>
  <c r="C33" i="1"/>
  <c r="I29" i="1"/>
  <c r="Y21" i="1"/>
  <c r="Y20" i="1"/>
  <c r="Y19" i="1"/>
  <c r="Y18" i="1"/>
  <c r="Y17" i="1"/>
  <c r="Y15" i="1"/>
  <c r="X15" i="1"/>
  <c r="X16" i="1"/>
  <c r="X17" i="1"/>
  <c r="X18" i="1"/>
  <c r="X19" i="1"/>
  <c r="X20" i="1"/>
  <c r="X21" i="1"/>
  <c r="X14" i="1"/>
  <c r="Q19" i="1"/>
  <c r="S19" i="1" s="1"/>
  <c r="Q18" i="1"/>
  <c r="S18" i="1" s="1"/>
  <c r="Q17" i="1"/>
  <c r="S17" i="1" s="1"/>
  <c r="Q14" i="1"/>
  <c r="S14" i="1" s="1"/>
  <c r="Q15" i="1"/>
  <c r="Q21" i="1"/>
  <c r="S21" i="1" s="1"/>
  <c r="Q20" i="1"/>
  <c r="S20" i="1" s="1"/>
  <c r="Q16" i="1"/>
  <c r="R4" i="1"/>
  <c r="Q9" i="1"/>
  <c r="Q7" i="1" s="1"/>
  <c r="Q5" i="1"/>
  <c r="Q4" i="1"/>
  <c r="Q11" i="1" s="1"/>
  <c r="N14" i="1" s="1"/>
  <c r="N15" i="1" s="1"/>
  <c r="N16" i="1" s="1"/>
  <c r="N17" i="1" s="1"/>
  <c r="N18" i="1" s="1"/>
  <c r="N19" i="1" s="1"/>
  <c r="N20" i="1" s="1"/>
  <c r="N21" i="1" s="1"/>
  <c r="E32" i="1" l="1"/>
  <c r="G157" i="1"/>
  <c r="O69" i="1"/>
  <c r="P69" i="1" s="1"/>
  <c r="Q69" i="1" s="1"/>
  <c r="D32" i="1"/>
  <c r="O66" i="1"/>
  <c r="P66" i="1" s="1"/>
  <c r="Q66" i="1" s="1"/>
  <c r="F97" i="1"/>
  <c r="F101" i="1" s="1"/>
  <c r="E97" i="1"/>
  <c r="C101" i="1" s="1"/>
  <c r="E157" i="1"/>
  <c r="I157" i="1"/>
  <c r="E163" i="1" s="1"/>
  <c r="O68" i="1"/>
  <c r="P68" i="1" s="1"/>
  <c r="Q68" i="1" s="1"/>
  <c r="F157" i="1"/>
  <c r="J157" i="1"/>
  <c r="E162" i="1" s="1"/>
  <c r="C32" i="1"/>
  <c r="C161" i="1"/>
  <c r="B162" i="1"/>
  <c r="K157" i="1"/>
  <c r="E161" i="1" s="1"/>
  <c r="H157" i="1"/>
  <c r="B161" i="1" s="1"/>
  <c r="O67" i="1"/>
  <c r="P67" i="1" s="1"/>
  <c r="Q67" i="1" s="1"/>
  <c r="D101" i="1"/>
  <c r="H101" i="1" s="1" a="1"/>
  <c r="H101" i="1" s="1"/>
  <c r="L101" i="1" s="1" a="1"/>
  <c r="L101" i="1" s="1"/>
  <c r="C102" i="1"/>
  <c r="C46" i="1"/>
  <c r="C47" i="1" s="1"/>
  <c r="C48" i="1" s="1"/>
  <c r="C57" i="1" s="1"/>
  <c r="H66" i="1" s="1"/>
  <c r="C45" i="1"/>
  <c r="C56" i="1" s="1"/>
  <c r="R14" i="1"/>
  <c r="S15" i="1"/>
  <c r="S23" i="1" s="1"/>
  <c r="S16" i="1"/>
  <c r="Q23" i="1"/>
  <c r="Q76" i="1" l="1"/>
  <c r="C36" i="1"/>
  <c r="C37" i="1" s="1"/>
  <c r="C162" i="1"/>
  <c r="B163" i="1"/>
  <c r="D161" i="1"/>
  <c r="C35" i="1"/>
  <c r="D162" i="1"/>
  <c r="C163" i="1"/>
  <c r="G161" i="1" a="1"/>
  <c r="G161" i="1" s="1"/>
  <c r="G91" i="1"/>
  <c r="H91" i="1" s="1"/>
  <c r="G92" i="1"/>
  <c r="H92" i="1" s="1"/>
  <c r="G93" i="1"/>
  <c r="H93" i="1" s="1"/>
  <c r="G95" i="1"/>
  <c r="H95" i="1" s="1"/>
  <c r="G94" i="1"/>
  <c r="H94" i="1" s="1"/>
  <c r="G96" i="1"/>
  <c r="H96" i="1" s="1"/>
  <c r="G87" i="1"/>
  <c r="H87" i="1" s="1"/>
  <c r="G88" i="1"/>
  <c r="H88" i="1" s="1"/>
  <c r="G89" i="1"/>
  <c r="H89" i="1" s="1"/>
  <c r="G90" i="1"/>
  <c r="H90" i="1" s="1"/>
  <c r="T14" i="1"/>
  <c r="U14" i="1"/>
  <c r="C49" i="1"/>
  <c r="C50" i="1"/>
  <c r="I71" i="1"/>
  <c r="F67" i="1"/>
  <c r="F69" i="1"/>
  <c r="D61" i="1"/>
  <c r="G71" i="1"/>
  <c r="G72" i="1"/>
  <c r="I72" i="1"/>
  <c r="F68" i="1"/>
  <c r="I73" i="1"/>
  <c r="F70" i="1"/>
  <c r="G69" i="1"/>
  <c r="J67" i="1"/>
  <c r="J68" i="1"/>
  <c r="J69" i="1"/>
  <c r="I67" i="1"/>
  <c r="F71" i="1"/>
  <c r="C61" i="1"/>
  <c r="G67" i="1"/>
  <c r="F72" i="1"/>
  <c r="G68" i="1"/>
  <c r="F73" i="1"/>
  <c r="G66" i="1"/>
  <c r="J70" i="1"/>
  <c r="J71" i="1"/>
  <c r="J72" i="1"/>
  <c r="J66" i="1"/>
  <c r="G70" i="1"/>
  <c r="I70" i="1"/>
  <c r="I68" i="1"/>
  <c r="I69" i="1"/>
  <c r="R15" i="1"/>
  <c r="U15" i="1" s="1"/>
  <c r="H97" i="1" l="1"/>
  <c r="T15" i="1"/>
  <c r="R16" i="1"/>
  <c r="U16" i="1" s="1"/>
  <c r="I88" i="1" l="1"/>
  <c r="I89" i="1"/>
  <c r="I90" i="1"/>
  <c r="I91" i="1"/>
  <c r="I92" i="1"/>
  <c r="I93" i="1"/>
  <c r="I94" i="1"/>
  <c r="I95" i="1"/>
  <c r="I96" i="1"/>
  <c r="I87" i="1"/>
  <c r="I97" i="1" s="1"/>
  <c r="R17" i="1"/>
  <c r="U17" i="1" s="1"/>
  <c r="T16" i="1"/>
  <c r="R18" i="1" l="1"/>
  <c r="U18" i="1" s="1"/>
  <c r="T17" i="1"/>
  <c r="R19" i="1" l="1"/>
  <c r="U19" i="1" s="1"/>
  <c r="T18" i="1"/>
  <c r="R20" i="1" l="1"/>
  <c r="U20" i="1" s="1"/>
  <c r="T19" i="1"/>
  <c r="R21" i="1" l="1"/>
  <c r="T20" i="1"/>
  <c r="T21" i="1" l="1"/>
  <c r="U2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<sst xmlns="http://schemas.openxmlformats.org/spreadsheetml/2006/main" count="283" uniqueCount="153">
  <si>
    <t>Выборка</t>
  </si>
  <si>
    <t>m=1+3.2*log10(n)</t>
  </si>
  <si>
    <t>n=</t>
  </si>
  <si>
    <t>Xmax=</t>
  </si>
  <si>
    <t>Xmin=</t>
  </si>
  <si>
    <t>h=(Xmax-Xmin)/m=</t>
  </si>
  <si>
    <t>i</t>
  </si>
  <si>
    <t>xmin+1</t>
  </si>
  <si>
    <t>(xi;xi+1)</t>
  </si>
  <si>
    <t>ni</t>
  </si>
  <si>
    <t>(-3,76; -3,083)</t>
  </si>
  <si>
    <t>(-3,083; -2,407)</t>
  </si>
  <si>
    <t>(-2,407; -1,730)</t>
  </si>
  <si>
    <t>(-1,730; -1,053)</t>
  </si>
  <si>
    <t>(-1,053; -0,376)</t>
  </si>
  <si>
    <t>(-0,376; 0,301)</t>
  </si>
  <si>
    <t>(0,301; 0,997)</t>
  </si>
  <si>
    <t>(0,997; 1,654)</t>
  </si>
  <si>
    <t>нормировка объема выборки</t>
  </si>
  <si>
    <t>ni(нак)</t>
  </si>
  <si>
    <t>wi</t>
  </si>
  <si>
    <t>wi(нак)</t>
  </si>
  <si>
    <t>нормировка относительных частот</t>
  </si>
  <si>
    <t>upper limit</t>
  </si>
  <si>
    <t>lower limit</t>
  </si>
  <si>
    <t>average point</t>
  </si>
  <si>
    <t>Домашняя работа 2</t>
  </si>
  <si>
    <t>Домашняя работа 1</t>
  </si>
  <si>
    <t>xi</t>
  </si>
  <si>
    <t>n</t>
  </si>
  <si>
    <t>ui</t>
  </si>
  <si>
    <t>C</t>
  </si>
  <si>
    <t>Xв</t>
  </si>
  <si>
    <t>Dв</t>
  </si>
  <si>
    <t>S^2в</t>
  </si>
  <si>
    <t>Домашняя работа 3</t>
  </si>
  <si>
    <t>М0=</t>
  </si>
  <si>
    <t>Ме=</t>
  </si>
  <si>
    <t>Xв=</t>
  </si>
  <si>
    <t>Dв=</t>
  </si>
  <si>
    <t>S=</t>
  </si>
  <si>
    <t>S^2=</t>
  </si>
  <si>
    <t>А=</t>
  </si>
  <si>
    <t>E=</t>
  </si>
  <si>
    <t>гамма</t>
  </si>
  <si>
    <t>Xb</t>
  </si>
  <si>
    <t>S</t>
  </si>
  <si>
    <t>Ф(t)</t>
  </si>
  <si>
    <t>t</t>
  </si>
  <si>
    <t>a</t>
  </si>
  <si>
    <t>a=</t>
  </si>
  <si>
    <t>от</t>
  </si>
  <si>
    <t>до</t>
  </si>
  <si>
    <t>Домашняя работа №4</t>
  </si>
  <si>
    <t>Домашняя работа №5</t>
  </si>
  <si>
    <t>xi+1</t>
  </si>
  <si>
    <t>xi-Xb</t>
  </si>
  <si>
    <t>xi+1-Xb</t>
  </si>
  <si>
    <t>-</t>
  </si>
  <si>
    <t>Zi</t>
  </si>
  <si>
    <t>inf</t>
  </si>
  <si>
    <t>Zi+1</t>
  </si>
  <si>
    <t>Ф(zi)</t>
  </si>
  <si>
    <t>Ф(zi+1)</t>
  </si>
  <si>
    <t>Фi</t>
  </si>
  <si>
    <t>niT</t>
  </si>
  <si>
    <t>ni-niT</t>
  </si>
  <si>
    <t>(ni-niT)^2</t>
  </si>
  <si>
    <t>((ni-niT)^2)/niT</t>
  </si>
  <si>
    <t>_inf</t>
  </si>
  <si>
    <t>Домашняя работа №6</t>
  </si>
  <si>
    <t>альфа</t>
  </si>
  <si>
    <t>бета</t>
  </si>
  <si>
    <t>N</t>
  </si>
  <si>
    <t>X</t>
  </si>
  <si>
    <t>Y</t>
  </si>
  <si>
    <t>X^2</t>
  </si>
  <si>
    <t>Xi*Yi</t>
  </si>
  <si>
    <t>Yp</t>
  </si>
  <si>
    <t>|Yp-y|</t>
  </si>
  <si>
    <t>δ</t>
  </si>
  <si>
    <t>Сумма</t>
  </si>
  <si>
    <t>Коэфициент при a</t>
  </si>
  <si>
    <t>Коэфициент при b</t>
  </si>
  <si>
    <t>right</t>
  </si>
  <si>
    <t>Обратная матрица</t>
  </si>
  <si>
    <t>Решение</t>
  </si>
  <si>
    <t>b</t>
  </si>
  <si>
    <t>Домашняя работа №7</t>
  </si>
  <si>
    <t>Y\X</t>
  </si>
  <si>
    <t>ny</t>
  </si>
  <si>
    <t>nx</t>
  </si>
  <si>
    <t>Y\U</t>
  </si>
  <si>
    <t>v*U</t>
  </si>
  <si>
    <t>u*V</t>
  </si>
  <si>
    <t>Домашняя работа №8</t>
  </si>
  <si>
    <t>V\U</t>
  </si>
  <si>
    <t>Домашняя работа №9</t>
  </si>
  <si>
    <r>
      <t>y</t>
    </r>
    <r>
      <rPr>
        <sz val="8"/>
        <color theme="1"/>
        <rFont val="Calibri"/>
        <family val="2"/>
        <charset val="204"/>
        <scheme val="minor"/>
      </rPr>
      <t>x</t>
    </r>
  </si>
  <si>
    <t>x</t>
  </si>
  <si>
    <r>
      <t>n</t>
    </r>
    <r>
      <rPr>
        <sz val="8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x</t>
    </r>
  </si>
  <si>
    <r>
      <t>n</t>
    </r>
    <r>
      <rPr>
        <sz val="8"/>
        <color theme="1"/>
        <rFont val="Calibri"/>
        <family val="2"/>
        <charset val="204"/>
        <scheme val="minor"/>
      </rPr>
      <t>x</t>
    </r>
  </si>
  <si>
    <r>
      <t>n</t>
    </r>
    <r>
      <rPr>
        <sz val="8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x^2</t>
    </r>
  </si>
  <si>
    <r>
      <t>n</t>
    </r>
    <r>
      <rPr>
        <sz val="8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x^3</t>
    </r>
  </si>
  <si>
    <r>
      <t>n</t>
    </r>
    <r>
      <rPr>
        <sz val="8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x^4</t>
    </r>
  </si>
  <si>
    <t>сумма</t>
  </si>
  <si>
    <t>c</t>
  </si>
  <si>
    <t>обратная матрица</t>
  </si>
  <si>
    <t>Solution</t>
  </si>
  <si>
    <t>b=</t>
  </si>
  <si>
    <t>c=</t>
  </si>
  <si>
    <t>Типовик</t>
  </si>
  <si>
    <t>Данная выборка</t>
  </si>
  <si>
    <t>S^2</t>
  </si>
  <si>
    <t>А</t>
  </si>
  <si>
    <t>E</t>
  </si>
  <si>
    <t>M0</t>
  </si>
  <si>
    <t>Ме</t>
  </si>
  <si>
    <t>Xв =</t>
  </si>
  <si>
    <t>S =</t>
  </si>
  <si>
    <t>ϒ =</t>
  </si>
  <si>
    <t>Ф(t) =</t>
  </si>
  <si>
    <t>t =</t>
  </si>
  <si>
    <t>δ =</t>
  </si>
  <si>
    <t>Доверительный интервал</t>
  </si>
  <si>
    <t>(0,015;0,289)</t>
  </si>
  <si>
    <t>z_i</t>
  </si>
  <si>
    <t>z_i+1</t>
  </si>
  <si>
    <t>Ф(z_i)</t>
  </si>
  <si>
    <t>Ф(z_i+1)</t>
  </si>
  <si>
    <t>Pi</t>
  </si>
  <si>
    <t>χ2кр (0,05, 7) = 14,1</t>
  </si>
  <si>
    <t>не опровергаем</t>
  </si>
  <si>
    <t>χ2набл = 8,199</t>
  </si>
  <si>
    <t>Fn(x)=</t>
  </si>
  <si>
    <t>x&lt;=-1,764</t>
  </si>
  <si>
    <t>x_i</t>
  </si>
  <si>
    <t>x_i+1</t>
  </si>
  <si>
    <t>n_i</t>
  </si>
  <si>
    <t>n_i_нак</t>
  </si>
  <si>
    <t>w_i</t>
  </si>
  <si>
    <t>w_i_нак</t>
  </si>
  <si>
    <t>x_i^2</t>
  </si>
  <si>
    <t>(x_i-Xв)^3*n_i</t>
  </si>
  <si>
    <t>(x_i-Xв)^4*n_i</t>
  </si>
  <si>
    <t>X_i-Xв</t>
  </si>
  <si>
    <t>X_i+1-Xв</t>
  </si>
  <si>
    <t>n_i^T</t>
  </si>
  <si>
    <t>n_i-n_i^T</t>
  </si>
  <si>
    <t>(n_i-n_i^T)^2</t>
  </si>
  <si>
    <t>(n_i-n_i^T)^2/n_i^T</t>
  </si>
  <si>
    <t>n_i^2</t>
  </si>
  <si>
    <t>n_i^2/n_i^T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</si>
</sst>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Georgia Pro Cond"/>
      <family val="1"/>
      <charset val="204"/>
    </font>
    <font>
      <sz val="12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129746</xdr:colOff>
      <xdr:row>112</xdr:row>
      <xdr:rowOff>74827</xdr:rowOff>
    </xdr:from>
    <xdr:ext cx="893119" cy="3302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3ECD39-6365-9CF8-4A28-C8EE6D111F7D}"/>
                </a:ext>
              </a:extLst>
            </xdr:cNvPr>
            <xdr:cNvSpPr txBox="1"/>
          </xdr:nvSpPr>
          <xdr:spPr>
            <a:xfrm>
              <a:off x="5800124" y="20834178"/>
              <a:ext cx="893119" cy="3302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𝑢𝑣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3ECD39-6365-9CF8-4A28-C8EE6D111F7D}"/>
                </a:ext>
              </a:extLst>
            </xdr:cNvPr>
            <xdr:cNvSpPr txBox="1"/>
          </xdr:nvSpPr>
          <xdr:spPr>
            <a:xfrm>
              <a:off x="5800124" y="20834178"/>
              <a:ext cx="893119" cy="3302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𝑈= ∑▒〖𝑛_𝑢𝑣 𝑢〗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405028</xdr:colOff>
      <xdr:row>118</xdr:row>
      <xdr:rowOff>68650</xdr:rowOff>
    </xdr:from>
    <xdr:ext cx="893119" cy="3302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0181451-9CE4-4DFD-8250-A0E49C87CF20}"/>
                </a:ext>
              </a:extLst>
            </xdr:cNvPr>
            <xdr:cNvSpPr txBox="1"/>
          </xdr:nvSpPr>
          <xdr:spPr>
            <a:xfrm>
              <a:off x="1016001" y="21940109"/>
              <a:ext cx="893119" cy="3302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𝑢𝑣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0181451-9CE4-4DFD-8250-A0E49C87CF20}"/>
                </a:ext>
              </a:extLst>
            </xdr:cNvPr>
            <xdr:cNvSpPr txBox="1"/>
          </xdr:nvSpPr>
          <xdr:spPr>
            <a:xfrm>
              <a:off x="1016001" y="21940109"/>
              <a:ext cx="893119" cy="3302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𝑈= ∑▒〖𝑛_𝑢𝑣 𝑣〗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10</xdr:col>
      <xdr:colOff>597243</xdr:colOff>
      <xdr:row>133</xdr:row>
      <xdr:rowOff>34324</xdr:rowOff>
    </xdr:from>
    <xdr:ext cx="893119" cy="3302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301FE1A-CD86-4F9B-B5F5-0C9334891590}"/>
                </a:ext>
              </a:extLst>
            </xdr:cNvPr>
            <xdr:cNvSpPr txBox="1"/>
          </xdr:nvSpPr>
          <xdr:spPr>
            <a:xfrm>
              <a:off x="7434648" y="24686054"/>
              <a:ext cx="893119" cy="3302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𝑢𝑣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301FE1A-CD86-4F9B-B5F5-0C9334891590}"/>
                </a:ext>
              </a:extLst>
            </xdr:cNvPr>
            <xdr:cNvSpPr txBox="1"/>
          </xdr:nvSpPr>
          <xdr:spPr>
            <a:xfrm>
              <a:off x="7434648" y="24686054"/>
              <a:ext cx="893119" cy="3302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𝑈= ∑▒〖𝑛_𝑢𝑣 𝑢〗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405027</xdr:colOff>
      <xdr:row>139</xdr:row>
      <xdr:rowOff>68648</xdr:rowOff>
    </xdr:from>
    <xdr:ext cx="893119" cy="3302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FD493D7-3E30-4A40-8139-FBF281772BCA}"/>
                </a:ext>
              </a:extLst>
            </xdr:cNvPr>
            <xdr:cNvSpPr txBox="1"/>
          </xdr:nvSpPr>
          <xdr:spPr>
            <a:xfrm>
              <a:off x="1016000" y="25832486"/>
              <a:ext cx="893119" cy="3302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𝑢𝑣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FD493D7-3E30-4A40-8139-FBF281772BCA}"/>
                </a:ext>
              </a:extLst>
            </xdr:cNvPr>
            <xdr:cNvSpPr txBox="1"/>
          </xdr:nvSpPr>
          <xdr:spPr>
            <a:xfrm>
              <a:off x="1016000" y="25832486"/>
              <a:ext cx="893119" cy="3302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𝑈= ∑▒〖𝑛_𝑢𝑣 𝑣〗</a:t>
              </a:r>
              <a:endParaRPr lang="en-US" sz="1100" b="0"/>
            </a:p>
          </xdr:txBody>
        </xdr:sp>
      </mc:Fallback>
    </mc:AlternateContent>
    <xdr:clientData/>
  </xdr:oneCellAnchor>
  <xdr:twoCellAnchor editAs="oneCell">
    <xdr:from>
      <xdr:col>11</xdr:col>
      <xdr:colOff>0</xdr:colOff>
      <xdr:row>152</xdr:row>
      <xdr:rowOff>1</xdr:rowOff>
    </xdr:from>
    <xdr:to>
      <xdr:col>11</xdr:col>
      <xdr:colOff>590379</xdr:colOff>
      <xdr:row>153</xdr:row>
      <xdr:rowOff>3409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5CEFC87-3EF0-5A29-A7F1-B5F19B58B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378" y="28173406"/>
          <a:ext cx="590379" cy="188760"/>
        </a:xfrm>
        <a:prstGeom prst="rect">
          <a:avLst/>
        </a:prstGeom>
      </xdr:spPr>
    </xdr:pic>
    <xdr:clientData/>
  </xdr:twoCellAnchor>
  <xdr:twoCellAnchor editAs="oneCell">
    <xdr:from>
      <xdr:col>3</xdr:col>
      <xdr:colOff>137296</xdr:colOff>
      <xdr:row>152</xdr:row>
      <xdr:rowOff>1</xdr:rowOff>
    </xdr:from>
    <xdr:to>
      <xdr:col>3</xdr:col>
      <xdr:colOff>549187</xdr:colOff>
      <xdr:row>153</xdr:row>
      <xdr:rowOff>2942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8A54D98-C979-E979-AFB4-4F9426EDE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8864" y="28173406"/>
          <a:ext cx="411891" cy="188293"/>
        </a:xfrm>
        <a:prstGeom prst="rect">
          <a:avLst/>
        </a:prstGeom>
      </xdr:spPr>
    </xdr:pic>
    <xdr:clientData/>
  </xdr:twoCellAnchor>
  <xdr:twoCellAnchor editAs="oneCell">
    <xdr:from>
      <xdr:col>8</xdr:col>
      <xdr:colOff>20596</xdr:colOff>
      <xdr:row>152</xdr:row>
      <xdr:rowOff>6865</xdr:rowOff>
    </xdr:from>
    <xdr:to>
      <xdr:col>8</xdr:col>
      <xdr:colOff>590380</xdr:colOff>
      <xdr:row>152</xdr:row>
      <xdr:rowOff>179405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C587A1B-4A4E-4C90-6FDD-04D184E09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1" y="28180270"/>
          <a:ext cx="569784" cy="172540"/>
        </a:xfrm>
        <a:prstGeom prst="rect">
          <a:avLst/>
        </a:prstGeom>
      </xdr:spPr>
    </xdr:pic>
    <xdr:clientData/>
  </xdr:twoCellAnchor>
  <xdr:twoCellAnchor editAs="oneCell">
    <xdr:from>
      <xdr:col>10</xdr:col>
      <xdr:colOff>41128</xdr:colOff>
      <xdr:row>152</xdr:row>
      <xdr:rowOff>6928</xdr:rowOff>
    </xdr:from>
    <xdr:to>
      <xdr:col>10</xdr:col>
      <xdr:colOff>549127</xdr:colOff>
      <xdr:row>153</xdr:row>
      <xdr:rowOff>7590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3A9EBD2-DA0F-4A6D-99E4-6D75EFA01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64492" y="27383510"/>
          <a:ext cx="507999" cy="180771"/>
        </a:xfrm>
        <a:prstGeom prst="rect">
          <a:avLst/>
        </a:prstGeom>
      </xdr:spPr>
    </xdr:pic>
    <xdr:clientData/>
  </xdr:twoCellAnchor>
  <xdr:twoCellAnchor editAs="oneCell">
    <xdr:from>
      <xdr:col>9</xdr:col>
      <xdr:colOff>274595</xdr:colOff>
      <xdr:row>152</xdr:row>
      <xdr:rowOff>6866</xdr:rowOff>
    </xdr:from>
    <xdr:to>
      <xdr:col>9</xdr:col>
      <xdr:colOff>792524</xdr:colOff>
      <xdr:row>152</xdr:row>
      <xdr:rowOff>178078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273E12A-ADE4-DEA5-47EF-99937D573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31617" y="27703909"/>
          <a:ext cx="517929" cy="171212"/>
        </a:xfrm>
        <a:prstGeom prst="rect">
          <a:avLst/>
        </a:prstGeom>
      </xdr:spPr>
    </xdr:pic>
    <xdr:clientData/>
  </xdr:twoCellAnchor>
  <xdr:twoCellAnchor editAs="oneCell">
    <xdr:from>
      <xdr:col>12</xdr:col>
      <xdr:colOff>20782</xdr:colOff>
      <xdr:row>152</xdr:row>
      <xdr:rowOff>27709</xdr:rowOff>
    </xdr:from>
    <xdr:to>
      <xdr:col>12</xdr:col>
      <xdr:colOff>595745</xdr:colOff>
      <xdr:row>152</xdr:row>
      <xdr:rowOff>170219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4216375-B318-00DA-49A2-E5EA7A63D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6637" y="27404291"/>
          <a:ext cx="574963" cy="142510"/>
        </a:xfrm>
        <a:prstGeom prst="rect">
          <a:avLst/>
        </a:prstGeom>
      </xdr:spPr>
    </xdr:pic>
    <xdr:clientData/>
  </xdr:twoCellAnchor>
  <xdr:twoCellAnchor>
    <xdr:from>
      <xdr:col>12</xdr:col>
      <xdr:colOff>23447</xdr:colOff>
      <xdr:row>171</xdr:row>
      <xdr:rowOff>159860</xdr:rowOff>
    </xdr:from>
    <xdr:to>
      <xdr:col>12</xdr:col>
      <xdr:colOff>185372</xdr:colOff>
      <xdr:row>171</xdr:row>
      <xdr:rowOff>159860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9B460C81-A647-4AFB-9857-751386334DA9}"/>
            </a:ext>
          </a:extLst>
        </xdr:cNvPr>
        <xdr:cNvCxnSpPr/>
      </xdr:nvCxnSpPr>
      <xdr:spPr>
        <a:xfrm>
          <a:off x="8897283" y="31020860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172</xdr:row>
      <xdr:rowOff>0</xdr:rowOff>
    </xdr:from>
    <xdr:to>
      <xdr:col>9</xdr:col>
      <xdr:colOff>161925</xdr:colOff>
      <xdr:row>172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F30A73A9-8DB8-4D3B-9D45-AF546854C6C1}"/>
            </a:ext>
          </a:extLst>
        </xdr:cNvPr>
        <xdr:cNvCxnSpPr/>
      </xdr:nvCxnSpPr>
      <xdr:spPr>
        <a:xfrm>
          <a:off x="6137564" y="31041109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602672</xdr:colOff>
      <xdr:row>185</xdr:row>
      <xdr:rowOff>41564</xdr:rowOff>
    </xdr:from>
    <xdr:to>
      <xdr:col>4</xdr:col>
      <xdr:colOff>154997</xdr:colOff>
      <xdr:row>185</xdr:row>
      <xdr:rowOff>41564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50C4EF6D-68E3-4694-83D0-F9991346A4C4}"/>
            </a:ext>
          </a:extLst>
        </xdr:cNvPr>
        <xdr:cNvCxnSpPr/>
      </xdr:nvCxnSpPr>
      <xdr:spPr>
        <a:xfrm>
          <a:off x="2646217" y="33548782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13854</xdr:colOff>
      <xdr:row>185</xdr:row>
      <xdr:rowOff>27709</xdr:rowOff>
    </xdr:from>
    <xdr:to>
      <xdr:col>5</xdr:col>
      <xdr:colOff>175779</xdr:colOff>
      <xdr:row>185</xdr:row>
      <xdr:rowOff>27709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6F81AB88-2F7F-4756-9CCF-65FAC58C7314}"/>
            </a:ext>
          </a:extLst>
        </xdr:cNvPr>
        <xdr:cNvCxnSpPr/>
      </xdr:nvCxnSpPr>
      <xdr:spPr>
        <a:xfrm>
          <a:off x="3380509" y="33534927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180109</xdr:colOff>
      <xdr:row>185</xdr:row>
      <xdr:rowOff>20781</xdr:rowOff>
    </xdr:from>
    <xdr:to>
      <xdr:col>7</xdr:col>
      <xdr:colOff>342034</xdr:colOff>
      <xdr:row>185</xdr:row>
      <xdr:rowOff>20781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65C27125-E80E-4751-9C32-83A60C1020F1}"/>
            </a:ext>
          </a:extLst>
        </xdr:cNvPr>
        <xdr:cNvCxnSpPr/>
      </xdr:nvCxnSpPr>
      <xdr:spPr>
        <a:xfrm>
          <a:off x="4765964" y="33527999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34636</xdr:colOff>
      <xdr:row>185</xdr:row>
      <xdr:rowOff>27709</xdr:rowOff>
    </xdr:from>
    <xdr:to>
      <xdr:col>7</xdr:col>
      <xdr:colOff>196561</xdr:colOff>
      <xdr:row>185</xdr:row>
      <xdr:rowOff>27709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B3EFA2B6-1123-497B-A2BC-0E584491F2D9}"/>
            </a:ext>
          </a:extLst>
        </xdr:cNvPr>
        <xdr:cNvCxnSpPr/>
      </xdr:nvCxnSpPr>
      <xdr:spPr>
        <a:xfrm>
          <a:off x="4620491" y="33534927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185</xdr:row>
      <xdr:rowOff>27709</xdr:rowOff>
    </xdr:from>
    <xdr:to>
      <xdr:col>8</xdr:col>
      <xdr:colOff>161925</xdr:colOff>
      <xdr:row>185</xdr:row>
      <xdr:rowOff>27709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8684274E-C74D-49BA-816C-32F08BC38ACC}"/>
            </a:ext>
          </a:extLst>
        </xdr:cNvPr>
        <xdr:cNvCxnSpPr/>
      </xdr:nvCxnSpPr>
      <xdr:spPr>
        <a:xfrm>
          <a:off x="5375564" y="33534927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180109</xdr:colOff>
      <xdr:row>185</xdr:row>
      <xdr:rowOff>27710</xdr:rowOff>
    </xdr:from>
    <xdr:to>
      <xdr:col>8</xdr:col>
      <xdr:colOff>342034</xdr:colOff>
      <xdr:row>185</xdr:row>
      <xdr:rowOff>27710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631015E1-81C7-4513-9ECD-DB41D8AC5563}"/>
            </a:ext>
          </a:extLst>
        </xdr:cNvPr>
        <xdr:cNvCxnSpPr/>
      </xdr:nvCxnSpPr>
      <xdr:spPr>
        <a:xfrm>
          <a:off x="5555673" y="33534928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48491</xdr:colOff>
      <xdr:row>176</xdr:row>
      <xdr:rowOff>20782</xdr:rowOff>
    </xdr:from>
    <xdr:to>
      <xdr:col>9</xdr:col>
      <xdr:colOff>120491</xdr:colOff>
      <xdr:row>176</xdr:row>
      <xdr:rowOff>38782</xdr:rowOff>
    </xdr:to>
    <xdr:sp macro="" textlink="">
      <xdr:nvSpPr>
        <xdr:cNvPr id="24" name="Полилиния: фигура 23">
          <a:extLst>
            <a:ext uri="{FF2B5EF4-FFF2-40B4-BE49-F238E27FC236}">
              <a16:creationId xmlns:a16="http://schemas.microsoft.com/office/drawing/2014/main" id="{0496934A-4C3A-4F66-8488-4ED0FBAB32B8}"/>
            </a:ext>
          </a:extLst>
        </xdr:cNvPr>
        <xdr:cNvSpPr/>
      </xdr:nvSpPr>
      <xdr:spPr>
        <a:xfrm>
          <a:off x="6186055" y="31865455"/>
          <a:ext cx="72000" cy="18000"/>
        </a:xfrm>
        <a:custGeom>
          <a:avLst/>
          <a:gdLst>
            <a:gd name="connsiteX0" fmla="*/ 0 w 245327"/>
            <a:gd name="connsiteY0" fmla="*/ 78058 h 78527"/>
            <a:gd name="connsiteX1" fmla="*/ 63190 w 245327"/>
            <a:gd name="connsiteY1" fmla="*/ 0 h 78527"/>
            <a:gd name="connsiteX2" fmla="*/ 152400 w 245327"/>
            <a:gd name="connsiteY2" fmla="*/ 78058 h 78527"/>
            <a:gd name="connsiteX3" fmla="*/ 245327 w 245327"/>
            <a:gd name="connsiteY3" fmla="*/ 33454 h 785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5327" h="78527">
              <a:moveTo>
                <a:pt x="0" y="78058"/>
              </a:moveTo>
              <a:cubicBezTo>
                <a:pt x="18895" y="39029"/>
                <a:pt x="37790" y="0"/>
                <a:pt x="63190" y="0"/>
              </a:cubicBezTo>
              <a:cubicBezTo>
                <a:pt x="88590" y="0"/>
                <a:pt x="122044" y="72482"/>
                <a:pt x="152400" y="78058"/>
              </a:cubicBezTo>
              <a:cubicBezTo>
                <a:pt x="182756" y="83634"/>
                <a:pt x="228600" y="37790"/>
                <a:pt x="245327" y="33454"/>
              </a:cubicBezTo>
            </a:path>
          </a:pathLst>
        </a:cu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27709</xdr:colOff>
      <xdr:row>177</xdr:row>
      <xdr:rowOff>0</xdr:rowOff>
    </xdr:from>
    <xdr:to>
      <xdr:col>9</xdr:col>
      <xdr:colOff>99709</xdr:colOff>
      <xdr:row>177</xdr:row>
      <xdr:rowOff>18000</xdr:rowOff>
    </xdr:to>
    <xdr:sp macro="" textlink="">
      <xdr:nvSpPr>
        <xdr:cNvPr id="25" name="Полилиния: фигура 24">
          <a:extLst>
            <a:ext uri="{FF2B5EF4-FFF2-40B4-BE49-F238E27FC236}">
              <a16:creationId xmlns:a16="http://schemas.microsoft.com/office/drawing/2014/main" id="{5C881032-BC47-4FDB-93AE-010AEA1F081E}"/>
            </a:ext>
          </a:extLst>
        </xdr:cNvPr>
        <xdr:cNvSpPr/>
      </xdr:nvSpPr>
      <xdr:spPr>
        <a:xfrm>
          <a:off x="6165273" y="32045564"/>
          <a:ext cx="72000" cy="18000"/>
        </a:xfrm>
        <a:custGeom>
          <a:avLst/>
          <a:gdLst>
            <a:gd name="connsiteX0" fmla="*/ 0 w 245327"/>
            <a:gd name="connsiteY0" fmla="*/ 78058 h 78527"/>
            <a:gd name="connsiteX1" fmla="*/ 63190 w 245327"/>
            <a:gd name="connsiteY1" fmla="*/ 0 h 78527"/>
            <a:gd name="connsiteX2" fmla="*/ 152400 w 245327"/>
            <a:gd name="connsiteY2" fmla="*/ 78058 h 78527"/>
            <a:gd name="connsiteX3" fmla="*/ 245327 w 245327"/>
            <a:gd name="connsiteY3" fmla="*/ 33454 h 785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5327" h="78527">
              <a:moveTo>
                <a:pt x="0" y="78058"/>
              </a:moveTo>
              <a:cubicBezTo>
                <a:pt x="18895" y="39029"/>
                <a:pt x="37790" y="0"/>
                <a:pt x="63190" y="0"/>
              </a:cubicBezTo>
              <a:cubicBezTo>
                <a:pt x="88590" y="0"/>
                <a:pt x="122044" y="72482"/>
                <a:pt x="152400" y="78058"/>
              </a:cubicBezTo>
              <a:cubicBezTo>
                <a:pt x="182756" y="83634"/>
                <a:pt x="228600" y="37790"/>
                <a:pt x="245327" y="33454"/>
              </a:cubicBezTo>
            </a:path>
          </a:pathLst>
        </a:cu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34636</xdr:colOff>
      <xdr:row>178</xdr:row>
      <xdr:rowOff>0</xdr:rowOff>
    </xdr:from>
    <xdr:to>
      <xdr:col>9</xdr:col>
      <xdr:colOff>106636</xdr:colOff>
      <xdr:row>178</xdr:row>
      <xdr:rowOff>18000</xdr:rowOff>
    </xdr:to>
    <xdr:sp macro="" textlink="">
      <xdr:nvSpPr>
        <xdr:cNvPr id="26" name="Полилиния: фигура 25">
          <a:extLst>
            <a:ext uri="{FF2B5EF4-FFF2-40B4-BE49-F238E27FC236}">
              <a16:creationId xmlns:a16="http://schemas.microsoft.com/office/drawing/2014/main" id="{3AD78A1B-17CA-4179-B560-9E319872EF7B}"/>
            </a:ext>
          </a:extLst>
        </xdr:cNvPr>
        <xdr:cNvSpPr/>
      </xdr:nvSpPr>
      <xdr:spPr>
        <a:xfrm>
          <a:off x="6172200" y="32246455"/>
          <a:ext cx="72000" cy="18000"/>
        </a:xfrm>
        <a:custGeom>
          <a:avLst/>
          <a:gdLst>
            <a:gd name="connsiteX0" fmla="*/ 0 w 245327"/>
            <a:gd name="connsiteY0" fmla="*/ 78058 h 78527"/>
            <a:gd name="connsiteX1" fmla="*/ 63190 w 245327"/>
            <a:gd name="connsiteY1" fmla="*/ 0 h 78527"/>
            <a:gd name="connsiteX2" fmla="*/ 152400 w 245327"/>
            <a:gd name="connsiteY2" fmla="*/ 78058 h 78527"/>
            <a:gd name="connsiteX3" fmla="*/ 245327 w 245327"/>
            <a:gd name="connsiteY3" fmla="*/ 33454 h 785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5327" h="78527">
              <a:moveTo>
                <a:pt x="0" y="78058"/>
              </a:moveTo>
              <a:cubicBezTo>
                <a:pt x="18895" y="39029"/>
                <a:pt x="37790" y="0"/>
                <a:pt x="63190" y="0"/>
              </a:cubicBezTo>
              <a:cubicBezTo>
                <a:pt x="88590" y="0"/>
                <a:pt x="122044" y="72482"/>
                <a:pt x="152400" y="78058"/>
              </a:cubicBezTo>
              <a:cubicBezTo>
                <a:pt x="182756" y="83634"/>
                <a:pt x="228600" y="37790"/>
                <a:pt x="245327" y="33454"/>
              </a:cubicBezTo>
            </a:path>
          </a:pathLst>
        </a:cu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55418</xdr:colOff>
      <xdr:row>179</xdr:row>
      <xdr:rowOff>0</xdr:rowOff>
    </xdr:from>
    <xdr:to>
      <xdr:col>9</xdr:col>
      <xdr:colOff>127418</xdr:colOff>
      <xdr:row>179</xdr:row>
      <xdr:rowOff>18000</xdr:rowOff>
    </xdr:to>
    <xdr:sp macro="" textlink="">
      <xdr:nvSpPr>
        <xdr:cNvPr id="27" name="Полилиния: фигура 26">
          <a:extLst>
            <a:ext uri="{FF2B5EF4-FFF2-40B4-BE49-F238E27FC236}">
              <a16:creationId xmlns:a16="http://schemas.microsoft.com/office/drawing/2014/main" id="{4BC06D64-EE73-43BB-A7C4-B879575462BA}"/>
            </a:ext>
          </a:extLst>
        </xdr:cNvPr>
        <xdr:cNvSpPr/>
      </xdr:nvSpPr>
      <xdr:spPr>
        <a:xfrm>
          <a:off x="6192982" y="32426564"/>
          <a:ext cx="72000" cy="18000"/>
        </a:xfrm>
        <a:custGeom>
          <a:avLst/>
          <a:gdLst>
            <a:gd name="connsiteX0" fmla="*/ 0 w 245327"/>
            <a:gd name="connsiteY0" fmla="*/ 78058 h 78527"/>
            <a:gd name="connsiteX1" fmla="*/ 63190 w 245327"/>
            <a:gd name="connsiteY1" fmla="*/ 0 h 78527"/>
            <a:gd name="connsiteX2" fmla="*/ 152400 w 245327"/>
            <a:gd name="connsiteY2" fmla="*/ 78058 h 78527"/>
            <a:gd name="connsiteX3" fmla="*/ 245327 w 245327"/>
            <a:gd name="connsiteY3" fmla="*/ 33454 h 785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5327" h="78527">
              <a:moveTo>
                <a:pt x="0" y="78058"/>
              </a:moveTo>
              <a:cubicBezTo>
                <a:pt x="18895" y="39029"/>
                <a:pt x="37790" y="0"/>
                <a:pt x="63190" y="0"/>
              </a:cubicBezTo>
              <a:cubicBezTo>
                <a:pt x="88590" y="0"/>
                <a:pt x="122044" y="72482"/>
                <a:pt x="152400" y="78058"/>
              </a:cubicBezTo>
              <a:cubicBezTo>
                <a:pt x="182756" y="83634"/>
                <a:pt x="228600" y="37790"/>
                <a:pt x="245327" y="33454"/>
              </a:cubicBezTo>
            </a:path>
          </a:pathLst>
        </a:cu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180109</xdr:colOff>
      <xdr:row>185</xdr:row>
      <xdr:rowOff>20781</xdr:rowOff>
    </xdr:from>
    <xdr:to>
      <xdr:col>15</xdr:col>
      <xdr:colOff>342034</xdr:colOff>
      <xdr:row>185</xdr:row>
      <xdr:rowOff>20781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:a16="http://schemas.microsoft.com/office/drawing/2014/main" id="{9BED860B-AEA9-4B89-9873-C386116706C2}"/>
            </a:ext>
          </a:extLst>
        </xdr:cNvPr>
        <xdr:cNvCxnSpPr/>
      </xdr:nvCxnSpPr>
      <xdr:spPr>
        <a:xfrm>
          <a:off x="4765964" y="33548781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34636</xdr:colOff>
      <xdr:row>185</xdr:row>
      <xdr:rowOff>27709</xdr:rowOff>
    </xdr:from>
    <xdr:to>
      <xdr:col>15</xdr:col>
      <xdr:colOff>196561</xdr:colOff>
      <xdr:row>185</xdr:row>
      <xdr:rowOff>27709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50D3FEA3-5538-42D3-8F58-1EA70BF24B5A}"/>
            </a:ext>
          </a:extLst>
        </xdr:cNvPr>
        <xdr:cNvCxnSpPr/>
      </xdr:nvCxnSpPr>
      <xdr:spPr>
        <a:xfrm>
          <a:off x="4620491" y="33555709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297873</xdr:colOff>
      <xdr:row>185</xdr:row>
      <xdr:rowOff>20781</xdr:rowOff>
    </xdr:from>
    <xdr:to>
      <xdr:col>16</xdr:col>
      <xdr:colOff>459798</xdr:colOff>
      <xdr:row>185</xdr:row>
      <xdr:rowOff>20781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6BA82B96-EF49-47B1-A64B-9A33B7A919A5}"/>
            </a:ext>
          </a:extLst>
        </xdr:cNvPr>
        <xdr:cNvCxnSpPr/>
      </xdr:nvCxnSpPr>
      <xdr:spPr>
        <a:xfrm>
          <a:off x="12794673" y="33548781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34636</xdr:colOff>
      <xdr:row>185</xdr:row>
      <xdr:rowOff>27709</xdr:rowOff>
    </xdr:from>
    <xdr:to>
      <xdr:col>16</xdr:col>
      <xdr:colOff>196561</xdr:colOff>
      <xdr:row>185</xdr:row>
      <xdr:rowOff>27709</xdr:rowOff>
    </xdr:to>
    <xdr:cxnSp macro="">
      <xdr:nvCxnSpPr>
        <xdr:cNvPr id="31" name="Прямая соединительная линия 30">
          <a:extLst>
            <a:ext uri="{FF2B5EF4-FFF2-40B4-BE49-F238E27FC236}">
              <a16:creationId xmlns:a16="http://schemas.microsoft.com/office/drawing/2014/main" id="{5E13C70C-D766-496D-A2A5-D5ADD68CE460}"/>
            </a:ext>
          </a:extLst>
        </xdr:cNvPr>
        <xdr:cNvCxnSpPr/>
      </xdr:nvCxnSpPr>
      <xdr:spPr>
        <a:xfrm>
          <a:off x="10737272" y="33555709"/>
          <a:ext cx="161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622762</xdr:colOff>
      <xdr:row>230</xdr:row>
      <xdr:rowOff>53340</xdr:rowOff>
    </xdr:from>
    <xdr:to>
      <xdr:col>9</xdr:col>
      <xdr:colOff>820659</xdr:colOff>
      <xdr:row>241</xdr:row>
      <xdr:rowOff>67797</xdr:rowOff>
    </xdr:to>
    <xdr:sp macro="" textlink="">
      <xdr:nvSpPr>
        <xdr:cNvPr id="35" name="Левая фигурная скобка 34">
          <a:extLst>
            <a:ext uri="{FF2B5EF4-FFF2-40B4-BE49-F238E27FC236}">
              <a16:creationId xmlns:a16="http://schemas.microsoft.com/office/drawing/2014/main" id="{12838DB3-6357-4C11-8F5E-9BCE314599E9}"/>
            </a:ext>
          </a:extLst>
        </xdr:cNvPr>
        <xdr:cNvSpPr/>
      </xdr:nvSpPr>
      <xdr:spPr>
        <a:xfrm>
          <a:off x="6764482" y="42268140"/>
          <a:ext cx="197897" cy="2026137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9</xdr:col>
      <xdr:colOff>408305</xdr:colOff>
      <xdr:row>221</xdr:row>
      <xdr:rowOff>65405</xdr:rowOff>
    </xdr:to>
    <xdr:pic>
      <xdr:nvPicPr>
        <xdr:cNvPr id="12" name="Рисунок 11" descr="Изображение выглядит как текст, диаграмма, число, Параллельный&#10;&#10;Автоматически созданное описание">
          <a:extLst>
            <a:ext uri="{FF2B5EF4-FFF2-40B4-BE49-F238E27FC236}">
              <a16:creationId xmlns:a16="http://schemas.microsoft.com/office/drawing/2014/main" id="{4397A853-CB83-1EB9-8AF0-6C426792A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36728400"/>
          <a:ext cx="5940425" cy="390588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200</xdr:row>
      <xdr:rowOff>0</xdr:rowOff>
    </xdr:from>
    <xdr:to>
      <xdr:col>17</xdr:col>
      <xdr:colOff>141605</xdr:colOff>
      <xdr:row>222</xdr:row>
      <xdr:rowOff>162560</xdr:rowOff>
    </xdr:to>
    <xdr:pic>
      <xdr:nvPicPr>
        <xdr:cNvPr id="13" name="Рисунок 12" descr="Изображение выглядит как текст, диаграмма, число, Параллельный&#10;&#10;Автоматически созданное описание">
          <a:extLst>
            <a:ext uri="{FF2B5EF4-FFF2-40B4-BE49-F238E27FC236}">
              <a16:creationId xmlns:a16="http://schemas.microsoft.com/office/drawing/2014/main" id="{A8FD7A17-1A8F-EF0D-A6DC-BF17E3893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07580" y="36728400"/>
          <a:ext cx="5940425" cy="418592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226</xdr:row>
      <xdr:rowOff>0</xdr:rowOff>
    </xdr:from>
    <xdr:to>
      <xdr:col>9</xdr:col>
      <xdr:colOff>15241</xdr:colOff>
      <xdr:row>249</xdr:row>
      <xdr:rowOff>71755</xdr:rowOff>
    </xdr:to>
    <xdr:pic>
      <xdr:nvPicPr>
        <xdr:cNvPr id="14" name="Рисунок 13" descr="Изображение выглядит как текст, диаграмма, линия, График&#10;&#10;Автоматически созданное описание">
          <a:extLst>
            <a:ext uri="{FF2B5EF4-FFF2-40B4-BE49-F238E27FC236}">
              <a16:creationId xmlns:a16="http://schemas.microsoft.com/office/drawing/2014/main" id="{07F707E2-9D17-A27B-2AB3-179619202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1" y="41483280"/>
          <a:ext cx="5547360" cy="42779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6F0-A8E5-4C8C-B596-779778A1DDA2}">
  <dimension ref="A1:AB241"/>
  <sheetViews>
    <sheetView tabSelected="1" topLeftCell="A210" zoomScaleNormal="100" workbookViewId="0">
      <selection activeCell="K232" sqref="K232"/>
    </sheetView>
  </sheetViews>
  <sheetFormatPr defaultRowHeight="14.4" x14ac:dyDescent="0.3"/>
  <cols>
    <col min="3" max="3" width="12" bestFit="1" customWidth="1"/>
    <col min="5" max="5" width="10.44140625" customWidth="1"/>
    <col min="8" max="8" width="11.5546875" customWidth="1"/>
    <col min="9" max="9" width="11.109375" customWidth="1"/>
    <col min="10" max="10" width="17" customWidth="1"/>
    <col min="12" max="12" width="14" customWidth="1"/>
    <col min="16" max="16" width="26.109375" customWidth="1"/>
    <col min="18" max="18" width="23.6640625" customWidth="1"/>
    <col min="25" max="25" width="11.109375" customWidth="1"/>
    <col min="26" max="26" width="17.5546875" customWidth="1"/>
    <col min="29" max="29" width="8.88671875" customWidth="1"/>
  </cols>
  <sheetData>
    <row r="1" spans="2:25" x14ac:dyDescent="0.3">
      <c r="B1" t="s">
        <v>27</v>
      </c>
    </row>
    <row r="2" spans="2:25" x14ac:dyDescent="0.3">
      <c r="B2" t="s">
        <v>0</v>
      </c>
    </row>
    <row r="4" spans="2:25" x14ac:dyDescent="0.3">
      <c r="B4">
        <v>-0.66900000000000004</v>
      </c>
      <c r="C4">
        <v>3.5000000000000003E-2</v>
      </c>
      <c r="D4">
        <v>-2.077</v>
      </c>
      <c r="E4">
        <v>1.077</v>
      </c>
      <c r="F4">
        <v>0.52500000000000002</v>
      </c>
      <c r="G4">
        <v>-0.154</v>
      </c>
      <c r="H4">
        <v>-0.53700000000000003</v>
      </c>
      <c r="I4">
        <v>-1.036</v>
      </c>
      <c r="J4">
        <v>0.88200000000000001</v>
      </c>
      <c r="K4">
        <v>-0.40200000000000002</v>
      </c>
      <c r="O4" t="s">
        <v>4</v>
      </c>
      <c r="Q4">
        <f>MIN(B4:K23)</f>
        <v>-3.76</v>
      </c>
      <c r="R4">
        <f>SMALL(B4:K23, 2)</f>
        <v>-2.7160000000000002</v>
      </c>
    </row>
    <row r="5" spans="2:25" x14ac:dyDescent="0.3">
      <c r="B5">
        <v>0.39200000000000002</v>
      </c>
      <c r="C5">
        <v>0.106</v>
      </c>
      <c r="D5">
        <v>1.43</v>
      </c>
      <c r="E5">
        <v>-0.20399999999999999</v>
      </c>
      <c r="F5">
        <v>-0.32600000000000001</v>
      </c>
      <c r="G5">
        <v>0.82499999999999996</v>
      </c>
      <c r="H5">
        <v>1.214</v>
      </c>
      <c r="I5">
        <v>9.0999999999999998E-2</v>
      </c>
      <c r="J5">
        <v>-3.2000000000000001E-2</v>
      </c>
      <c r="K5">
        <v>-1.264</v>
      </c>
      <c r="O5" t="s">
        <v>3</v>
      </c>
      <c r="Q5">
        <f>MAX(B4:K23)</f>
        <v>1.6539999999999999</v>
      </c>
    </row>
    <row r="6" spans="2:25" x14ac:dyDescent="0.3">
      <c r="B6">
        <v>-0.33700000000000002</v>
      </c>
      <c r="C6">
        <v>0.19900000000000001</v>
      </c>
      <c r="D6">
        <v>-0.16</v>
      </c>
      <c r="E6">
        <v>0.625</v>
      </c>
      <c r="F6">
        <v>-0.89100000000000001</v>
      </c>
      <c r="G6">
        <v>-1.464</v>
      </c>
      <c r="H6">
        <v>1.353</v>
      </c>
      <c r="I6">
        <v>0.46600000000000003</v>
      </c>
      <c r="J6">
        <v>1</v>
      </c>
      <c r="K6">
        <v>1.5109999999999999</v>
      </c>
    </row>
    <row r="7" spans="2:25" x14ac:dyDescent="0.3">
      <c r="B7">
        <v>0.36899999999999999</v>
      </c>
      <c r="C7">
        <v>-1.99</v>
      </c>
      <c r="D7">
        <v>-1.19</v>
      </c>
      <c r="E7">
        <v>0.66600000000000004</v>
      </c>
      <c r="F7">
        <v>-1.6140000000000001</v>
      </c>
      <c r="G7">
        <v>8.2000000000000003E-2</v>
      </c>
      <c r="H7">
        <v>-0.184</v>
      </c>
      <c r="I7">
        <v>-1.3240000000000001</v>
      </c>
      <c r="J7">
        <v>0.74099999999999999</v>
      </c>
      <c r="K7">
        <v>-0.26400000000000001</v>
      </c>
      <c r="O7" t="s">
        <v>1</v>
      </c>
      <c r="Q7" s="1">
        <f>1+3.2*LOG10(Q9)</f>
        <v>8.36329598612474</v>
      </c>
    </row>
    <row r="8" spans="2:25" x14ac:dyDescent="0.3">
      <c r="B8">
        <v>-1.694</v>
      </c>
      <c r="C8">
        <v>0.71</v>
      </c>
      <c r="D8">
        <v>-0.65500000000000003</v>
      </c>
      <c r="E8">
        <v>-0.54600000000000004</v>
      </c>
      <c r="F8">
        <v>1.6539999999999999</v>
      </c>
      <c r="G8">
        <v>0.13400000000000001</v>
      </c>
      <c r="H8">
        <v>-0.52900000000000003</v>
      </c>
      <c r="I8">
        <v>-0.91500000000000004</v>
      </c>
      <c r="J8">
        <v>-0.89800000000000002</v>
      </c>
      <c r="K8">
        <v>0.79900000000000004</v>
      </c>
    </row>
    <row r="9" spans="2:25" x14ac:dyDescent="0.3">
      <c r="B9">
        <v>0.98499999999999999</v>
      </c>
      <c r="C9">
        <v>0.34</v>
      </c>
      <c r="D9">
        <v>0.27600000000000002</v>
      </c>
      <c r="E9">
        <v>0.91100000000000003</v>
      </c>
      <c r="F9">
        <v>-0.17</v>
      </c>
      <c r="G9">
        <v>-0.55100000000000005</v>
      </c>
      <c r="H9">
        <v>-3.5999999999999997E-2</v>
      </c>
      <c r="I9">
        <v>0.67900000000000005</v>
      </c>
      <c r="J9">
        <v>-0.432</v>
      </c>
      <c r="K9">
        <v>0.67800000000000005</v>
      </c>
      <c r="O9" t="s">
        <v>2</v>
      </c>
      <c r="Q9">
        <f>COUNT(B4:K23)</f>
        <v>200</v>
      </c>
    </row>
    <row r="10" spans="2:25" x14ac:dyDescent="0.3">
      <c r="B10">
        <v>-1.0629999999999999</v>
      </c>
      <c r="C10">
        <v>-0.59399999999999997</v>
      </c>
      <c r="D10">
        <v>-1.526</v>
      </c>
      <c r="E10">
        <v>-0.78700000000000003</v>
      </c>
      <c r="F10">
        <v>0.873</v>
      </c>
      <c r="G10">
        <v>-0.40500000000000003</v>
      </c>
      <c r="H10">
        <v>1.4690000000000001</v>
      </c>
      <c r="I10">
        <v>0.318</v>
      </c>
      <c r="J10">
        <v>0.92200000000000004</v>
      </c>
      <c r="K10">
        <v>0.52200000000000002</v>
      </c>
    </row>
    <row r="11" spans="2:25" x14ac:dyDescent="0.3">
      <c r="B11">
        <v>3.3000000000000002E-2</v>
      </c>
      <c r="C11">
        <v>-1.5269999999999999</v>
      </c>
      <c r="D11">
        <v>1.4219999999999999</v>
      </c>
      <c r="E11">
        <v>0.308</v>
      </c>
      <c r="F11">
        <v>0.84499999999999997</v>
      </c>
      <c r="G11">
        <v>-0.151</v>
      </c>
      <c r="H11">
        <v>1.6419999999999999</v>
      </c>
      <c r="I11">
        <v>3.3000000000000002E-2</v>
      </c>
      <c r="J11">
        <v>-0.83799999999999997</v>
      </c>
      <c r="K11">
        <v>-0.872</v>
      </c>
      <c r="O11" t="s">
        <v>5</v>
      </c>
      <c r="Q11" s="2">
        <f>(Q5-Q4)/8</f>
        <v>0.67674999999999996</v>
      </c>
    </row>
    <row r="12" spans="2:25" x14ac:dyDescent="0.3">
      <c r="B12">
        <v>0.59699999999999998</v>
      </c>
      <c r="C12">
        <v>0.36199999999999999</v>
      </c>
      <c r="D12">
        <v>-3.76</v>
      </c>
      <c r="E12">
        <v>1.159</v>
      </c>
      <c r="F12">
        <v>0.874</v>
      </c>
      <c r="G12">
        <v>-0.79400000000000004</v>
      </c>
      <c r="H12">
        <v>-0.35799999999999998</v>
      </c>
      <c r="I12">
        <v>0.16200000000000001</v>
      </c>
      <c r="J12">
        <v>6.4000000000000001E-2</v>
      </c>
      <c r="K12">
        <v>1.5940000000000001</v>
      </c>
    </row>
    <row r="13" spans="2:25" x14ac:dyDescent="0.3">
      <c r="B13">
        <v>-1.601</v>
      </c>
      <c r="C13">
        <v>-0.56999999999999995</v>
      </c>
      <c r="D13">
        <v>0.13300000000000001</v>
      </c>
      <c r="E13">
        <v>-0.66</v>
      </c>
      <c r="F13">
        <v>1.4850000000000001</v>
      </c>
      <c r="G13">
        <v>0.68200000000000005</v>
      </c>
      <c r="H13">
        <v>0.104</v>
      </c>
      <c r="I13">
        <v>1.2150000000000001</v>
      </c>
      <c r="J13">
        <v>0.68600000000000005</v>
      </c>
      <c r="K13">
        <v>0.67600000000000005</v>
      </c>
      <c r="N13" t="s">
        <v>7</v>
      </c>
      <c r="O13" s="3" t="s">
        <v>6</v>
      </c>
      <c r="P13" t="s">
        <v>8</v>
      </c>
      <c r="Q13" t="s">
        <v>9</v>
      </c>
      <c r="R13" t="s">
        <v>19</v>
      </c>
      <c r="S13" t="s">
        <v>20</v>
      </c>
      <c r="T13" t="s">
        <v>21</v>
      </c>
      <c r="V13" t="s">
        <v>24</v>
      </c>
      <c r="W13" t="s">
        <v>23</v>
      </c>
      <c r="X13" t="s">
        <v>25</v>
      </c>
    </row>
    <row r="14" spans="2:25" x14ac:dyDescent="0.3">
      <c r="B14">
        <v>-0.26600000000000001</v>
      </c>
      <c r="C14">
        <v>-1.3089999999999999</v>
      </c>
      <c r="D14">
        <v>0.59699999999999998</v>
      </c>
      <c r="E14">
        <v>0.98899999999999999</v>
      </c>
      <c r="F14">
        <v>0.93400000000000005</v>
      </c>
      <c r="G14">
        <v>1.079</v>
      </c>
      <c r="H14">
        <v>-0.999</v>
      </c>
      <c r="I14">
        <v>1.4999999999999999E-2</v>
      </c>
      <c r="J14">
        <v>-9.4E-2</v>
      </c>
      <c r="K14">
        <v>-1.92</v>
      </c>
      <c r="N14" s="2">
        <f>Q4+Q11</f>
        <v>-3.0832499999999996</v>
      </c>
      <c r="O14">
        <v>1</v>
      </c>
      <c r="P14" t="s">
        <v>10</v>
      </c>
      <c r="Q14">
        <f>COUNTIF($B$4:$K$23,"&gt;=-3,76")-COUNTIF($B$4:$K$23,"&gt;-3,083")</f>
        <v>1</v>
      </c>
      <c r="R14">
        <f>Q14</f>
        <v>1</v>
      </c>
      <c r="S14">
        <f>Q14/$Q$9</f>
        <v>5.0000000000000001E-3</v>
      </c>
      <c r="T14">
        <f>R14/$Q$9</f>
        <v>5.0000000000000001E-3</v>
      </c>
      <c r="U14">
        <f>R14/$Q$9</f>
        <v>5.0000000000000001E-3</v>
      </c>
      <c r="V14">
        <v>-3.76</v>
      </c>
      <c r="W14">
        <v>-3.0830000000000002</v>
      </c>
      <c r="X14">
        <f>AVERAGE(V14,W14)</f>
        <v>-3.4215</v>
      </c>
      <c r="Y14">
        <f>COUNTIF($B$4:$K$23,"&gt;=-3,76")-COUNTIF($B$4:$K$23,"&gt;-3,083")</f>
        <v>1</v>
      </c>
    </row>
    <row r="15" spans="2:25" x14ac:dyDescent="0.3">
      <c r="B15">
        <v>0.90100000000000002</v>
      </c>
      <c r="C15">
        <v>1.5309999999999999</v>
      </c>
      <c r="D15">
        <v>-0.88900000000000001</v>
      </c>
      <c r="E15">
        <v>-1.0189999999999999</v>
      </c>
      <c r="F15">
        <v>8.4000000000000005E-2</v>
      </c>
      <c r="G15">
        <v>1.5309999999999999</v>
      </c>
      <c r="H15">
        <v>0.63800000000000001</v>
      </c>
      <c r="I15">
        <v>1.2969999999999999</v>
      </c>
      <c r="J15">
        <v>-0.13900000000000001</v>
      </c>
      <c r="K15">
        <v>-0.157</v>
      </c>
      <c r="N15" s="2">
        <f>N14+$Q$11</f>
        <v>-2.4064999999999994</v>
      </c>
      <c r="O15">
        <v>2</v>
      </c>
      <c r="P15" t="s">
        <v>11</v>
      </c>
      <c r="Q15">
        <f>COUNTIF($B$4:$K$23,"&gt;=-3,083")-COUNTIF($B$4:$K$23,"&gt;-2,407")</f>
        <v>1</v>
      </c>
      <c r="R15">
        <f>Q15+R14</f>
        <v>2</v>
      </c>
      <c r="S15">
        <f t="shared" ref="S15:S21" si="0">Q15/$Q$9</f>
        <v>5.0000000000000001E-3</v>
      </c>
      <c r="T15">
        <f t="shared" ref="T15:T21" si="1">R15/$Q$9</f>
        <v>0.01</v>
      </c>
      <c r="U15">
        <f t="shared" ref="U15:U21" si="2">R15/$Q$9</f>
        <v>0.01</v>
      </c>
      <c r="V15">
        <v>-3.0830000000000002</v>
      </c>
      <c r="W15">
        <v>-2.407</v>
      </c>
      <c r="X15">
        <f t="shared" ref="X15:X21" si="3">AVERAGE(V15,W15)</f>
        <v>-2.7450000000000001</v>
      </c>
      <c r="Y15">
        <f>COUNTIF($B$4:$K$23,"&gt;=-3,083")-COUNTIF($B$4:$K$23,"&gt;-2,407")</f>
        <v>1</v>
      </c>
    </row>
    <row r="16" spans="2:25" x14ac:dyDescent="0.3">
      <c r="B16">
        <v>-1.4330000000000001</v>
      </c>
      <c r="C16">
        <v>-1.008</v>
      </c>
      <c r="D16">
        <v>-0.99</v>
      </c>
      <c r="E16">
        <v>0.09</v>
      </c>
      <c r="F16">
        <v>0.94</v>
      </c>
      <c r="G16">
        <v>0.20699999999999999</v>
      </c>
      <c r="H16">
        <v>-2.2429999999999999</v>
      </c>
      <c r="I16">
        <v>-3.9E-2</v>
      </c>
      <c r="J16">
        <v>0.27600000000000002</v>
      </c>
      <c r="K16">
        <v>-0.55100000000000005</v>
      </c>
      <c r="N16" s="2">
        <f t="shared" ref="N16:N21" si="4">N15+$Q$11</f>
        <v>-1.7297499999999995</v>
      </c>
      <c r="O16">
        <v>3</v>
      </c>
      <c r="P16" t="s">
        <v>12</v>
      </c>
      <c r="Q16">
        <f>COUNTIF($B$4:$K$23,"&gt;=-2,407")-COUNTIF($B$4:$K$23,"&gt;-1,730")</f>
        <v>5</v>
      </c>
      <c r="R16">
        <f t="shared" ref="R16:R21" si="5">Q16+R15</f>
        <v>7</v>
      </c>
      <c r="S16">
        <f t="shared" si="0"/>
        <v>2.5000000000000001E-2</v>
      </c>
      <c r="T16">
        <f t="shared" si="1"/>
        <v>3.5000000000000003E-2</v>
      </c>
      <c r="U16">
        <f t="shared" si="2"/>
        <v>3.5000000000000003E-2</v>
      </c>
      <c r="V16">
        <v>-2.407</v>
      </c>
      <c r="W16">
        <v>-1.73</v>
      </c>
      <c r="X16">
        <f t="shared" si="3"/>
        <v>-2.0685000000000002</v>
      </c>
      <c r="Y16">
        <f>COUNTIF($B$4:$K$23,"&gt;=-2,407")-COUNTIF($B$4:$K$23,"&gt;-1,730")</f>
        <v>5</v>
      </c>
    </row>
    <row r="17" spans="2:25" x14ac:dyDescent="0.3">
      <c r="B17">
        <v>1.327</v>
      </c>
      <c r="C17">
        <v>0.70299999999999996</v>
      </c>
      <c r="D17">
        <v>-1.724</v>
      </c>
      <c r="E17">
        <v>-0.70899999999999996</v>
      </c>
      <c r="F17">
        <v>-1.1000000000000001</v>
      </c>
      <c r="G17">
        <v>-1.3460000000000001</v>
      </c>
      <c r="H17">
        <v>0.183</v>
      </c>
      <c r="I17">
        <v>-0.16300000000000001</v>
      </c>
      <c r="J17">
        <v>1.212</v>
      </c>
      <c r="K17">
        <v>-0.45200000000000001</v>
      </c>
      <c r="N17" s="2">
        <f t="shared" si="4"/>
        <v>-1.0529999999999995</v>
      </c>
      <c r="O17">
        <v>4</v>
      </c>
      <c r="P17" t="s">
        <v>13</v>
      </c>
      <c r="Q17">
        <f>COUNTIF($B$4:$K$23,"&gt;=-1,73")-COUNTIF($B$4:$K$23,"&gt;-1,053")</f>
        <v>20</v>
      </c>
      <c r="R17">
        <f t="shared" si="5"/>
        <v>27</v>
      </c>
      <c r="S17">
        <f t="shared" si="0"/>
        <v>0.1</v>
      </c>
      <c r="T17">
        <f t="shared" si="1"/>
        <v>0.13500000000000001</v>
      </c>
      <c r="U17">
        <f t="shared" si="2"/>
        <v>0.13500000000000001</v>
      </c>
      <c r="V17">
        <v>-1.73</v>
      </c>
      <c r="W17">
        <v>-1.0529999999999999</v>
      </c>
      <c r="X17">
        <f t="shared" si="3"/>
        <v>-1.3915</v>
      </c>
      <c r="Y17">
        <f>COUNTIF($B$4:$K$23,"&gt;=-1,73")-COUNTIF($B$4:$K$23,"&gt;-1,053")</f>
        <v>20</v>
      </c>
    </row>
    <row r="18" spans="2:25" x14ac:dyDescent="0.3">
      <c r="B18">
        <v>-0.248</v>
      </c>
      <c r="C18">
        <v>0.78800000000000003</v>
      </c>
      <c r="D18">
        <v>0.57699999999999996</v>
      </c>
      <c r="E18">
        <v>0.122</v>
      </c>
      <c r="F18">
        <v>-0.53600000000000003</v>
      </c>
      <c r="G18">
        <v>0.29299999999999998</v>
      </c>
      <c r="H18">
        <v>-0.126</v>
      </c>
      <c r="I18">
        <v>1.627</v>
      </c>
      <c r="J18">
        <v>0.65800000000000003</v>
      </c>
      <c r="K18">
        <v>1.3480000000000001</v>
      </c>
      <c r="N18" s="2">
        <f t="shared" si="4"/>
        <v>-0.37624999999999953</v>
      </c>
      <c r="O18">
        <v>5</v>
      </c>
      <c r="P18" t="s">
        <v>14</v>
      </c>
      <c r="Q18">
        <f>COUNTIF($B$4:$K$23,"&gt;=-1,053")-COUNTIF($B$4:$K$23,"&gt;-0,376")</f>
        <v>42</v>
      </c>
      <c r="R18">
        <f t="shared" si="5"/>
        <v>69</v>
      </c>
      <c r="S18">
        <f t="shared" si="0"/>
        <v>0.21</v>
      </c>
      <c r="T18">
        <f t="shared" si="1"/>
        <v>0.34499999999999997</v>
      </c>
      <c r="U18">
        <f t="shared" si="2"/>
        <v>0.34499999999999997</v>
      </c>
      <c r="V18">
        <v>-1.0529999999999999</v>
      </c>
      <c r="W18">
        <v>-0.376</v>
      </c>
      <c r="X18">
        <f t="shared" si="3"/>
        <v>-0.71449999999999991</v>
      </c>
      <c r="Y18">
        <f>COUNTIF($B$4:$K$23,"&gt;=-1,053")-COUNTIF($B$4:$K$23,"&gt;-0,376")</f>
        <v>42</v>
      </c>
    </row>
    <row r="19" spans="2:25" x14ac:dyDescent="0.3">
      <c r="B19">
        <v>-0.40100000000000002</v>
      </c>
      <c r="C19">
        <v>-0.67900000000000005</v>
      </c>
      <c r="D19">
        <v>0.92100000000000004</v>
      </c>
      <c r="E19">
        <v>0.47599999999999998</v>
      </c>
      <c r="F19">
        <v>1.121</v>
      </c>
      <c r="G19">
        <v>-0.86399999999999999</v>
      </c>
      <c r="H19">
        <v>-0.65600000000000003</v>
      </c>
      <c r="I19">
        <v>-0.22</v>
      </c>
      <c r="J19">
        <v>-1.5660000000000001</v>
      </c>
      <c r="K19">
        <v>-0.14399999999999999</v>
      </c>
      <c r="N19" s="2">
        <f t="shared" si="4"/>
        <v>0.30050000000000043</v>
      </c>
      <c r="O19">
        <v>6</v>
      </c>
      <c r="P19" t="s">
        <v>15</v>
      </c>
      <c r="Q19">
        <f>COUNTIF($B$4:$K$23,"&gt;=-0,376")-COUNTIF($B$4:$K$23,"&gt;0,301")</f>
        <v>53</v>
      </c>
      <c r="R19">
        <f t="shared" si="5"/>
        <v>122</v>
      </c>
      <c r="S19">
        <f t="shared" si="0"/>
        <v>0.26500000000000001</v>
      </c>
      <c r="T19">
        <f t="shared" si="1"/>
        <v>0.61</v>
      </c>
      <c r="U19">
        <f t="shared" si="2"/>
        <v>0.61</v>
      </c>
      <c r="V19">
        <v>-0.376</v>
      </c>
      <c r="W19">
        <v>0.30099999999999999</v>
      </c>
      <c r="X19">
        <f t="shared" si="3"/>
        <v>-3.7500000000000006E-2</v>
      </c>
      <c r="Y19">
        <f>COUNTIF($B$4:$K$23,"&gt;=-0,376")-COUNTIF($B$4:$K$23,"&gt;0,301")</f>
        <v>53</v>
      </c>
    </row>
    <row r="20" spans="2:25" x14ac:dyDescent="0.3">
      <c r="B20">
        <v>0.34399999999999997</v>
      </c>
      <c r="C20">
        <v>0.32400000000000001</v>
      </c>
      <c r="D20">
        <v>0.68600000000000005</v>
      </c>
      <c r="E20">
        <v>-1.4870000000000001</v>
      </c>
      <c r="F20">
        <v>-0.13600000000000001</v>
      </c>
      <c r="G20">
        <v>0.80300000000000005</v>
      </c>
      <c r="H20">
        <v>-0.745</v>
      </c>
      <c r="I20">
        <v>0.93200000000000005</v>
      </c>
      <c r="J20">
        <v>-0.83299999999999996</v>
      </c>
      <c r="K20">
        <v>-0.94599999999999995</v>
      </c>
      <c r="N20" s="2">
        <f t="shared" si="4"/>
        <v>0.9772500000000004</v>
      </c>
      <c r="O20">
        <v>7</v>
      </c>
      <c r="P20" t="s">
        <v>16</v>
      </c>
      <c r="Q20">
        <f>COUNTIF($B$4:$K$23,"&gt;=0,301")-COUNTIF($B$4:$K$23,"&gt;0,997")</f>
        <v>50</v>
      </c>
      <c r="R20">
        <f t="shared" si="5"/>
        <v>172</v>
      </c>
      <c r="S20">
        <f t="shared" si="0"/>
        <v>0.25</v>
      </c>
      <c r="T20">
        <f t="shared" si="1"/>
        <v>0.86</v>
      </c>
      <c r="U20">
        <f t="shared" si="2"/>
        <v>0.86</v>
      </c>
      <c r="V20">
        <v>0.30099999999999999</v>
      </c>
      <c r="W20">
        <v>0.997</v>
      </c>
      <c r="X20">
        <f t="shared" si="3"/>
        <v>0.64900000000000002</v>
      </c>
      <c r="Y20">
        <f>COUNTIF($B$4:$K$23,"&gt;=0,301")-COUNTIF($B$4:$K$23,"&gt;0,997")</f>
        <v>50</v>
      </c>
    </row>
    <row r="21" spans="2:25" x14ac:dyDescent="0.3">
      <c r="B21">
        <v>0.441</v>
      </c>
      <c r="C21">
        <v>-0.372</v>
      </c>
      <c r="D21">
        <v>-1.3360000000000001</v>
      </c>
      <c r="E21">
        <v>6.2E-2</v>
      </c>
      <c r="F21">
        <v>1.506</v>
      </c>
      <c r="G21">
        <v>-0.315</v>
      </c>
      <c r="H21">
        <v>1.2070000000000001</v>
      </c>
      <c r="I21">
        <v>0.83799999999999997</v>
      </c>
      <c r="J21">
        <v>-0.30399999999999999</v>
      </c>
      <c r="K21">
        <v>0.128</v>
      </c>
      <c r="N21" s="2">
        <f t="shared" si="4"/>
        <v>1.6540000000000004</v>
      </c>
      <c r="O21">
        <v>8</v>
      </c>
      <c r="P21" t="s">
        <v>17</v>
      </c>
      <c r="Q21">
        <f>COUNTIF($B$4:$K$23,"&gt;=0,997")-COUNTIF($B$4:$K$23,"&gt;1,654")</f>
        <v>28</v>
      </c>
      <c r="R21">
        <f t="shared" si="5"/>
        <v>200</v>
      </c>
      <c r="S21">
        <f t="shared" si="0"/>
        <v>0.14000000000000001</v>
      </c>
      <c r="T21">
        <f t="shared" si="1"/>
        <v>1</v>
      </c>
      <c r="U21">
        <f t="shared" si="2"/>
        <v>1</v>
      </c>
      <c r="V21">
        <v>0.997</v>
      </c>
      <c r="W21">
        <v>1.6539999999999999</v>
      </c>
      <c r="X21">
        <f t="shared" si="3"/>
        <v>1.3254999999999999</v>
      </c>
      <c r="Y21">
        <f>COUNTIF($B$4:$K$23,"&gt;=0,997")-COUNTIF($B$4:$K$23,"&gt;1,654")</f>
        <v>28</v>
      </c>
    </row>
    <row r="22" spans="2:25" x14ac:dyDescent="0.3">
      <c r="B22">
        <v>0.82399999999999995</v>
      </c>
      <c r="C22">
        <v>0.04</v>
      </c>
      <c r="D22">
        <v>-1.734</v>
      </c>
      <c r="E22">
        <v>0.26100000000000001</v>
      </c>
      <c r="F22">
        <v>5.3999999999999999E-2</v>
      </c>
      <c r="G22">
        <v>-0.379</v>
      </c>
      <c r="H22">
        <v>-0.96099999999999997</v>
      </c>
      <c r="I22">
        <v>-2.7160000000000002</v>
      </c>
      <c r="J22">
        <v>0.82299999999999995</v>
      </c>
      <c r="K22">
        <v>-0.112</v>
      </c>
    </row>
    <row r="23" spans="2:25" x14ac:dyDescent="0.3">
      <c r="B23">
        <v>1.385</v>
      </c>
      <c r="C23">
        <v>1.32</v>
      </c>
      <c r="D23">
        <v>-0.50900000000000001</v>
      </c>
      <c r="E23">
        <v>-0.38100000000000001</v>
      </c>
      <c r="F23">
        <v>-1.671</v>
      </c>
      <c r="G23">
        <v>-0.52400000000000002</v>
      </c>
      <c r="H23">
        <v>1.298</v>
      </c>
      <c r="I23">
        <v>-1.248</v>
      </c>
      <c r="J23">
        <v>0.34599999999999997</v>
      </c>
      <c r="K23">
        <v>-0.80500000000000005</v>
      </c>
      <c r="P23" t="s">
        <v>18</v>
      </c>
      <c r="Q23">
        <f>SUM(Q14:Q21)</f>
        <v>200</v>
      </c>
      <c r="R23" t="s">
        <v>22</v>
      </c>
      <c r="S23">
        <f>SUM(S14:S21)</f>
        <v>1</v>
      </c>
    </row>
    <row r="27" spans="2:25" x14ac:dyDescent="0.3">
      <c r="B27" t="s">
        <v>26</v>
      </c>
      <c r="P27">
        <f>0.301-0.376</f>
        <v>-7.5000000000000011E-2</v>
      </c>
    </row>
    <row r="29" spans="2:25" x14ac:dyDescent="0.3">
      <c r="B29" t="s">
        <v>28</v>
      </c>
      <c r="C29">
        <v>2502</v>
      </c>
      <c r="D29">
        <v>2804</v>
      </c>
      <c r="E29">
        <v>2903</v>
      </c>
      <c r="F29">
        <v>3028</v>
      </c>
      <c r="H29" t="s">
        <v>29</v>
      </c>
      <c r="I29">
        <f>SUM(C30:F30)</f>
        <v>100</v>
      </c>
    </row>
    <row r="30" spans="2:25" x14ac:dyDescent="0.3">
      <c r="B30" t="s">
        <v>9</v>
      </c>
      <c r="C30">
        <v>8</v>
      </c>
      <c r="D30">
        <v>30</v>
      </c>
      <c r="E30">
        <v>60</v>
      </c>
      <c r="F30">
        <v>2</v>
      </c>
      <c r="H30" t="s">
        <v>31</v>
      </c>
      <c r="I30">
        <f>D29</f>
        <v>2804</v>
      </c>
    </row>
    <row r="32" spans="2:25" x14ac:dyDescent="0.3">
      <c r="B32" t="s">
        <v>30</v>
      </c>
      <c r="C32">
        <f>C29-I30</f>
        <v>-302</v>
      </c>
      <c r="D32">
        <f>D29-I30</f>
        <v>0</v>
      </c>
      <c r="E32">
        <f>E29-I30</f>
        <v>99</v>
      </c>
      <c r="F32">
        <f>F29-I30</f>
        <v>224</v>
      </c>
    </row>
    <row r="33" spans="2:6" x14ac:dyDescent="0.3">
      <c r="B33" t="s">
        <v>9</v>
      </c>
      <c r="C33">
        <f>C30</f>
        <v>8</v>
      </c>
      <c r="D33">
        <f>D30</f>
        <v>30</v>
      </c>
      <c r="E33">
        <f>E30</f>
        <v>60</v>
      </c>
      <c r="F33">
        <f>F30</f>
        <v>2</v>
      </c>
    </row>
    <row r="35" spans="2:6" x14ac:dyDescent="0.3">
      <c r="B35" t="s">
        <v>32</v>
      </c>
      <c r="C35">
        <f>I30+(C32*C33+D32*D33+E32*E33+F32*F33)/I29</f>
        <v>2843.72</v>
      </c>
    </row>
    <row r="36" spans="2:6" x14ac:dyDescent="0.3">
      <c r="B36" t="s">
        <v>33</v>
      </c>
      <c r="C36">
        <f>(C32*C33*C32+D32*D33*D32+E32*E33*E32+F32*F33*F32)/I29-((C32*C33+D32*D33+E32*E33+F32*F33)/I29)*((C32*C33+D32*D33+E32*E33+F32*F33)/I29)</f>
        <v>12602.7616</v>
      </c>
    </row>
    <row r="37" spans="2:6" x14ac:dyDescent="0.3">
      <c r="B37" t="s">
        <v>34</v>
      </c>
      <c r="C37">
        <f>I29/(I29-1)*C36</f>
        <v>12730.062222222223</v>
      </c>
    </row>
    <row r="41" spans="2:6" x14ac:dyDescent="0.3">
      <c r="B41" t="s">
        <v>35</v>
      </c>
    </row>
    <row r="43" spans="2:6" x14ac:dyDescent="0.3">
      <c r="B43" t="s">
        <v>36</v>
      </c>
      <c r="C43">
        <f>MODE(B4:K23)</f>
        <v>0.27600000000000002</v>
      </c>
    </row>
    <row r="44" spans="2:6" x14ac:dyDescent="0.3">
      <c r="B44" t="s">
        <v>37</v>
      </c>
      <c r="C44">
        <v>0</v>
      </c>
    </row>
    <row r="45" spans="2:6" x14ac:dyDescent="0.3">
      <c r="B45" t="s">
        <v>38</v>
      </c>
      <c r="C45">
        <f>(X14*Y14+X15*Y15+X16*Y16+X17*Y17+X18*Y18+X19*Y19+X20*Y20+X21*Y21)/Q9</f>
        <v>-3.3857499999999978E-2</v>
      </c>
    </row>
    <row r="46" spans="2:6" x14ac:dyDescent="0.3">
      <c r="B46" t="s">
        <v>39</v>
      </c>
      <c r="C46">
        <f>(V14*V14*Q14+V15*V15*Q15+V16*V16*Q16+V17*V17*Q17+V18*V18*Q18+V19*V19*Q19+V20*Q20*V20+V21*V21*Q21)/Q9-(V14*Q14+V15*Q15+V16*Q16+V17*Q17+V18*Q18+V19*Q19+V20*Q20+V21*Q21)*(V14*Q14+V15*Q15+V16*Q16+V17*Q17+V18*Q18+V19*Q19+V20*Q20+V21*Q21)/Q9/Q9</f>
        <v>0.8550944211</v>
      </c>
    </row>
    <row r="47" spans="2:6" x14ac:dyDescent="0.3">
      <c r="B47" t="s">
        <v>41</v>
      </c>
      <c r="C47">
        <f>C46*Q9/(Q9-1)</f>
        <v>0.85939137798994969</v>
      </c>
    </row>
    <row r="48" spans="2:6" x14ac:dyDescent="0.3">
      <c r="B48" t="s">
        <v>40</v>
      </c>
      <c r="C48">
        <f>SQRT(C47)</f>
        <v>0.92703364447572756</v>
      </c>
    </row>
    <row r="49" spans="2:4" x14ac:dyDescent="0.3">
      <c r="B49" t="s">
        <v>42</v>
      </c>
      <c r="C49">
        <f>(((V14-C45)^3)*Y14+((V15-C45)^3)*Y15+((V16-C45)^3)*Y16+Y17*((V17-C45)^3)+Y18*((V18-C45)^3)+Y19*((V19-C45)^3)+Y20*((V20-C45)^3)+Y21*((V21-C45)^3))/(Q9*C48^3)</f>
        <v>-1.6225486286916022</v>
      </c>
    </row>
    <row r="50" spans="2:4" x14ac:dyDescent="0.3">
      <c r="B50" t="s">
        <v>43</v>
      </c>
      <c r="C50">
        <f>(((V14-C45)^4)*Y14+((V15-C45)^4)*Y15+((V16-C45)^4)*Y16+Y17*((V17-C45)^4)+Y18*((V18-C45)^4)+Y19*((V19-C45)^4)+Y20*((V20-C45)^4)+Y21*((V21-C45)^4))/(Q9*(C48)^4)-3</f>
        <v>1.6144886960735585</v>
      </c>
    </row>
    <row r="52" spans="2:4" x14ac:dyDescent="0.3">
      <c r="B52" t="s">
        <v>53</v>
      </c>
    </row>
    <row r="54" spans="2:4" x14ac:dyDescent="0.3">
      <c r="B54" t="s">
        <v>2</v>
      </c>
      <c r="C54">
        <v>200</v>
      </c>
    </row>
    <row r="55" spans="2:4" x14ac:dyDescent="0.3">
      <c r="B55" t="s">
        <v>44</v>
      </c>
      <c r="C55">
        <v>0.95</v>
      </c>
    </row>
    <row r="56" spans="2:4" x14ac:dyDescent="0.3">
      <c r="B56" t="s">
        <v>45</v>
      </c>
      <c r="C56">
        <f>C45</f>
        <v>-3.3857499999999978E-2</v>
      </c>
    </row>
    <row r="57" spans="2:4" x14ac:dyDescent="0.3">
      <c r="B57" t="s">
        <v>46</v>
      </c>
      <c r="C57">
        <f>C48</f>
        <v>0.92703364447572756</v>
      </c>
    </row>
    <row r="58" spans="2:4" x14ac:dyDescent="0.3">
      <c r="B58" t="s">
        <v>47</v>
      </c>
      <c r="C58">
        <f>C55/2</f>
        <v>0.47499999999999998</v>
      </c>
    </row>
    <row r="59" spans="2:4" x14ac:dyDescent="0.3">
      <c r="B59" t="s">
        <v>48</v>
      </c>
      <c r="C59">
        <v>1.96</v>
      </c>
    </row>
    <row r="60" spans="2:4" x14ac:dyDescent="0.3">
      <c r="C60" t="s">
        <v>51</v>
      </c>
      <c r="D60" t="s">
        <v>52</v>
      </c>
    </row>
    <row r="61" spans="2:4" x14ac:dyDescent="0.3">
      <c r="B61" t="s">
        <v>50</v>
      </c>
      <c r="C61">
        <f>C56-C59*(C57/SQRT(C54))</f>
        <v>-0.16233780817378571</v>
      </c>
      <c r="D61">
        <f>C56+C59*(C57/SQRT(C54))</f>
        <v>9.4622808173785738E-2</v>
      </c>
    </row>
    <row r="63" spans="2:4" x14ac:dyDescent="0.3">
      <c r="B63" t="s">
        <v>54</v>
      </c>
    </row>
    <row r="65" spans="2:17" x14ac:dyDescent="0.3">
      <c r="B65" t="s">
        <v>6</v>
      </c>
      <c r="C65" t="s">
        <v>28</v>
      </c>
      <c r="D65" t="s">
        <v>55</v>
      </c>
      <c r="E65" t="s">
        <v>9</v>
      </c>
      <c r="F65" t="s">
        <v>56</v>
      </c>
      <c r="G65" t="s">
        <v>57</v>
      </c>
      <c r="H65" t="s">
        <v>46</v>
      </c>
      <c r="I65" t="s">
        <v>59</v>
      </c>
      <c r="J65" t="s">
        <v>61</v>
      </c>
      <c r="K65" t="s">
        <v>62</v>
      </c>
      <c r="L65" t="s">
        <v>63</v>
      </c>
      <c r="M65" t="s">
        <v>64</v>
      </c>
      <c r="N65" t="s">
        <v>65</v>
      </c>
      <c r="O65" t="s">
        <v>66</v>
      </c>
      <c r="P65" t="s">
        <v>67</v>
      </c>
      <c r="Q65" t="s">
        <v>68</v>
      </c>
    </row>
    <row r="66" spans="2:17" x14ac:dyDescent="0.3">
      <c r="B66">
        <v>1</v>
      </c>
      <c r="C66">
        <v>-3.76</v>
      </c>
      <c r="D66">
        <v>-3.0830000000000002</v>
      </c>
      <c r="E66">
        <f>COUNTIF($B$4:$K$23,"&gt;=-3,76")-COUNTIF($B$4:$K$23,"&gt;-3,083")</f>
        <v>1</v>
      </c>
      <c r="F66" t="s">
        <v>58</v>
      </c>
      <c r="G66">
        <f>D66-$C$56</f>
        <v>-3.0491425000000003</v>
      </c>
      <c r="H66">
        <f>C57</f>
        <v>0.92703364447572756</v>
      </c>
      <c r="I66" t="s">
        <v>69</v>
      </c>
      <c r="J66">
        <f>(D66-$C$56)/$C$57</f>
        <v>-3.2891389845126984</v>
      </c>
      <c r="K66">
        <v>-0.5</v>
      </c>
      <c r="L66">
        <v>-0.49940000000000001</v>
      </c>
      <c r="M66">
        <f>L66-K66</f>
        <v>5.9999999999998943E-4</v>
      </c>
      <c r="N66">
        <f>$C$54*M66</f>
        <v>0.11999999999999789</v>
      </c>
      <c r="O66">
        <f>E66-N66</f>
        <v>0.88000000000000211</v>
      </c>
      <c r="P66">
        <f>O66^2</f>
        <v>0.77440000000000375</v>
      </c>
      <c r="Q66">
        <f>P66/N66</f>
        <v>6.4533333333334779</v>
      </c>
    </row>
    <row r="67" spans="2:17" x14ac:dyDescent="0.3">
      <c r="B67">
        <v>2</v>
      </c>
      <c r="C67">
        <v>-3.0830000000000002</v>
      </c>
      <c r="D67">
        <v>-2.407</v>
      </c>
      <c r="E67">
        <f>COUNTIF($B$4:$K$23,"&gt;=-3,083")-COUNTIF($B$4:$K$23,"&gt;-2,407")</f>
        <v>1</v>
      </c>
      <c r="F67">
        <f t="shared" ref="F67:F73" si="6">C67-$C$56</f>
        <v>-3.0491425000000003</v>
      </c>
      <c r="G67">
        <f t="shared" ref="G67:G72" si="7">D67-$C$56</f>
        <v>-2.3731425000000002</v>
      </c>
      <c r="I67">
        <f>(C67-$C$56)/$C$57</f>
        <v>-3.2891389845126984</v>
      </c>
      <c r="J67">
        <f t="shared" ref="J67:J72" si="8">(D67-$C$56)/$C$57</f>
        <v>-2.5599313618677795</v>
      </c>
      <c r="K67">
        <v>-0.49940000000000001</v>
      </c>
      <c r="L67">
        <v>-0.49609999999999999</v>
      </c>
      <c r="M67">
        <f>L67-K67</f>
        <v>3.3000000000000251E-3</v>
      </c>
      <c r="N67">
        <f t="shared" ref="N67:N73" si="9">$C$54*M67</f>
        <v>0.66000000000000503</v>
      </c>
      <c r="O67">
        <f t="shared" ref="O67:O73" si="10">E67-N67</f>
        <v>0.33999999999999497</v>
      </c>
      <c r="P67">
        <f t="shared" ref="P67:P73" si="11">O67^2</f>
        <v>0.11559999999999658</v>
      </c>
      <c r="Q67">
        <f t="shared" ref="Q67:Q73" si="12">P67/N67</f>
        <v>0.17515151515150865</v>
      </c>
    </row>
    <row r="68" spans="2:17" x14ac:dyDescent="0.3">
      <c r="B68">
        <v>3</v>
      </c>
      <c r="C68">
        <v>-2.407</v>
      </c>
      <c r="D68">
        <v>-1.73</v>
      </c>
      <c r="E68">
        <f>COUNTIF($B$4:$K$23,"&gt;=-2,407")-COUNTIF($B$4:$K$23,"&gt;-1,730")</f>
        <v>5</v>
      </c>
      <c r="F68">
        <f t="shared" si="6"/>
        <v>-2.3731425000000002</v>
      </c>
      <c r="G68">
        <f t="shared" si="7"/>
        <v>-1.6961425000000001</v>
      </c>
      <c r="I68">
        <f t="shared" ref="I68:I73" si="13">(C68-$C$56)/$C$57</f>
        <v>-2.5599313618677795</v>
      </c>
      <c r="J68">
        <f t="shared" si="8"/>
        <v>-1.8296450297219067</v>
      </c>
      <c r="K68">
        <v>-0.49609999999999999</v>
      </c>
      <c r="L68">
        <v>-0.46639999999999998</v>
      </c>
      <c r="M68">
        <f t="shared" ref="M68:M73" si="14">L68-K68</f>
        <v>2.9700000000000004E-2</v>
      </c>
      <c r="N68">
        <f t="shared" si="9"/>
        <v>5.9400000000000013</v>
      </c>
      <c r="O68">
        <f t="shared" si="10"/>
        <v>-0.94000000000000128</v>
      </c>
      <c r="P68">
        <f t="shared" si="11"/>
        <v>0.88360000000000238</v>
      </c>
      <c r="Q68">
        <f t="shared" si="12"/>
        <v>0.14875420875420911</v>
      </c>
    </row>
    <row r="69" spans="2:17" x14ac:dyDescent="0.3">
      <c r="B69">
        <v>4</v>
      </c>
      <c r="C69">
        <v>-1.73</v>
      </c>
      <c r="D69">
        <v>-1.0529999999999999</v>
      </c>
      <c r="E69">
        <f>COUNTIF($B$4:$K$23,"&gt;=-1,73")-COUNTIF($B$4:$K$23,"&gt;-1,053")</f>
        <v>20</v>
      </c>
      <c r="F69">
        <f t="shared" si="6"/>
        <v>-1.6961425000000001</v>
      </c>
      <c r="G69">
        <f t="shared" si="7"/>
        <v>-1.0191425000000001</v>
      </c>
      <c r="I69">
        <f t="shared" si="13"/>
        <v>-1.8296450297219067</v>
      </c>
      <c r="J69">
        <f t="shared" si="8"/>
        <v>-1.0993586975760341</v>
      </c>
      <c r="K69">
        <v>-0.46639999999999998</v>
      </c>
      <c r="L69">
        <v>-0.36430000000000001</v>
      </c>
      <c r="M69">
        <f t="shared" si="14"/>
        <v>0.10209999999999997</v>
      </c>
      <c r="N69">
        <f t="shared" si="9"/>
        <v>20.419999999999995</v>
      </c>
      <c r="O69">
        <f t="shared" si="10"/>
        <v>-0.4199999999999946</v>
      </c>
      <c r="P69">
        <f t="shared" si="11"/>
        <v>0.17639999999999548</v>
      </c>
      <c r="Q69">
        <f t="shared" si="12"/>
        <v>8.6385896180213289E-3</v>
      </c>
    </row>
    <row r="70" spans="2:17" x14ac:dyDescent="0.3">
      <c r="B70">
        <v>5</v>
      </c>
      <c r="C70">
        <v>-1.0529999999999999</v>
      </c>
      <c r="D70">
        <v>-0.376</v>
      </c>
      <c r="E70">
        <f>COUNTIF($B$4:$K$23,"&gt;=-1,053")-COUNTIF($B$4:$K$23,"&gt;-0,376")</f>
        <v>42</v>
      </c>
      <c r="F70">
        <f t="shared" si="6"/>
        <v>-1.0191425000000001</v>
      </c>
      <c r="G70">
        <f t="shared" si="7"/>
        <v>-0.34214250000000002</v>
      </c>
      <c r="I70">
        <f t="shared" si="13"/>
        <v>-1.0993586975760341</v>
      </c>
      <c r="J70">
        <f t="shared" si="8"/>
        <v>-0.36907236543016136</v>
      </c>
      <c r="K70">
        <v>-0.36430000000000001</v>
      </c>
      <c r="L70">
        <v>-0.14430000000000001</v>
      </c>
      <c r="M70">
        <f t="shared" si="14"/>
        <v>0.22</v>
      </c>
      <c r="N70">
        <f t="shared" si="9"/>
        <v>44</v>
      </c>
      <c r="O70">
        <f t="shared" si="10"/>
        <v>-2</v>
      </c>
      <c r="P70">
        <f t="shared" si="11"/>
        <v>4</v>
      </c>
      <c r="Q70">
        <f t="shared" si="12"/>
        <v>9.0909090909090912E-2</v>
      </c>
    </row>
    <row r="71" spans="2:17" x14ac:dyDescent="0.3">
      <c r="B71">
        <v>6</v>
      </c>
      <c r="C71">
        <v>-0.376</v>
      </c>
      <c r="D71">
        <v>0.30099999999999999</v>
      </c>
      <c r="E71">
        <f>COUNTIF($B$4:$K$23,"&gt;=-0,376")-COUNTIF($B$4:$K$23,"&gt;0,301")</f>
        <v>53</v>
      </c>
      <c r="F71">
        <f t="shared" si="6"/>
        <v>-0.34214250000000002</v>
      </c>
      <c r="G71">
        <f t="shared" si="7"/>
        <v>0.33485749999999997</v>
      </c>
      <c r="I71">
        <f t="shared" si="13"/>
        <v>-0.36907236543016136</v>
      </c>
      <c r="J71">
        <f t="shared" si="8"/>
        <v>0.36121396671571127</v>
      </c>
      <c r="K71">
        <v>-0.14430000000000001</v>
      </c>
      <c r="L71">
        <v>0.1406</v>
      </c>
      <c r="M71">
        <f t="shared" si="14"/>
        <v>0.28490000000000004</v>
      </c>
      <c r="N71">
        <f t="shared" si="9"/>
        <v>56.980000000000011</v>
      </c>
      <c r="O71">
        <f t="shared" si="10"/>
        <v>-3.9800000000000111</v>
      </c>
      <c r="P71">
        <f t="shared" si="11"/>
        <v>15.840400000000088</v>
      </c>
      <c r="Q71">
        <f t="shared" si="12"/>
        <v>0.27799929799929951</v>
      </c>
    </row>
    <row r="72" spans="2:17" x14ac:dyDescent="0.3">
      <c r="B72">
        <v>7</v>
      </c>
      <c r="C72">
        <v>0.30099999999999999</v>
      </c>
      <c r="D72">
        <v>0.997</v>
      </c>
      <c r="E72">
        <f>COUNTIF($B$4:$K$23,"&gt;=0,301")-COUNTIF($B$4:$K$23,"&gt;0,997")</f>
        <v>50</v>
      </c>
      <c r="F72">
        <f t="shared" si="6"/>
        <v>0.33485749999999997</v>
      </c>
      <c r="G72">
        <f t="shared" si="7"/>
        <v>1.0308575</v>
      </c>
      <c r="I72">
        <f t="shared" si="13"/>
        <v>0.36121396671571127</v>
      </c>
      <c r="J72">
        <f t="shared" si="8"/>
        <v>1.1119957793797104</v>
      </c>
      <c r="K72">
        <v>0.1406</v>
      </c>
      <c r="L72">
        <v>0.36649999999999999</v>
      </c>
      <c r="M72">
        <f t="shared" si="14"/>
        <v>0.22589999999999999</v>
      </c>
      <c r="N72">
        <f t="shared" si="9"/>
        <v>45.18</v>
      </c>
      <c r="O72">
        <f>E72-N72</f>
        <v>4.82</v>
      </c>
      <c r="P72">
        <f t="shared" si="11"/>
        <v>23.232400000000002</v>
      </c>
      <c r="Q72">
        <f t="shared" si="12"/>
        <v>0.51421868083222666</v>
      </c>
    </row>
    <row r="73" spans="2:17" x14ac:dyDescent="0.3">
      <c r="B73">
        <v>8</v>
      </c>
      <c r="C73">
        <v>0.997</v>
      </c>
      <c r="D73">
        <v>1.6539999999999999</v>
      </c>
      <c r="E73">
        <f>COUNTIF($B$4:$K$23,"&gt;=0,997")-COUNTIF($B$4:$K$23,"&gt;1,654")</f>
        <v>28</v>
      </c>
      <c r="F73">
        <f t="shared" si="6"/>
        <v>1.0308575</v>
      </c>
      <c r="G73" t="s">
        <v>58</v>
      </c>
      <c r="I73">
        <f t="shared" si="13"/>
        <v>1.1119957793797104</v>
      </c>
      <c r="J73" t="s">
        <v>60</v>
      </c>
      <c r="K73">
        <v>0.36649999999999999</v>
      </c>
      <c r="L73">
        <v>0.5</v>
      </c>
      <c r="M73">
        <f t="shared" si="14"/>
        <v>0.13350000000000001</v>
      </c>
      <c r="N73">
        <f t="shared" si="9"/>
        <v>26.700000000000003</v>
      </c>
      <c r="O73">
        <f t="shared" si="10"/>
        <v>1.2999999999999972</v>
      </c>
      <c r="P73">
        <f t="shared" si="11"/>
        <v>1.6899999999999926</v>
      </c>
      <c r="Q73">
        <f t="shared" si="12"/>
        <v>6.3295880149812453E-2</v>
      </c>
    </row>
    <row r="76" spans="2:17" x14ac:dyDescent="0.3">
      <c r="Q76">
        <f>SUM(Q66:Q73)</f>
        <v>7.7323005967476464</v>
      </c>
    </row>
    <row r="78" spans="2:17" x14ac:dyDescent="0.3">
      <c r="Q78">
        <v>11.1</v>
      </c>
    </row>
    <row r="80" spans="2:17" x14ac:dyDescent="0.3">
      <c r="B80" t="s">
        <v>70</v>
      </c>
    </row>
    <row r="82" spans="2:9" x14ac:dyDescent="0.3">
      <c r="B82" t="s">
        <v>71</v>
      </c>
      <c r="C82">
        <v>0</v>
      </c>
    </row>
    <row r="83" spans="2:9" x14ac:dyDescent="0.3">
      <c r="B83" t="s">
        <v>72</v>
      </c>
      <c r="C83">
        <v>0</v>
      </c>
    </row>
    <row r="84" spans="2:9" x14ac:dyDescent="0.3">
      <c r="B84" t="s">
        <v>44</v>
      </c>
      <c r="C84">
        <v>0</v>
      </c>
    </row>
    <row r="86" spans="2:9" x14ac:dyDescent="0.3">
      <c r="B86" t="s">
        <v>73</v>
      </c>
      <c r="C86" t="s">
        <v>74</v>
      </c>
      <c r="D86" t="s">
        <v>75</v>
      </c>
      <c r="E86" t="s">
        <v>76</v>
      </c>
      <c r="F86" t="s">
        <v>77</v>
      </c>
      <c r="G86" t="s">
        <v>78</v>
      </c>
      <c r="H86" t="s">
        <v>79</v>
      </c>
      <c r="I86" t="s">
        <v>80</v>
      </c>
    </row>
    <row r="87" spans="2:9" x14ac:dyDescent="0.3">
      <c r="B87">
        <v>1</v>
      </c>
      <c r="C87">
        <f>1.1-C82</f>
        <v>1.1000000000000001</v>
      </c>
      <c r="D87">
        <f>4.5+C84</f>
        <v>4.5</v>
      </c>
      <c r="E87">
        <f>C87^2</f>
        <v>1.2100000000000002</v>
      </c>
      <c r="F87">
        <f>C87*D87</f>
        <v>4.95</v>
      </c>
      <c r="G87">
        <f>$L$101*C87+$L$102</f>
        <v>4.6459307755699983</v>
      </c>
      <c r="H87">
        <f>ABS(G87-D87)</f>
        <v>0.14593077556999834</v>
      </c>
      <c r="I87" s="4">
        <f>$H$97/G87</f>
        <v>2.8988645835160486E-2</v>
      </c>
    </row>
    <row r="88" spans="2:9" x14ac:dyDescent="0.3">
      <c r="B88">
        <v>2</v>
      </c>
      <c r="C88">
        <f>2.4+C83</f>
        <v>2.4</v>
      </c>
      <c r="D88">
        <f>5.2-C82</f>
        <v>5.2</v>
      </c>
      <c r="E88">
        <f t="shared" ref="E88:E96" si="15">C88^2</f>
        <v>5.76</v>
      </c>
      <c r="F88">
        <f t="shared" ref="F88:F96" si="16">C88*D88</f>
        <v>12.48</v>
      </c>
      <c r="G88">
        <f t="shared" ref="G88:G96" si="17">$L$101*C88+$L$102</f>
        <v>4.9867924182767105</v>
      </c>
      <c r="H88">
        <f t="shared" ref="H88:H96" si="18">ABS(G88-D88)</f>
        <v>0.21320758172328969</v>
      </c>
      <c r="I88" s="4">
        <f t="shared" ref="I88:I96" si="19">$H$97/G88</f>
        <v>2.7007188294838301E-2</v>
      </c>
    </row>
    <row r="89" spans="2:9" x14ac:dyDescent="0.3">
      <c r="B89">
        <v>3</v>
      </c>
      <c r="C89">
        <f>4.3-C84</f>
        <v>4.3</v>
      </c>
      <c r="D89">
        <f>5.4+C82</f>
        <v>5.4</v>
      </c>
      <c r="E89">
        <f t="shared" si="15"/>
        <v>18.489999999999998</v>
      </c>
      <c r="F89">
        <f t="shared" si="16"/>
        <v>23.22</v>
      </c>
      <c r="G89">
        <f t="shared" si="17"/>
        <v>5.4849748191557524</v>
      </c>
      <c r="H89">
        <f t="shared" si="18"/>
        <v>8.4974819155752002E-2</v>
      </c>
      <c r="I89" s="4">
        <f t="shared" si="19"/>
        <v>2.4554213331539232E-2</v>
      </c>
    </row>
    <row r="90" spans="2:9" x14ac:dyDescent="0.3">
      <c r="B90">
        <v>4</v>
      </c>
      <c r="C90">
        <f>5.9+C82</f>
        <v>5.9</v>
      </c>
      <c r="D90">
        <f>5.8+C83</f>
        <v>5.8</v>
      </c>
      <c r="E90">
        <f t="shared" si="15"/>
        <v>34.81</v>
      </c>
      <c r="F90">
        <f t="shared" si="16"/>
        <v>34.22</v>
      </c>
      <c r="G90">
        <f t="shared" si="17"/>
        <v>5.9044968409486298</v>
      </c>
      <c r="H90">
        <f t="shared" si="18"/>
        <v>0.10449684094862999</v>
      </c>
      <c r="I90" s="4">
        <f t="shared" si="19"/>
        <v>2.2809605196779693E-2</v>
      </c>
    </row>
    <row r="91" spans="2:9" x14ac:dyDescent="0.3">
      <c r="B91">
        <v>5</v>
      </c>
      <c r="C91">
        <f>7.8-C83</f>
        <v>7.8</v>
      </c>
      <c r="D91">
        <f>6.6-C82</f>
        <v>6.6</v>
      </c>
      <c r="E91">
        <f t="shared" si="15"/>
        <v>60.839999999999996</v>
      </c>
      <c r="F91">
        <f t="shared" si="16"/>
        <v>51.48</v>
      </c>
      <c r="G91">
        <f t="shared" si="17"/>
        <v>6.4026792418276708</v>
      </c>
      <c r="H91">
        <f t="shared" si="18"/>
        <v>0.19732075817232886</v>
      </c>
      <c r="I91" s="4">
        <f t="shared" si="19"/>
        <v>2.1034825694192738E-2</v>
      </c>
    </row>
    <row r="92" spans="2:9" x14ac:dyDescent="0.3">
      <c r="B92">
        <v>6</v>
      </c>
      <c r="C92">
        <f>9.5+C82</f>
        <v>9.5</v>
      </c>
      <c r="D92">
        <f>6.8+C84</f>
        <v>6.8</v>
      </c>
      <c r="E92">
        <f t="shared" si="15"/>
        <v>90.25</v>
      </c>
      <c r="F92">
        <f t="shared" si="16"/>
        <v>64.599999999999994</v>
      </c>
      <c r="G92">
        <f t="shared" si="17"/>
        <v>6.8484213899826027</v>
      </c>
      <c r="H92">
        <f t="shared" si="18"/>
        <v>4.8421389982602925E-2</v>
      </c>
      <c r="I92" s="4">
        <f t="shared" si="19"/>
        <v>1.9665735234206037E-2</v>
      </c>
    </row>
    <row r="93" spans="2:9" x14ac:dyDescent="0.3">
      <c r="B93">
        <v>7</v>
      </c>
      <c r="C93">
        <f>11+C84</f>
        <v>11</v>
      </c>
      <c r="D93">
        <f>7.4-C82</f>
        <v>7.4</v>
      </c>
      <c r="E93">
        <f t="shared" si="15"/>
        <v>121</v>
      </c>
      <c r="F93">
        <f t="shared" si="16"/>
        <v>81.400000000000006</v>
      </c>
      <c r="G93">
        <f t="shared" si="17"/>
        <v>7.2417232854134248</v>
      </c>
      <c r="H93">
        <f t="shared" si="18"/>
        <v>0.15827671458657555</v>
      </c>
      <c r="I93" s="4">
        <f t="shared" si="19"/>
        <v>1.8597678552416879E-2</v>
      </c>
    </row>
    <row r="94" spans="2:9" x14ac:dyDescent="0.3">
      <c r="B94">
        <v>8</v>
      </c>
      <c r="C94">
        <f>12.7-C84</f>
        <v>12.7</v>
      </c>
      <c r="D94">
        <f>7.5+C83</f>
        <v>7.5</v>
      </c>
      <c r="E94">
        <f t="shared" si="15"/>
        <v>161.29</v>
      </c>
      <c r="F94">
        <f t="shared" si="16"/>
        <v>95.25</v>
      </c>
      <c r="G94">
        <f t="shared" si="17"/>
        <v>7.6874654335683568</v>
      </c>
      <c r="H94">
        <f t="shared" si="18"/>
        <v>0.18746543356835677</v>
      </c>
      <c r="I94" s="4">
        <f t="shared" si="19"/>
        <v>1.751932974418019E-2</v>
      </c>
    </row>
    <row r="95" spans="2:9" x14ac:dyDescent="0.3">
      <c r="B95">
        <v>9</v>
      </c>
      <c r="C95">
        <f>13.9+C83</f>
        <v>13.9</v>
      </c>
      <c r="D95">
        <f>7.9+C84</f>
        <v>7.9</v>
      </c>
      <c r="E95">
        <f t="shared" si="15"/>
        <v>193.21</v>
      </c>
      <c r="F95">
        <f t="shared" si="16"/>
        <v>109.81</v>
      </c>
      <c r="G95">
        <f t="shared" si="17"/>
        <v>8.0021069499130153</v>
      </c>
      <c r="H95">
        <f t="shared" si="18"/>
        <v>0.10210694991301494</v>
      </c>
      <c r="I95" s="4">
        <f t="shared" si="19"/>
        <v>1.6830472608109187E-2</v>
      </c>
    </row>
    <row r="96" spans="2:9" x14ac:dyDescent="0.3">
      <c r="B96">
        <v>10</v>
      </c>
      <c r="C96">
        <f>15.4+C82</f>
        <v>15.4</v>
      </c>
      <c r="D96">
        <f>8.5-C84</f>
        <v>8.5</v>
      </c>
      <c r="E96">
        <f t="shared" si="15"/>
        <v>237.16000000000003</v>
      </c>
      <c r="F96">
        <f t="shared" si="16"/>
        <v>130.9</v>
      </c>
      <c r="G96">
        <f t="shared" si="17"/>
        <v>8.3954088453438374</v>
      </c>
      <c r="H96">
        <f t="shared" si="18"/>
        <v>0.10459115465616264</v>
      </c>
      <c r="I96" s="4">
        <f t="shared" si="19"/>
        <v>1.6042011093047051E-2</v>
      </c>
    </row>
    <row r="97" spans="2:12" x14ac:dyDescent="0.3">
      <c r="B97" t="s">
        <v>81</v>
      </c>
      <c r="C97">
        <f>SUM(C87:C96)</f>
        <v>84.000000000000014</v>
      </c>
      <c r="D97">
        <f t="shared" ref="D97:F97" si="20">SUM(D87:D96)</f>
        <v>65.599999999999994</v>
      </c>
      <c r="E97">
        <f t="shared" si="20"/>
        <v>924.02</v>
      </c>
      <c r="F97">
        <f t="shared" si="20"/>
        <v>608.31000000000006</v>
      </c>
      <c r="H97">
        <f>AVERAGE(H87:H96)</f>
        <v>0.13467924182767116</v>
      </c>
      <c r="I97" s="4">
        <f>AVERAGE(I87:I96)</f>
        <v>2.1304970558446979E-2</v>
      </c>
    </row>
    <row r="100" spans="2:12" x14ac:dyDescent="0.3">
      <c r="B100" t="s">
        <v>82</v>
      </c>
      <c r="D100" t="s">
        <v>83</v>
      </c>
      <c r="F100" t="s">
        <v>84</v>
      </c>
      <c r="H100" t="s">
        <v>85</v>
      </c>
      <c r="K100" t="s">
        <v>86</v>
      </c>
    </row>
    <row r="101" spans="2:12" x14ac:dyDescent="0.3">
      <c r="C101">
        <f>E97</f>
        <v>924.02</v>
      </c>
      <c r="D101">
        <f>C97</f>
        <v>84.000000000000014</v>
      </c>
      <c r="F101">
        <f>F97</f>
        <v>608.31000000000006</v>
      </c>
      <c r="H101" cm="1">
        <f t="array" ref="H101:I102">MINVERSE(C101:D102)</f>
        <v>4.5783353172786437E-3</v>
      </c>
      <c r="I101">
        <v>-3.8458016665140607E-2</v>
      </c>
      <c r="K101" t="s">
        <v>49</v>
      </c>
      <c r="L101" cm="1">
        <f t="array" ref="L101:L102">MMULT(H101:I102,F101:F102)</f>
        <v>0.26220126362054819</v>
      </c>
    </row>
    <row r="102" spans="2:12" x14ac:dyDescent="0.3">
      <c r="C102">
        <f>C97</f>
        <v>84.000000000000014</v>
      </c>
      <c r="D102">
        <f>B96</f>
        <v>10</v>
      </c>
      <c r="F102">
        <f>D97</f>
        <v>65.599999999999994</v>
      </c>
      <c r="H102">
        <v>-3.8458016665140607E-2</v>
      </c>
      <c r="I102">
        <v>0.42304733998718114</v>
      </c>
      <c r="K102" t="s">
        <v>87</v>
      </c>
      <c r="L102">
        <v>4.3575093855873952</v>
      </c>
    </row>
    <row r="104" spans="2:12" x14ac:dyDescent="0.3">
      <c r="B104" t="s">
        <v>88</v>
      </c>
    </row>
    <row r="105" spans="2:12" x14ac:dyDescent="0.3">
      <c r="D105" s="6">
        <v>-3</v>
      </c>
      <c r="E105" s="6">
        <v>-2</v>
      </c>
      <c r="F105" s="6">
        <v>-1</v>
      </c>
      <c r="G105" s="6">
        <v>0</v>
      </c>
      <c r="H105" s="6">
        <v>1</v>
      </c>
      <c r="I105" s="6">
        <v>2</v>
      </c>
    </row>
    <row r="106" spans="2:12" x14ac:dyDescent="0.3">
      <c r="C106" t="s">
        <v>89</v>
      </c>
      <c r="D106">
        <v>2</v>
      </c>
      <c r="E106">
        <v>7</v>
      </c>
      <c r="F106">
        <v>12</v>
      </c>
      <c r="G106" s="6">
        <v>17</v>
      </c>
      <c r="H106">
        <v>22</v>
      </c>
      <c r="I106">
        <v>27</v>
      </c>
      <c r="J106" t="s">
        <v>90</v>
      </c>
    </row>
    <row r="107" spans="2:12" x14ac:dyDescent="0.3">
      <c r="B107" s="7">
        <v>-2</v>
      </c>
      <c r="C107">
        <v>110</v>
      </c>
      <c r="D107">
        <v>2</v>
      </c>
      <c r="E107">
        <v>4</v>
      </c>
      <c r="F107" t="s">
        <v>58</v>
      </c>
      <c r="G107" t="s">
        <v>58</v>
      </c>
      <c r="H107" t="s">
        <v>58</v>
      </c>
      <c r="I107" t="s">
        <v>58</v>
      </c>
      <c r="J107">
        <f>SUM(D107:E107)</f>
        <v>6</v>
      </c>
    </row>
    <row r="108" spans="2:12" x14ac:dyDescent="0.3">
      <c r="B108" s="7">
        <v>-1</v>
      </c>
      <c r="C108">
        <v>120</v>
      </c>
      <c r="D108" t="s">
        <v>58</v>
      </c>
      <c r="E108">
        <v>6</v>
      </c>
      <c r="F108">
        <v>2</v>
      </c>
      <c r="G108" t="s">
        <v>58</v>
      </c>
      <c r="H108" t="s">
        <v>58</v>
      </c>
      <c r="I108" t="s">
        <v>58</v>
      </c>
      <c r="J108">
        <f>SUM(E108:F108)</f>
        <v>8</v>
      </c>
    </row>
    <row r="109" spans="2:12" x14ac:dyDescent="0.3">
      <c r="B109" s="7">
        <v>0</v>
      </c>
      <c r="C109" s="7">
        <v>130</v>
      </c>
      <c r="D109" t="s">
        <v>58</v>
      </c>
      <c r="E109" t="s">
        <v>58</v>
      </c>
      <c r="F109">
        <v>3</v>
      </c>
      <c r="G109">
        <v>50</v>
      </c>
      <c r="H109">
        <v>2</v>
      </c>
      <c r="I109" t="s">
        <v>58</v>
      </c>
      <c r="J109">
        <f>SUM(F109:H109)</f>
        <v>55</v>
      </c>
    </row>
    <row r="110" spans="2:12" x14ac:dyDescent="0.3">
      <c r="B110" s="7">
        <v>1</v>
      </c>
      <c r="C110">
        <v>140</v>
      </c>
      <c r="D110" t="s">
        <v>58</v>
      </c>
      <c r="E110" t="s">
        <v>58</v>
      </c>
      <c r="F110">
        <v>1</v>
      </c>
      <c r="G110">
        <v>10</v>
      </c>
      <c r="H110">
        <v>6</v>
      </c>
      <c r="I110" t="s">
        <v>58</v>
      </c>
      <c r="J110">
        <f>SUM(F110:H110)</f>
        <v>17</v>
      </c>
    </row>
    <row r="111" spans="2:12" x14ac:dyDescent="0.3">
      <c r="B111" s="7">
        <v>2</v>
      </c>
      <c r="C111">
        <v>150</v>
      </c>
      <c r="D111" t="s">
        <v>58</v>
      </c>
      <c r="E111" t="s">
        <v>58</v>
      </c>
      <c r="F111" t="s">
        <v>58</v>
      </c>
      <c r="G111">
        <v>4</v>
      </c>
      <c r="H111">
        <v>7</v>
      </c>
      <c r="I111">
        <v>3</v>
      </c>
      <c r="J111">
        <f>SUM(G111:I111)</f>
        <v>14</v>
      </c>
    </row>
    <row r="112" spans="2:12" x14ac:dyDescent="0.3">
      <c r="C112" t="s">
        <v>91</v>
      </c>
      <c r="D112">
        <f>SUM(D107)</f>
        <v>2</v>
      </c>
      <c r="E112">
        <f>SUM(E107:E111)</f>
        <v>10</v>
      </c>
      <c r="F112">
        <f t="shared" ref="F112:I112" si="21">SUM(F107:F111)</f>
        <v>6</v>
      </c>
      <c r="G112">
        <f t="shared" si="21"/>
        <v>64</v>
      </c>
      <c r="H112">
        <f t="shared" si="21"/>
        <v>15</v>
      </c>
      <c r="I112">
        <f t="shared" si="21"/>
        <v>3</v>
      </c>
      <c r="J112">
        <f>SUM(D107:I111)</f>
        <v>100</v>
      </c>
    </row>
    <row r="114" spans="2:12" x14ac:dyDescent="0.3">
      <c r="C114" t="s">
        <v>92</v>
      </c>
      <c r="D114">
        <v>-3</v>
      </c>
      <c r="E114">
        <v>-2</v>
      </c>
      <c r="F114">
        <v>-1</v>
      </c>
      <c r="G114">
        <v>0</v>
      </c>
      <c r="H114">
        <v>1</v>
      </c>
      <c r="I114">
        <v>2</v>
      </c>
      <c r="K114" t="s">
        <v>93</v>
      </c>
    </row>
    <row r="115" spans="2:12" x14ac:dyDescent="0.3">
      <c r="C115">
        <v>-2</v>
      </c>
      <c r="D115">
        <v>2</v>
      </c>
      <c r="E115">
        <v>4</v>
      </c>
      <c r="F115" t="s">
        <v>58</v>
      </c>
      <c r="G115" t="s">
        <v>58</v>
      </c>
      <c r="H115" t="s">
        <v>58</v>
      </c>
      <c r="I115" t="s">
        <v>58</v>
      </c>
      <c r="J115">
        <f>D115*D114+E115*E114</f>
        <v>-14</v>
      </c>
      <c r="K115">
        <f>J115*C115</f>
        <v>28</v>
      </c>
    </row>
    <row r="116" spans="2:12" x14ac:dyDescent="0.3">
      <c r="C116">
        <v>-1</v>
      </c>
      <c r="D116" t="s">
        <v>58</v>
      </c>
      <c r="E116">
        <v>6</v>
      </c>
      <c r="F116">
        <v>2</v>
      </c>
      <c r="G116" t="s">
        <v>58</v>
      </c>
      <c r="H116" t="s">
        <v>58</v>
      </c>
      <c r="I116" t="s">
        <v>58</v>
      </c>
      <c r="J116">
        <f>E116*E114+F116*F114</f>
        <v>-14</v>
      </c>
      <c r="K116">
        <f t="shared" ref="K116:K119" si="22">J116*C116</f>
        <v>14</v>
      </c>
    </row>
    <row r="117" spans="2:12" x14ac:dyDescent="0.3">
      <c r="C117">
        <v>0</v>
      </c>
      <c r="D117" t="s">
        <v>58</v>
      </c>
      <c r="E117" t="s">
        <v>58</v>
      </c>
      <c r="F117">
        <v>3</v>
      </c>
      <c r="G117">
        <v>50</v>
      </c>
      <c r="H117">
        <v>2</v>
      </c>
      <c r="I117" t="s">
        <v>58</v>
      </c>
      <c r="J117">
        <f>F117*F114+G117*G114+H117*H114</f>
        <v>-1</v>
      </c>
      <c r="K117">
        <f t="shared" si="22"/>
        <v>0</v>
      </c>
    </row>
    <row r="118" spans="2:12" x14ac:dyDescent="0.3">
      <c r="C118">
        <v>1</v>
      </c>
      <c r="D118" t="s">
        <v>58</v>
      </c>
      <c r="E118" t="s">
        <v>58</v>
      </c>
      <c r="F118">
        <v>1</v>
      </c>
      <c r="G118">
        <v>10</v>
      </c>
      <c r="H118">
        <v>6</v>
      </c>
      <c r="I118" t="s">
        <v>58</v>
      </c>
      <c r="J118">
        <f>F118*F114+G118*G114+H118*H114</f>
        <v>5</v>
      </c>
      <c r="K118">
        <f t="shared" si="22"/>
        <v>5</v>
      </c>
    </row>
    <row r="119" spans="2:12" x14ac:dyDescent="0.3">
      <c r="C119">
        <v>2</v>
      </c>
      <c r="D119" t="s">
        <v>58</v>
      </c>
      <c r="E119" t="s">
        <v>58</v>
      </c>
      <c r="F119" t="s">
        <v>58</v>
      </c>
      <c r="G119">
        <v>4</v>
      </c>
      <c r="H119">
        <v>7</v>
      </c>
      <c r="I119">
        <v>3</v>
      </c>
      <c r="J119">
        <f>G119*G114+H119*H114+I119*I114</f>
        <v>13</v>
      </c>
      <c r="K119">
        <f t="shared" si="22"/>
        <v>26</v>
      </c>
    </row>
    <row r="120" spans="2:12" x14ac:dyDescent="0.3">
      <c r="D120">
        <f>D115*C115</f>
        <v>-4</v>
      </c>
      <c r="E120">
        <f>E115*C115+E116*C116</f>
        <v>-14</v>
      </c>
      <c r="F120">
        <f>F116*C116+F117*C117+F118*C118</f>
        <v>-1</v>
      </c>
      <c r="G120">
        <f>G117*C117+G118*C118+G119*C119</f>
        <v>18</v>
      </c>
      <c r="H120">
        <f>H117*C117+H118*C118+H119*C119</f>
        <v>20</v>
      </c>
      <c r="I120">
        <f>I119*C119</f>
        <v>6</v>
      </c>
      <c r="K120" s="5">
        <f>SUM(K115:K119)</f>
        <v>73</v>
      </c>
    </row>
    <row r="121" spans="2:12" x14ac:dyDescent="0.3">
      <c r="C121" t="s">
        <v>94</v>
      </c>
      <c r="D121">
        <f>D120*D114</f>
        <v>12</v>
      </c>
      <c r="E121">
        <f t="shared" ref="E121:I121" si="23">E120*E114</f>
        <v>28</v>
      </c>
      <c r="F121">
        <f t="shared" si="23"/>
        <v>1</v>
      </c>
      <c r="G121">
        <f t="shared" si="23"/>
        <v>0</v>
      </c>
      <c r="H121">
        <f t="shared" si="23"/>
        <v>20</v>
      </c>
      <c r="I121">
        <f t="shared" si="23"/>
        <v>12</v>
      </c>
      <c r="J121" s="5">
        <f>SUM(D121:I121)</f>
        <v>73</v>
      </c>
    </row>
    <row r="123" spans="2:12" x14ac:dyDescent="0.3">
      <c r="B123" t="s">
        <v>95</v>
      </c>
    </row>
    <row r="125" spans="2:12" x14ac:dyDescent="0.3">
      <c r="D125" s="6">
        <v>-4</v>
      </c>
      <c r="E125" s="6">
        <v>-3</v>
      </c>
      <c r="F125" s="6">
        <v>-2</v>
      </c>
      <c r="G125" s="6">
        <v>-1</v>
      </c>
      <c r="H125" s="6">
        <v>0</v>
      </c>
      <c r="I125" s="6">
        <v>1</v>
      </c>
      <c r="J125" s="6">
        <v>2</v>
      </c>
      <c r="K125" s="6">
        <v>3</v>
      </c>
    </row>
    <row r="126" spans="2:12" x14ac:dyDescent="0.3">
      <c r="C126" t="s">
        <v>89</v>
      </c>
      <c r="D126">
        <v>5</v>
      </c>
      <c r="E126">
        <v>10</v>
      </c>
      <c r="F126">
        <v>15</v>
      </c>
      <c r="G126">
        <v>20</v>
      </c>
      <c r="H126" s="6">
        <v>25</v>
      </c>
      <c r="I126">
        <v>30</v>
      </c>
      <c r="J126">
        <v>35</v>
      </c>
      <c r="K126">
        <v>40</v>
      </c>
      <c r="L126" t="s">
        <v>90</v>
      </c>
    </row>
    <row r="127" spans="2:12" x14ac:dyDescent="0.3">
      <c r="B127" s="7">
        <v>-2</v>
      </c>
      <c r="C127">
        <v>100</v>
      </c>
      <c r="D127">
        <v>2</v>
      </c>
      <c r="E127">
        <v>1</v>
      </c>
      <c r="F127" t="s">
        <v>58</v>
      </c>
      <c r="G127" t="s">
        <v>58</v>
      </c>
      <c r="H127" t="s">
        <v>58</v>
      </c>
      <c r="I127" t="s">
        <v>58</v>
      </c>
      <c r="J127" t="s">
        <v>58</v>
      </c>
      <c r="K127" t="s">
        <v>58</v>
      </c>
      <c r="L127">
        <f>SUM(D127:K127)</f>
        <v>3</v>
      </c>
    </row>
    <row r="128" spans="2:12" x14ac:dyDescent="0.3">
      <c r="B128" s="7">
        <v>-1</v>
      </c>
      <c r="C128">
        <v>120</v>
      </c>
      <c r="D128">
        <v>3</v>
      </c>
      <c r="E128">
        <v>4</v>
      </c>
      <c r="F128">
        <v>3</v>
      </c>
      <c r="G128" t="s">
        <v>58</v>
      </c>
      <c r="H128" t="s">
        <v>58</v>
      </c>
      <c r="I128" t="s">
        <v>58</v>
      </c>
      <c r="J128" t="s">
        <v>58</v>
      </c>
      <c r="K128" t="s">
        <v>58</v>
      </c>
      <c r="L128">
        <f t="shared" ref="L128:L131" si="24">SUM(D128:K128)</f>
        <v>10</v>
      </c>
    </row>
    <row r="129" spans="2:13" x14ac:dyDescent="0.3">
      <c r="B129" s="7">
        <v>0</v>
      </c>
      <c r="C129" s="7">
        <v>140</v>
      </c>
      <c r="D129" t="s">
        <v>58</v>
      </c>
      <c r="E129" t="s">
        <v>58</v>
      </c>
      <c r="F129">
        <v>5</v>
      </c>
      <c r="G129">
        <v>10</v>
      </c>
      <c r="H129">
        <v>8</v>
      </c>
      <c r="I129" t="s">
        <v>58</v>
      </c>
      <c r="J129" t="s">
        <v>58</v>
      </c>
      <c r="K129" t="s">
        <v>58</v>
      </c>
      <c r="L129">
        <f t="shared" si="24"/>
        <v>23</v>
      </c>
    </row>
    <row r="130" spans="2:13" x14ac:dyDescent="0.3">
      <c r="B130" s="7">
        <v>1</v>
      </c>
      <c r="C130">
        <v>160</v>
      </c>
      <c r="D130" t="s">
        <v>58</v>
      </c>
      <c r="E130" t="s">
        <v>58</v>
      </c>
      <c r="F130" t="s">
        <v>58</v>
      </c>
      <c r="G130">
        <v>1</v>
      </c>
      <c r="H130" t="s">
        <v>58</v>
      </c>
      <c r="I130">
        <v>6</v>
      </c>
      <c r="J130">
        <v>1</v>
      </c>
      <c r="K130">
        <v>1</v>
      </c>
      <c r="L130">
        <f t="shared" si="24"/>
        <v>9</v>
      </c>
    </row>
    <row r="131" spans="2:13" x14ac:dyDescent="0.3">
      <c r="B131" s="7">
        <v>2</v>
      </c>
      <c r="C131">
        <v>180</v>
      </c>
      <c r="D131" t="s">
        <v>58</v>
      </c>
      <c r="E131" t="s">
        <v>58</v>
      </c>
      <c r="F131" t="s">
        <v>58</v>
      </c>
      <c r="G131" t="s">
        <v>58</v>
      </c>
      <c r="H131" t="s">
        <v>58</v>
      </c>
      <c r="I131" t="s">
        <v>58</v>
      </c>
      <c r="J131">
        <v>4</v>
      </c>
      <c r="K131">
        <v>1</v>
      </c>
      <c r="L131">
        <f t="shared" si="24"/>
        <v>5</v>
      </c>
    </row>
    <row r="132" spans="2:13" x14ac:dyDescent="0.3">
      <c r="C132" t="s">
        <v>91</v>
      </c>
      <c r="D132">
        <f>SUM(D127:D131)</f>
        <v>5</v>
      </c>
      <c r="E132">
        <f t="shared" ref="E132:K132" si="25">SUM(E127:E131)</f>
        <v>5</v>
      </c>
      <c r="F132">
        <f t="shared" si="25"/>
        <v>8</v>
      </c>
      <c r="G132">
        <f t="shared" si="25"/>
        <v>11</v>
      </c>
      <c r="H132">
        <f t="shared" si="25"/>
        <v>8</v>
      </c>
      <c r="I132">
        <f t="shared" si="25"/>
        <v>6</v>
      </c>
      <c r="J132">
        <f t="shared" si="25"/>
        <v>5</v>
      </c>
      <c r="K132">
        <f t="shared" si="25"/>
        <v>2</v>
      </c>
      <c r="L132">
        <f>SUM(D127:K131)</f>
        <v>50</v>
      </c>
    </row>
    <row r="135" spans="2:13" x14ac:dyDescent="0.3">
      <c r="C135" t="s">
        <v>96</v>
      </c>
      <c r="D135">
        <v>-4</v>
      </c>
      <c r="E135">
        <v>-3</v>
      </c>
      <c r="F135">
        <v>-2</v>
      </c>
      <c r="G135">
        <v>-1</v>
      </c>
      <c r="H135">
        <v>0</v>
      </c>
      <c r="I135">
        <v>1</v>
      </c>
      <c r="J135">
        <v>2</v>
      </c>
      <c r="K135">
        <v>3</v>
      </c>
      <c r="M135" t="s">
        <v>93</v>
      </c>
    </row>
    <row r="136" spans="2:13" x14ac:dyDescent="0.3">
      <c r="C136">
        <v>-2</v>
      </c>
      <c r="D136">
        <v>2</v>
      </c>
      <c r="E136">
        <v>1</v>
      </c>
      <c r="F136" t="s">
        <v>58</v>
      </c>
      <c r="G136" t="s">
        <v>58</v>
      </c>
      <c r="H136" t="s">
        <v>58</v>
      </c>
      <c r="I136" t="s">
        <v>58</v>
      </c>
      <c r="J136" t="s">
        <v>58</v>
      </c>
      <c r="K136" t="s">
        <v>58</v>
      </c>
      <c r="L136">
        <f>D136*D135+E136*E135</f>
        <v>-11</v>
      </c>
      <c r="M136">
        <f>L136*C136</f>
        <v>22</v>
      </c>
    </row>
    <row r="137" spans="2:13" x14ac:dyDescent="0.3">
      <c r="C137">
        <v>-1</v>
      </c>
      <c r="D137">
        <v>3</v>
      </c>
      <c r="E137">
        <v>4</v>
      </c>
      <c r="F137">
        <v>3</v>
      </c>
      <c r="G137" t="s">
        <v>58</v>
      </c>
      <c r="H137" t="s">
        <v>58</v>
      </c>
      <c r="I137" t="s">
        <v>58</v>
      </c>
      <c r="J137" t="s">
        <v>58</v>
      </c>
      <c r="K137" t="s">
        <v>58</v>
      </c>
      <c r="L137">
        <f>D137*D135+E137*E135+F137*F135</f>
        <v>-30</v>
      </c>
      <c r="M137">
        <f t="shared" ref="M137:M140" si="26">L137*C137</f>
        <v>30</v>
      </c>
    </row>
    <row r="138" spans="2:13" x14ac:dyDescent="0.3">
      <c r="C138">
        <v>0</v>
      </c>
      <c r="D138" t="s">
        <v>58</v>
      </c>
      <c r="E138" t="s">
        <v>58</v>
      </c>
      <c r="F138">
        <v>5</v>
      </c>
      <c r="G138">
        <v>10</v>
      </c>
      <c r="H138">
        <v>8</v>
      </c>
      <c r="I138" t="s">
        <v>58</v>
      </c>
      <c r="J138" t="s">
        <v>58</v>
      </c>
      <c r="K138" t="s">
        <v>58</v>
      </c>
      <c r="L138">
        <f>F138*F135+G138*G135+H138*H135</f>
        <v>-20</v>
      </c>
      <c r="M138">
        <f t="shared" si="26"/>
        <v>0</v>
      </c>
    </row>
    <row r="139" spans="2:13" x14ac:dyDescent="0.3">
      <c r="C139">
        <v>1</v>
      </c>
      <c r="D139" t="s">
        <v>58</v>
      </c>
      <c r="E139" t="s">
        <v>58</v>
      </c>
      <c r="F139" t="s">
        <v>58</v>
      </c>
      <c r="G139">
        <v>1</v>
      </c>
      <c r="H139" t="s">
        <v>58</v>
      </c>
      <c r="I139">
        <v>6</v>
      </c>
      <c r="J139">
        <v>1</v>
      </c>
      <c r="K139">
        <v>1</v>
      </c>
      <c r="L139">
        <f>G139*G135+I139*I135+J139*J135+K139*K135</f>
        <v>10</v>
      </c>
      <c r="M139">
        <f t="shared" si="26"/>
        <v>10</v>
      </c>
    </row>
    <row r="140" spans="2:13" x14ac:dyDescent="0.3">
      <c r="C140">
        <v>2</v>
      </c>
      <c r="D140" t="s">
        <v>58</v>
      </c>
      <c r="E140" t="s">
        <v>58</v>
      </c>
      <c r="F140" t="s">
        <v>58</v>
      </c>
      <c r="G140" t="s">
        <v>58</v>
      </c>
      <c r="H140" t="s">
        <v>58</v>
      </c>
      <c r="I140" t="s">
        <v>58</v>
      </c>
      <c r="J140">
        <v>4</v>
      </c>
      <c r="K140">
        <v>1</v>
      </c>
      <c r="L140">
        <f>J140*J135+K140*K135</f>
        <v>11</v>
      </c>
      <c r="M140">
        <f t="shared" si="26"/>
        <v>22</v>
      </c>
    </row>
    <row r="141" spans="2:13" x14ac:dyDescent="0.3">
      <c r="D141">
        <f>D136*C136+D137*C137</f>
        <v>-7</v>
      </c>
      <c r="E141">
        <f>E136*C136+E137*C137</f>
        <v>-6</v>
      </c>
      <c r="F141">
        <f>F137*C137+F138*C138</f>
        <v>-3</v>
      </c>
      <c r="G141">
        <f>G138*C138+G139*C139</f>
        <v>1</v>
      </c>
      <c r="H141">
        <f>H138*C138</f>
        <v>0</v>
      </c>
      <c r="I141">
        <f>I139*C139</f>
        <v>6</v>
      </c>
      <c r="J141">
        <f>J139*C139+J140*C140</f>
        <v>9</v>
      </c>
      <c r="K141">
        <f>K139*C139+K140*C140</f>
        <v>3</v>
      </c>
      <c r="M141" s="5">
        <f>SUM(M136:M140)</f>
        <v>84</v>
      </c>
    </row>
    <row r="142" spans="2:13" x14ac:dyDescent="0.3">
      <c r="C142" t="s">
        <v>94</v>
      </c>
      <c r="D142">
        <f>D141*D135</f>
        <v>28</v>
      </c>
      <c r="E142">
        <f t="shared" ref="E142:K142" si="27">E141*E135</f>
        <v>18</v>
      </c>
      <c r="F142">
        <f t="shared" si="27"/>
        <v>6</v>
      </c>
      <c r="G142">
        <f t="shared" si="27"/>
        <v>-1</v>
      </c>
      <c r="H142">
        <f t="shared" si="27"/>
        <v>0</v>
      </c>
      <c r="I142">
        <f t="shared" si="27"/>
        <v>6</v>
      </c>
      <c r="J142">
        <f t="shared" si="27"/>
        <v>18</v>
      </c>
      <c r="K142">
        <f t="shared" si="27"/>
        <v>9</v>
      </c>
      <c r="L142" s="5">
        <f>SUM(D142:K142)</f>
        <v>84</v>
      </c>
    </row>
    <row r="144" spans="2:13" x14ac:dyDescent="0.3">
      <c r="B144" t="s">
        <v>97</v>
      </c>
    </row>
    <row r="146" spans="1:13" x14ac:dyDescent="0.3">
      <c r="B146" t="s">
        <v>89</v>
      </c>
      <c r="C146">
        <v>0</v>
      </c>
      <c r="D146">
        <v>4</v>
      </c>
      <c r="E146">
        <v>5</v>
      </c>
      <c r="F146" t="s">
        <v>90</v>
      </c>
    </row>
    <row r="147" spans="1:13" x14ac:dyDescent="0.3">
      <c r="B147">
        <v>1</v>
      </c>
      <c r="C147">
        <v>50</v>
      </c>
      <c r="D147">
        <v>5</v>
      </c>
      <c r="E147">
        <v>1</v>
      </c>
      <c r="F147">
        <f>SUM(C147:E147)</f>
        <v>56</v>
      </c>
    </row>
    <row r="148" spans="1:13" x14ac:dyDescent="0.3">
      <c r="B148">
        <v>35</v>
      </c>
      <c r="C148" t="s">
        <v>58</v>
      </c>
      <c r="D148">
        <v>44</v>
      </c>
      <c r="E148" t="s">
        <v>58</v>
      </c>
      <c r="F148">
        <f t="shared" ref="F148:F149" si="28">SUM(C148:E148)</f>
        <v>44</v>
      </c>
    </row>
    <row r="149" spans="1:13" x14ac:dyDescent="0.3">
      <c r="B149">
        <v>50</v>
      </c>
      <c r="C149" t="s">
        <v>58</v>
      </c>
      <c r="D149">
        <v>5</v>
      </c>
      <c r="E149">
        <v>45</v>
      </c>
      <c r="F149">
        <f t="shared" si="28"/>
        <v>50</v>
      </c>
    </row>
    <row r="150" spans="1:13" x14ac:dyDescent="0.3">
      <c r="B150" t="s">
        <v>91</v>
      </c>
      <c r="C150">
        <f>SUM(C147:C149)</f>
        <v>50</v>
      </c>
      <c r="D150">
        <f t="shared" ref="D150:E150" si="29">SUM(D147:D149)</f>
        <v>54</v>
      </c>
      <c r="E150">
        <f t="shared" si="29"/>
        <v>46</v>
      </c>
      <c r="F150">
        <f>SUM(C147:E149)</f>
        <v>150</v>
      </c>
    </row>
    <row r="151" spans="1:13" x14ac:dyDescent="0.3">
      <c r="B151" t="s">
        <v>98</v>
      </c>
      <c r="C151">
        <v>1</v>
      </c>
      <c r="D151">
        <v>33.240699999999997</v>
      </c>
      <c r="E151">
        <v>48.934800000000003</v>
      </c>
    </row>
    <row r="153" spans="1:13" x14ac:dyDescent="0.3">
      <c r="B153" t="s">
        <v>99</v>
      </c>
      <c r="C153" t="s">
        <v>101</v>
      </c>
      <c r="E153" t="s">
        <v>100</v>
      </c>
      <c r="F153" t="s">
        <v>102</v>
      </c>
      <c r="G153" t="s">
        <v>103</v>
      </c>
      <c r="H153" t="s">
        <v>104</v>
      </c>
    </row>
    <row r="154" spans="1:13" x14ac:dyDescent="0.3">
      <c r="B154">
        <v>0</v>
      </c>
      <c r="C154">
        <f>C150</f>
        <v>50</v>
      </c>
      <c r="D154">
        <f>C151</f>
        <v>1</v>
      </c>
      <c r="E154">
        <f>C154*B154</f>
        <v>0</v>
      </c>
      <c r="F154">
        <f>C154*B154^2</f>
        <v>0</v>
      </c>
      <c r="G154">
        <f>C154*B154^3</f>
        <v>0</v>
      </c>
      <c r="H154">
        <f>C154*B154^4</f>
        <v>0</v>
      </c>
      <c r="I154">
        <f>C154*D154</f>
        <v>50</v>
      </c>
      <c r="J154" s="1">
        <f>C154*D154*B154</f>
        <v>0</v>
      </c>
      <c r="K154" s="1">
        <f>C154*D154*B154^2</f>
        <v>0</v>
      </c>
      <c r="L154" s="2">
        <v>692.04100000000005</v>
      </c>
      <c r="M154" s="2">
        <v>692.04100000000005</v>
      </c>
    </row>
    <row r="155" spans="1:13" x14ac:dyDescent="0.3">
      <c r="B155">
        <v>4</v>
      </c>
      <c r="C155">
        <f>D150</f>
        <v>54</v>
      </c>
      <c r="D155">
        <f>D151</f>
        <v>33.240699999999997</v>
      </c>
      <c r="E155">
        <f t="shared" ref="E155:E156" si="30">C155*B155</f>
        <v>216</v>
      </c>
      <c r="F155">
        <f t="shared" ref="F155:F156" si="31">C155*B155^2</f>
        <v>864</v>
      </c>
      <c r="G155">
        <f t="shared" ref="G155:G156" si="32">C155*B155^3</f>
        <v>3456</v>
      </c>
      <c r="H155">
        <f t="shared" ref="H155:H156" si="33">C155*B155^4</f>
        <v>13824</v>
      </c>
      <c r="I155" s="1">
        <f t="shared" ref="I155:I156" si="34">C155*D155</f>
        <v>1794.9977999999999</v>
      </c>
      <c r="J155" s="1">
        <f t="shared" ref="J155:J156" si="35">C155*D155*B155</f>
        <v>7179.9911999999995</v>
      </c>
      <c r="K155" s="1">
        <f t="shared" ref="K155:K156" si="36">C155*D155*B155^2</f>
        <v>28719.964799999998</v>
      </c>
      <c r="L155" s="2">
        <v>35.213200000000001</v>
      </c>
      <c r="M155" s="2">
        <v>59.187399999999997</v>
      </c>
    </row>
    <row r="156" spans="1:13" x14ac:dyDescent="0.3">
      <c r="B156">
        <v>5</v>
      </c>
      <c r="C156">
        <f>E150</f>
        <v>46</v>
      </c>
      <c r="D156">
        <f>E151</f>
        <v>48.934800000000003</v>
      </c>
      <c r="E156">
        <f t="shared" si="30"/>
        <v>230</v>
      </c>
      <c r="F156">
        <f t="shared" si="31"/>
        <v>1150</v>
      </c>
      <c r="G156">
        <f t="shared" si="32"/>
        <v>5750</v>
      </c>
      <c r="H156">
        <f t="shared" si="33"/>
        <v>28750</v>
      </c>
      <c r="I156" s="1">
        <f t="shared" si="34"/>
        <v>2251.0008000000003</v>
      </c>
      <c r="J156" s="1">
        <f t="shared" si="35"/>
        <v>11255.004000000001</v>
      </c>
      <c r="K156" s="1">
        <f t="shared" si="36"/>
        <v>56275.020000000004</v>
      </c>
      <c r="L156" s="2">
        <v>467.77499999999998</v>
      </c>
      <c r="M156" s="2">
        <v>514.98699999999997</v>
      </c>
    </row>
    <row r="157" spans="1:13" x14ac:dyDescent="0.3">
      <c r="A157" t="s">
        <v>105</v>
      </c>
      <c r="B157">
        <f>SUM(B154:B156)</f>
        <v>9</v>
      </c>
      <c r="C157">
        <f t="shared" ref="C157:K157" si="37">SUM(C154:C156)</f>
        <v>150</v>
      </c>
      <c r="D157" t="s">
        <v>58</v>
      </c>
      <c r="E157">
        <f t="shared" si="37"/>
        <v>446</v>
      </c>
      <c r="F157">
        <f t="shared" si="37"/>
        <v>2014</v>
      </c>
      <c r="G157">
        <f t="shared" si="37"/>
        <v>9206</v>
      </c>
      <c r="H157">
        <f t="shared" si="37"/>
        <v>42574</v>
      </c>
      <c r="I157">
        <f t="shared" si="37"/>
        <v>4095.9985999999999</v>
      </c>
      <c r="J157">
        <f t="shared" si="37"/>
        <v>18434.995200000001</v>
      </c>
      <c r="K157">
        <f t="shared" si="37"/>
        <v>84994.984800000006</v>
      </c>
    </row>
    <row r="160" spans="1:13" x14ac:dyDescent="0.3">
      <c r="B160" t="s">
        <v>49</v>
      </c>
      <c r="C160" t="s">
        <v>87</v>
      </c>
      <c r="D160" t="s">
        <v>106</v>
      </c>
      <c r="E160" t="s">
        <v>84</v>
      </c>
      <c r="G160" t="s">
        <v>107</v>
      </c>
      <c r="J160" t="s">
        <v>108</v>
      </c>
    </row>
    <row r="161" spans="2:27" x14ac:dyDescent="0.3">
      <c r="B161">
        <f>H157</f>
        <v>42574</v>
      </c>
      <c r="C161">
        <f>G157</f>
        <v>9206</v>
      </c>
      <c r="D161">
        <f>F157</f>
        <v>2014</v>
      </c>
      <c r="E161">
        <f>K157</f>
        <v>84994.984800000006</v>
      </c>
      <c r="G161" cm="1">
        <f t="array" ref="G161:I163">MINVERSE(B161:D163)</f>
        <v>2.0769726247987274E-3</v>
      </c>
      <c r="H161">
        <v>-9.7152979066023309E-3</v>
      </c>
      <c r="I161">
        <v>1.0000000000000156E-3</v>
      </c>
      <c r="J161" t="s">
        <v>50</v>
      </c>
      <c r="K161">
        <v>1.52677</v>
      </c>
    </row>
    <row r="162" spans="2:27" x14ac:dyDescent="0.3">
      <c r="B162">
        <f>G157</f>
        <v>9206</v>
      </c>
      <c r="C162">
        <f>F157</f>
        <v>2014</v>
      </c>
      <c r="D162">
        <f>E157</f>
        <v>446</v>
      </c>
      <c r="E162">
        <f>J157</f>
        <v>18434.995200000001</v>
      </c>
      <c r="G162">
        <v>-9.7152979066023309E-3</v>
      </c>
      <c r="H162">
        <v>4.6898228663446423E-2</v>
      </c>
      <c r="I162">
        <v>-9.0000000000000774E-3</v>
      </c>
      <c r="J162" t="s">
        <v>109</v>
      </c>
      <c r="K162">
        <v>1.9531000000000001</v>
      </c>
    </row>
    <row r="163" spans="2:27" x14ac:dyDescent="0.3">
      <c r="B163">
        <f>F157</f>
        <v>2014</v>
      </c>
      <c r="C163">
        <f>E157</f>
        <v>446</v>
      </c>
      <c r="D163">
        <f>C157</f>
        <v>150</v>
      </c>
      <c r="E163">
        <f>I157</f>
        <v>4095.9985999999999</v>
      </c>
      <c r="G163">
        <v>1.0000000000000156E-3</v>
      </c>
      <c r="H163">
        <v>-9.0000000000000774E-3</v>
      </c>
      <c r="I163">
        <v>2.0000000000000021E-2</v>
      </c>
      <c r="J163" t="s">
        <v>110</v>
      </c>
      <c r="K163">
        <v>1</v>
      </c>
    </row>
    <row r="166" spans="2:27" x14ac:dyDescent="0.3">
      <c r="B166" t="s">
        <v>111</v>
      </c>
    </row>
    <row r="168" spans="2:27" ht="15.6" x14ac:dyDescent="0.3">
      <c r="B168" t="s">
        <v>112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2:27" ht="15.6" x14ac:dyDescent="0.3">
      <c r="B169" s="12">
        <v>-2.202</v>
      </c>
      <c r="C169" s="12">
        <v>-1.764</v>
      </c>
      <c r="D169" s="12">
        <v>-1.325</v>
      </c>
      <c r="E169" s="12">
        <v>-0.88700000000000001</v>
      </c>
      <c r="F169" s="12">
        <v>-0.44800000000000001</v>
      </c>
      <c r="G169" s="12">
        <v>-0.01</v>
      </c>
      <c r="H169" s="12">
        <v>0.42899999999999999</v>
      </c>
      <c r="I169" s="12">
        <v>0.86799999999999999</v>
      </c>
      <c r="J169" s="12">
        <v>1.306</v>
      </c>
      <c r="K169" s="12">
        <v>1.7450000000000001</v>
      </c>
      <c r="M169" s="12" t="s">
        <v>2</v>
      </c>
      <c r="N169" s="12">
        <f>SUM(B171:K171)</f>
        <v>200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2:27" ht="15.6" x14ac:dyDescent="0.3">
      <c r="B170" s="12">
        <v>-1.764</v>
      </c>
      <c r="C170" s="12">
        <v>-1.325</v>
      </c>
      <c r="D170" s="12">
        <v>-0.88700000000000001</v>
      </c>
      <c r="E170" s="12">
        <v>-0.44800000000000001</v>
      </c>
      <c r="F170" s="12">
        <v>-0.01</v>
      </c>
      <c r="G170" s="12">
        <v>0.42899999999999999</v>
      </c>
      <c r="H170" s="12">
        <v>0.86799999999999999</v>
      </c>
      <c r="I170" s="12">
        <v>1.306</v>
      </c>
      <c r="J170" s="12">
        <v>1.7450000000000001</v>
      </c>
      <c r="K170" s="12">
        <v>2.1829999999999998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2:27" x14ac:dyDescent="0.3">
      <c r="B171" s="12">
        <v>4</v>
      </c>
      <c r="C171" s="12">
        <v>11</v>
      </c>
      <c r="D171" s="12">
        <v>28</v>
      </c>
      <c r="E171" s="12">
        <v>22</v>
      </c>
      <c r="F171" s="12">
        <v>38</v>
      </c>
      <c r="G171" s="12">
        <v>33</v>
      </c>
      <c r="H171" s="12">
        <v>32</v>
      </c>
      <c r="I171" s="12">
        <v>17</v>
      </c>
      <c r="J171" s="12">
        <v>11</v>
      </c>
      <c r="K171" s="12">
        <v>4</v>
      </c>
    </row>
    <row r="172" spans="2:27" x14ac:dyDescent="0.3">
      <c r="C172" s="2"/>
      <c r="S172" s="2"/>
    </row>
    <row r="173" spans="2:27" ht="15.6" x14ac:dyDescent="0.3">
      <c r="B173" s="10" t="s">
        <v>6</v>
      </c>
      <c r="C173" s="11" t="s">
        <v>136</v>
      </c>
      <c r="D173" s="10" t="s">
        <v>137</v>
      </c>
      <c r="E173" s="10" t="s">
        <v>138</v>
      </c>
      <c r="F173" s="10" t="s">
        <v>139</v>
      </c>
      <c r="G173" s="10" t="s">
        <v>140</v>
      </c>
      <c r="H173" s="10" t="s">
        <v>141</v>
      </c>
      <c r="J173" s="12" t="s">
        <v>32</v>
      </c>
      <c r="K173" s="12">
        <f>(E187*G187+E188*G188+E189*G189+E190*G190+E191*G191+E192*G192+E193*G193+E194*G194+E195*G195+E196*G196)/F183</f>
        <v>-4.2477500000000029E-2</v>
      </c>
      <c r="M173" s="13" t="s">
        <v>118</v>
      </c>
      <c r="N173" s="12">
        <f>K173</f>
        <v>-4.2477500000000029E-2</v>
      </c>
      <c r="S173" s="2"/>
    </row>
    <row r="174" spans="2:27" ht="15.6" x14ac:dyDescent="0.3">
      <c r="B174" s="10">
        <v>1</v>
      </c>
      <c r="C174" s="10">
        <v>-2.202</v>
      </c>
      <c r="D174" s="10">
        <v>-1.764</v>
      </c>
      <c r="E174" s="10">
        <v>4</v>
      </c>
      <c r="F174" s="10">
        <f>E174</f>
        <v>4</v>
      </c>
      <c r="G174" s="10">
        <f>E174/$F$183</f>
        <v>0.02</v>
      </c>
      <c r="H174" s="10">
        <f>G174</f>
        <v>0.02</v>
      </c>
      <c r="J174" s="12" t="s">
        <v>33</v>
      </c>
      <c r="K174" s="12">
        <f>(F187*G187+F188*G188+F189*G189+F190*G190+F191*G191+F192*G192+F193*G193+F194*G194+F195*G195+F196*G196)/F183-K173*K173</f>
        <v>0.81837367324374999</v>
      </c>
      <c r="M174" s="13" t="s">
        <v>119</v>
      </c>
      <c r="N174" s="12">
        <f>K176</f>
        <v>0.90691019608479573</v>
      </c>
      <c r="S174" s="2"/>
    </row>
    <row r="175" spans="2:27" ht="15.6" x14ac:dyDescent="0.3">
      <c r="B175" s="10">
        <v>2</v>
      </c>
      <c r="C175" s="10">
        <v>-1.764</v>
      </c>
      <c r="D175" s="10">
        <v>-1.325</v>
      </c>
      <c r="E175" s="10">
        <v>11</v>
      </c>
      <c r="F175" s="10">
        <f>F174+E175</f>
        <v>15</v>
      </c>
      <c r="G175" s="10">
        <f t="shared" ref="G175:G183" si="38">E175/$F$183</f>
        <v>5.5E-2</v>
      </c>
      <c r="H175" s="10">
        <f>H174+G175</f>
        <v>7.4999999999999997E-2</v>
      </c>
      <c r="J175" s="12" t="s">
        <v>113</v>
      </c>
      <c r="K175" s="12">
        <f>200/199*K174</f>
        <v>0.8224861037625627</v>
      </c>
      <c r="M175" s="14" t="s">
        <v>120</v>
      </c>
      <c r="N175" s="12">
        <v>0.95</v>
      </c>
      <c r="R175" s="2"/>
    </row>
    <row r="176" spans="2:27" ht="15.6" x14ac:dyDescent="0.3">
      <c r="B176" s="10">
        <v>3</v>
      </c>
      <c r="C176" s="10">
        <v>-1.325</v>
      </c>
      <c r="D176" s="10">
        <v>-0.88700000000000001</v>
      </c>
      <c r="E176" s="10">
        <v>28</v>
      </c>
      <c r="F176" s="10">
        <f t="shared" ref="F176:F183" si="39">F175+E176</f>
        <v>43</v>
      </c>
      <c r="G176" s="10">
        <f t="shared" si="38"/>
        <v>0.14000000000000001</v>
      </c>
      <c r="H176" s="10">
        <f t="shared" ref="H176:H183" si="40">H175+G176</f>
        <v>0.21500000000000002</v>
      </c>
      <c r="J176" s="12" t="s">
        <v>46</v>
      </c>
      <c r="K176" s="12">
        <f>SQRT(K175)</f>
        <v>0.90691019608479573</v>
      </c>
      <c r="M176" s="13" t="s">
        <v>121</v>
      </c>
      <c r="N176" s="12">
        <v>0.47499999999999998</v>
      </c>
      <c r="R176" s="2"/>
    </row>
    <row r="177" spans="2:28" ht="15.6" x14ac:dyDescent="0.3">
      <c r="B177" s="10">
        <v>4</v>
      </c>
      <c r="C177" s="10">
        <v>-0.88700000000000001</v>
      </c>
      <c r="D177" s="10">
        <v>-0.44800000000000001</v>
      </c>
      <c r="E177" s="10">
        <v>22</v>
      </c>
      <c r="F177" s="10">
        <f t="shared" si="39"/>
        <v>65</v>
      </c>
      <c r="G177" s="10">
        <f t="shared" si="38"/>
        <v>0.11</v>
      </c>
      <c r="H177" s="10">
        <f t="shared" si="40"/>
        <v>0.32500000000000001</v>
      </c>
      <c r="J177" s="12" t="s">
        <v>114</v>
      </c>
      <c r="K177" s="12">
        <f>SUM(H187:H196)/F183/K176^3</f>
        <v>3.0109621460948449E-2</v>
      </c>
      <c r="M177" s="13" t="s">
        <v>122</v>
      </c>
      <c r="N177" s="12">
        <v>1.96</v>
      </c>
    </row>
    <row r="178" spans="2:28" ht="15.6" x14ac:dyDescent="0.3">
      <c r="B178" s="10">
        <v>5</v>
      </c>
      <c r="C178" s="10">
        <v>-0.44800000000000001</v>
      </c>
      <c r="D178" s="10">
        <v>-0.01</v>
      </c>
      <c r="E178" s="10">
        <v>38</v>
      </c>
      <c r="F178" s="10">
        <f t="shared" si="39"/>
        <v>103</v>
      </c>
      <c r="G178" s="10">
        <f t="shared" si="38"/>
        <v>0.19</v>
      </c>
      <c r="H178" s="10">
        <f t="shared" si="40"/>
        <v>0.51500000000000001</v>
      </c>
      <c r="J178" s="12" t="s">
        <v>115</v>
      </c>
      <c r="K178" s="12">
        <f>SUM(I187:I196) / 200 / POWER(K176,4) - 3</f>
        <v>-0.64702085330335501</v>
      </c>
      <c r="M178" s="13" t="s">
        <v>123</v>
      </c>
      <c r="N178" s="12">
        <v>0.126</v>
      </c>
    </row>
    <row r="179" spans="2:28" ht="15.6" x14ac:dyDescent="0.3">
      <c r="B179" s="10">
        <v>6</v>
      </c>
      <c r="C179" s="10">
        <v>-0.01</v>
      </c>
      <c r="D179" s="10">
        <v>0.42899999999999999</v>
      </c>
      <c r="E179" s="10">
        <v>33</v>
      </c>
      <c r="F179" s="10">
        <f t="shared" si="39"/>
        <v>136</v>
      </c>
      <c r="G179" s="10">
        <f t="shared" si="38"/>
        <v>0.16500000000000001</v>
      </c>
      <c r="H179" s="10">
        <f t="shared" si="40"/>
        <v>0.68</v>
      </c>
      <c r="J179" s="12" t="s">
        <v>116</v>
      </c>
      <c r="K179" s="12">
        <f>AVERAGE(C178:D178)</f>
        <v>-0.22900000000000001</v>
      </c>
      <c r="M179" s="9" t="s">
        <v>124</v>
      </c>
      <c r="P179" t="s">
        <v>125</v>
      </c>
    </row>
    <row r="180" spans="2:28" x14ac:dyDescent="0.3">
      <c r="B180" s="10">
        <v>7</v>
      </c>
      <c r="C180" s="10">
        <v>0.42899999999999999</v>
      </c>
      <c r="D180" s="10">
        <v>0.86799999999999999</v>
      </c>
      <c r="E180" s="10">
        <v>32</v>
      </c>
      <c r="F180" s="10">
        <f t="shared" si="39"/>
        <v>168</v>
      </c>
      <c r="G180" s="10">
        <f t="shared" si="38"/>
        <v>0.16</v>
      </c>
      <c r="H180" s="10">
        <f t="shared" si="40"/>
        <v>0.84000000000000008</v>
      </c>
      <c r="J180" s="12" t="s">
        <v>117</v>
      </c>
      <c r="K180" s="12">
        <v>-0.66800000000000004</v>
      </c>
    </row>
    <row r="181" spans="2:28" x14ac:dyDescent="0.3">
      <c r="B181" s="10">
        <v>8</v>
      </c>
      <c r="C181" s="10">
        <v>0.86799999999999999</v>
      </c>
      <c r="D181" s="10">
        <v>1.306</v>
      </c>
      <c r="E181" s="10">
        <v>17</v>
      </c>
      <c r="F181" s="10">
        <f t="shared" si="39"/>
        <v>185</v>
      </c>
      <c r="G181" s="10">
        <f t="shared" si="38"/>
        <v>8.5000000000000006E-2</v>
      </c>
      <c r="H181" s="10">
        <f t="shared" si="40"/>
        <v>0.92500000000000004</v>
      </c>
    </row>
    <row r="182" spans="2:28" x14ac:dyDescent="0.3">
      <c r="B182" s="10">
        <v>9</v>
      </c>
      <c r="C182" s="10">
        <v>1.306</v>
      </c>
      <c r="D182" s="10">
        <v>1.7450000000000001</v>
      </c>
      <c r="E182" s="10">
        <v>11</v>
      </c>
      <c r="F182" s="10">
        <f t="shared" si="39"/>
        <v>196</v>
      </c>
      <c r="G182" s="10">
        <f t="shared" si="38"/>
        <v>5.5E-2</v>
      </c>
      <c r="H182" s="10">
        <f t="shared" si="40"/>
        <v>0.98000000000000009</v>
      </c>
    </row>
    <row r="183" spans="2:28" x14ac:dyDescent="0.3">
      <c r="B183" s="10">
        <v>10</v>
      </c>
      <c r="C183" s="10">
        <v>1.7450000000000001</v>
      </c>
      <c r="D183" s="10">
        <v>2.1829999999999998</v>
      </c>
      <c r="E183" s="10">
        <v>4</v>
      </c>
      <c r="F183" s="10">
        <f t="shared" si="39"/>
        <v>200</v>
      </c>
      <c r="G183" s="10">
        <f t="shared" si="38"/>
        <v>0.02</v>
      </c>
      <c r="H183" s="10">
        <f t="shared" si="40"/>
        <v>1</v>
      </c>
      <c r="L183" t="s">
        <v>29</v>
      </c>
      <c r="M183">
        <v>200</v>
      </c>
      <c r="O183" t="s">
        <v>32</v>
      </c>
      <c r="P183">
        <f>K173</f>
        <v>-4.2477500000000029E-2</v>
      </c>
      <c r="R183" t="s">
        <v>46</v>
      </c>
      <c r="S183">
        <f>K176</f>
        <v>0.90691019608479573</v>
      </c>
    </row>
    <row r="184" spans="2:28" x14ac:dyDescent="0.3">
      <c r="Z184">
        <f>SUM(Z187:Z196)</f>
        <v>8.1993408121892593</v>
      </c>
      <c r="AB184">
        <f>SUM(AB187:AB196)</f>
        <v>208.19934081218929</v>
      </c>
    </row>
    <row r="186" spans="2:28" x14ac:dyDescent="0.3">
      <c r="B186" s="10" t="s">
        <v>6</v>
      </c>
      <c r="C186" s="11" t="s">
        <v>136</v>
      </c>
      <c r="D186" s="10" t="s">
        <v>137</v>
      </c>
      <c r="E186" s="12" t="s">
        <v>136</v>
      </c>
      <c r="F186" s="12" t="s">
        <v>142</v>
      </c>
      <c r="G186" s="12" t="s">
        <v>138</v>
      </c>
      <c r="H186" s="12" t="s">
        <v>143</v>
      </c>
      <c r="I186" s="12" t="s">
        <v>144</v>
      </c>
      <c r="L186" s="10" t="s">
        <v>6</v>
      </c>
      <c r="M186" s="11" t="s">
        <v>136</v>
      </c>
      <c r="N186" s="10" t="s">
        <v>137</v>
      </c>
      <c r="O186" s="10" t="s">
        <v>138</v>
      </c>
      <c r="P186" s="12" t="s">
        <v>145</v>
      </c>
      <c r="Q186" s="12" t="s">
        <v>146</v>
      </c>
      <c r="R186" s="12" t="s">
        <v>126</v>
      </c>
      <c r="S186" s="12" t="s">
        <v>127</v>
      </c>
      <c r="T186" s="12" t="s">
        <v>128</v>
      </c>
      <c r="U186" s="12" t="s">
        <v>129</v>
      </c>
      <c r="V186" s="12" t="s">
        <v>130</v>
      </c>
      <c r="W186" s="12" t="s">
        <v>147</v>
      </c>
      <c r="X186" s="12" t="s">
        <v>148</v>
      </c>
      <c r="Y186" s="12" t="s">
        <v>149</v>
      </c>
      <c r="Z186" s="12" t="s">
        <v>150</v>
      </c>
      <c r="AA186" s="12" t="s">
        <v>151</v>
      </c>
      <c r="AB186" s="12" t="s">
        <v>152</v>
      </c>
    </row>
    <row r="187" spans="2:28" x14ac:dyDescent="0.3">
      <c r="B187" s="10">
        <v>1</v>
      </c>
      <c r="C187" s="10">
        <v>-2.202</v>
      </c>
      <c r="D187" s="10">
        <v>-1.764</v>
      </c>
      <c r="E187" s="12">
        <f>AVERAGE(C187:D187)</f>
        <v>-1.9830000000000001</v>
      </c>
      <c r="F187" s="12">
        <f>E187^2</f>
        <v>3.9322890000000004</v>
      </c>
      <c r="G187" s="10">
        <v>4</v>
      </c>
      <c r="H187" s="12">
        <f>(E187-$K$173)^3*G187</f>
        <v>-29.229140128156089</v>
      </c>
      <c r="I187" s="12">
        <f>(E187-$K$173)^4*G187</f>
        <v>56.719804074339784</v>
      </c>
      <c r="L187" s="10">
        <v>1</v>
      </c>
      <c r="M187" s="10">
        <v>-2.202</v>
      </c>
      <c r="N187" s="10">
        <v>-1.764</v>
      </c>
      <c r="O187" s="10">
        <v>4</v>
      </c>
      <c r="P187" s="12" t="s">
        <v>58</v>
      </c>
      <c r="Q187" s="12">
        <f>N187-$P$183</f>
        <v>-1.7215225000000001</v>
      </c>
      <c r="R187" s="12" t="str">
        <f>"-∞"</f>
        <v>-∞</v>
      </c>
      <c r="S187" s="12">
        <f>Q187/$S$183</f>
        <v>-1.8982281899927371</v>
      </c>
      <c r="T187" s="12">
        <v>-0.5</v>
      </c>
      <c r="U187" s="12">
        <v>-0.47060000000000002</v>
      </c>
      <c r="V187" s="12">
        <f>U187-T187</f>
        <v>2.9399999999999982E-2</v>
      </c>
      <c r="W187" s="12">
        <f>V187*$M$183</f>
        <v>5.8799999999999963</v>
      </c>
      <c r="X187" s="12">
        <f>O187-W187</f>
        <v>-1.8799999999999963</v>
      </c>
      <c r="Y187" s="12">
        <f>X187*X187</f>
        <v>3.5343999999999864</v>
      </c>
      <c r="Z187" s="12">
        <f>Y187/W187</f>
        <v>0.60108843537414769</v>
      </c>
      <c r="AA187" s="12">
        <f>O187*O187</f>
        <v>16</v>
      </c>
      <c r="AB187" s="12">
        <f>AA187/W187</f>
        <v>2.7210884353741513</v>
      </c>
    </row>
    <row r="188" spans="2:28" x14ac:dyDescent="0.3">
      <c r="B188" s="10">
        <v>2</v>
      </c>
      <c r="C188" s="10">
        <v>-1.764</v>
      </c>
      <c r="D188" s="10">
        <v>-1.325</v>
      </c>
      <c r="E188" s="12">
        <f t="shared" ref="E188:E196" si="41">AVERAGE(C188:D188)</f>
        <v>-1.5445</v>
      </c>
      <c r="F188" s="12">
        <f t="shared" ref="F188:F196" si="42">E188^2</f>
        <v>2.3854802500000001</v>
      </c>
      <c r="G188" s="10">
        <v>11</v>
      </c>
      <c r="H188" s="12">
        <f t="shared" ref="H188:H196" si="43">(E188-$K$173)^3*G188</f>
        <v>-37.275373196062915</v>
      </c>
      <c r="I188" s="12">
        <f t="shared" ref="I188:I196" si="44">(E188-$K$173)^4*G188</f>
        <v>55.98844923638341</v>
      </c>
      <c r="L188" s="10">
        <v>2</v>
      </c>
      <c r="M188" s="10">
        <v>-1.764</v>
      </c>
      <c r="N188" s="10">
        <v>-1.325</v>
      </c>
      <c r="O188" s="10">
        <v>11</v>
      </c>
      <c r="P188" s="12">
        <f>M188-$P$183</f>
        <v>-1.7215225000000001</v>
      </c>
      <c r="Q188" s="12">
        <f t="shared" ref="Q188:Q195" si="45">N188-$P$183</f>
        <v>-1.2825225</v>
      </c>
      <c r="R188" s="12">
        <f>P188/$S$183</f>
        <v>-1.8982281899927371</v>
      </c>
      <c r="S188" s="12">
        <f t="shared" ref="S188:S195" si="46">Q188/$S$183</f>
        <v>-1.414167031682688</v>
      </c>
      <c r="T188" s="12">
        <v>-0.47060000000000002</v>
      </c>
      <c r="U188" s="12">
        <v>-0.42070000000000002</v>
      </c>
      <c r="V188" s="12">
        <f t="shared" ref="V188:V196" si="47">U188-T188</f>
        <v>4.99E-2</v>
      </c>
      <c r="W188" s="12">
        <f t="shared" ref="W188:W196" si="48">V188*$M$183</f>
        <v>9.98</v>
      </c>
      <c r="X188" s="12">
        <f t="shared" ref="X188:X196" si="49">O188-W188</f>
        <v>1.0199999999999996</v>
      </c>
      <c r="Y188" s="12">
        <f t="shared" ref="Y188:Y196" si="50">X188*X188</f>
        <v>1.0403999999999991</v>
      </c>
      <c r="Z188" s="12">
        <f t="shared" ref="Z188:Z196" si="51">Y188/W188</f>
        <v>0.10424849699398789</v>
      </c>
      <c r="AA188" s="12">
        <f t="shared" ref="AA188:AA196" si="52">O188*O188</f>
        <v>121</v>
      </c>
      <c r="AB188" s="12">
        <f t="shared" ref="AB188:AB196" si="53">AA188/W188</f>
        <v>12.124248496993987</v>
      </c>
    </row>
    <row r="189" spans="2:28" x14ac:dyDescent="0.3">
      <c r="B189" s="10">
        <v>3</v>
      </c>
      <c r="C189" s="10">
        <v>-1.325</v>
      </c>
      <c r="D189" s="10">
        <v>-0.88700000000000001</v>
      </c>
      <c r="E189" s="12">
        <f t="shared" si="41"/>
        <v>-1.1059999999999999</v>
      </c>
      <c r="F189" s="12">
        <f t="shared" si="42"/>
        <v>1.2232359999999998</v>
      </c>
      <c r="G189" s="10">
        <v>28</v>
      </c>
      <c r="H189" s="12">
        <f t="shared" si="43"/>
        <v>-33.682016036678149</v>
      </c>
      <c r="I189" s="12">
        <f t="shared" si="44"/>
        <v>35.821581900368031</v>
      </c>
      <c r="L189" s="10">
        <v>3</v>
      </c>
      <c r="M189" s="10">
        <v>-1.325</v>
      </c>
      <c r="N189" s="10">
        <v>-0.88700000000000001</v>
      </c>
      <c r="O189" s="10">
        <v>28</v>
      </c>
      <c r="P189" s="12">
        <f t="shared" ref="P189:P196" si="54">M189-$P$183</f>
        <v>-1.2825225</v>
      </c>
      <c r="Q189" s="12">
        <f t="shared" si="45"/>
        <v>-0.84452249999999995</v>
      </c>
      <c r="R189" s="12">
        <f t="shared" ref="R189:R196" si="55">P189/$S$183</f>
        <v>-1.414167031682688</v>
      </c>
      <c r="S189" s="12">
        <f t="shared" si="46"/>
        <v>-0.93120851838017871</v>
      </c>
      <c r="T189" s="12">
        <v>-0.42070000000000002</v>
      </c>
      <c r="U189" s="12">
        <v>-0.32379999999999998</v>
      </c>
      <c r="V189" s="12">
        <f t="shared" si="47"/>
        <v>9.6900000000000042E-2</v>
      </c>
      <c r="W189" s="12">
        <f t="shared" si="48"/>
        <v>19.38000000000001</v>
      </c>
      <c r="X189" s="12">
        <f t="shared" si="49"/>
        <v>8.6199999999999903</v>
      </c>
      <c r="Y189" s="12">
        <f t="shared" si="50"/>
        <v>74.304399999999831</v>
      </c>
      <c r="Z189" s="12">
        <f t="shared" si="51"/>
        <v>3.8340763673890503</v>
      </c>
      <c r="AA189" s="12">
        <f t="shared" si="52"/>
        <v>784</v>
      </c>
      <c r="AB189" s="12">
        <f t="shared" si="53"/>
        <v>40.454076367389042</v>
      </c>
    </row>
    <row r="190" spans="2:28" x14ac:dyDescent="0.3">
      <c r="B190" s="10">
        <v>4</v>
      </c>
      <c r="C190" s="10">
        <v>-0.88700000000000001</v>
      </c>
      <c r="D190" s="10">
        <v>-0.44800000000000001</v>
      </c>
      <c r="E190" s="12">
        <f t="shared" si="41"/>
        <v>-0.66749999999999998</v>
      </c>
      <c r="F190" s="12">
        <f t="shared" si="42"/>
        <v>0.44555624999999999</v>
      </c>
      <c r="G190" s="10">
        <v>22</v>
      </c>
      <c r="H190" s="12">
        <f t="shared" si="43"/>
        <v>-5.3716738490080616</v>
      </c>
      <c r="I190" s="12">
        <f t="shared" si="44"/>
        <v>3.357417018291641</v>
      </c>
      <c r="L190" s="10">
        <v>4</v>
      </c>
      <c r="M190" s="10">
        <v>-0.88700000000000001</v>
      </c>
      <c r="N190" s="10">
        <v>-0.44800000000000001</v>
      </c>
      <c r="O190" s="10">
        <v>22</v>
      </c>
      <c r="P190" s="12">
        <f t="shared" si="54"/>
        <v>-0.84452249999999995</v>
      </c>
      <c r="Q190" s="12">
        <f t="shared" si="45"/>
        <v>-0.40552250000000001</v>
      </c>
      <c r="R190" s="12">
        <f t="shared" si="55"/>
        <v>-0.93120851838017871</v>
      </c>
      <c r="S190" s="12">
        <f t="shared" si="46"/>
        <v>-0.44714736007012962</v>
      </c>
      <c r="T190" s="12">
        <v>-0.32379999999999998</v>
      </c>
      <c r="U190" s="12">
        <v>-0.1724</v>
      </c>
      <c r="V190" s="12">
        <f t="shared" si="47"/>
        <v>0.15139999999999998</v>
      </c>
      <c r="W190" s="12">
        <f t="shared" si="48"/>
        <v>30.279999999999994</v>
      </c>
      <c r="X190" s="12">
        <f t="shared" si="49"/>
        <v>-8.279999999999994</v>
      </c>
      <c r="Y190" s="12">
        <f t="shared" si="50"/>
        <v>68.558399999999907</v>
      </c>
      <c r="Z190" s="12">
        <f t="shared" si="51"/>
        <v>2.2641479524438548</v>
      </c>
      <c r="AA190" s="12">
        <f t="shared" si="52"/>
        <v>484</v>
      </c>
      <c r="AB190" s="12">
        <f t="shared" si="53"/>
        <v>15.984147952443861</v>
      </c>
    </row>
    <row r="191" spans="2:28" x14ac:dyDescent="0.3">
      <c r="B191" s="10">
        <v>5</v>
      </c>
      <c r="C191" s="10">
        <v>-0.44800000000000001</v>
      </c>
      <c r="D191" s="10">
        <v>-0.01</v>
      </c>
      <c r="E191" s="12">
        <f t="shared" si="41"/>
        <v>-0.22900000000000001</v>
      </c>
      <c r="F191" s="12">
        <f t="shared" si="42"/>
        <v>5.2441000000000002E-2</v>
      </c>
      <c r="G191" s="10">
        <v>38</v>
      </c>
      <c r="H191" s="12">
        <f t="shared" si="43"/>
        <v>-0.24659103298506399</v>
      </c>
      <c r="I191" s="12">
        <f t="shared" si="44"/>
        <v>4.5994775949956587E-2</v>
      </c>
      <c r="L191" s="10">
        <v>5</v>
      </c>
      <c r="M191" s="10">
        <v>-0.44800000000000001</v>
      </c>
      <c r="N191" s="10">
        <v>-0.01</v>
      </c>
      <c r="O191" s="10">
        <v>38</v>
      </c>
      <c r="P191" s="12">
        <f t="shared" si="54"/>
        <v>-0.40552250000000001</v>
      </c>
      <c r="Q191" s="12">
        <f t="shared" si="45"/>
        <v>3.2477500000000027E-2</v>
      </c>
      <c r="R191" s="12">
        <f t="shared" si="55"/>
        <v>-0.44714736007012962</v>
      </c>
      <c r="S191" s="12">
        <f t="shared" si="46"/>
        <v>3.5811153232379572E-2</v>
      </c>
      <c r="T191" s="12">
        <v>-0.1724</v>
      </c>
      <c r="U191" s="12">
        <v>1.4E-2</v>
      </c>
      <c r="V191" s="12">
        <f t="shared" si="47"/>
        <v>0.18640000000000001</v>
      </c>
      <c r="W191" s="12">
        <f t="shared" si="48"/>
        <v>37.28</v>
      </c>
      <c r="X191" s="12">
        <f t="shared" si="49"/>
        <v>0.71999999999999886</v>
      </c>
      <c r="Y191" s="12">
        <f t="shared" si="50"/>
        <v>0.51839999999999842</v>
      </c>
      <c r="Z191" s="12">
        <f t="shared" si="51"/>
        <v>1.3905579399141587E-2</v>
      </c>
      <c r="AA191" s="12">
        <f t="shared" si="52"/>
        <v>1444</v>
      </c>
      <c r="AB191" s="12">
        <f t="shared" si="53"/>
        <v>38.733905579399142</v>
      </c>
    </row>
    <row r="192" spans="2:28" x14ac:dyDescent="0.3">
      <c r="B192" s="10">
        <v>6</v>
      </c>
      <c r="C192" s="10">
        <v>-0.01</v>
      </c>
      <c r="D192" s="10">
        <v>0.42899999999999999</v>
      </c>
      <c r="E192" s="12">
        <f t="shared" si="41"/>
        <v>0.20949999999999999</v>
      </c>
      <c r="F192" s="12">
        <f t="shared" si="42"/>
        <v>4.3890249999999999E-2</v>
      </c>
      <c r="G192" s="10">
        <v>33</v>
      </c>
      <c r="H192" s="12">
        <f t="shared" si="43"/>
        <v>0.52795782146954917</v>
      </c>
      <c r="I192" s="12">
        <f t="shared" si="44"/>
        <v>0.13303349195934333</v>
      </c>
      <c r="L192" s="10">
        <v>6</v>
      </c>
      <c r="M192" s="10">
        <v>-0.01</v>
      </c>
      <c r="N192" s="10">
        <v>0.42899999999999999</v>
      </c>
      <c r="O192" s="10">
        <v>33</v>
      </c>
      <c r="P192" s="12">
        <f t="shared" si="54"/>
        <v>3.2477500000000027E-2</v>
      </c>
      <c r="Q192" s="12">
        <f t="shared" si="45"/>
        <v>0.47147749999999999</v>
      </c>
      <c r="R192" s="12">
        <f t="shared" si="55"/>
        <v>3.5811153232379572E-2</v>
      </c>
      <c r="S192" s="12">
        <f t="shared" si="46"/>
        <v>0.51987231154242863</v>
      </c>
      <c r="T192" s="12">
        <v>1.4E-2</v>
      </c>
      <c r="U192" s="12">
        <v>0.1983</v>
      </c>
      <c r="V192" s="12">
        <f t="shared" si="47"/>
        <v>0.18429999999999999</v>
      </c>
      <c r="W192" s="12">
        <f t="shared" si="48"/>
        <v>36.86</v>
      </c>
      <c r="X192" s="12">
        <f t="shared" si="49"/>
        <v>-3.8599999999999994</v>
      </c>
      <c r="Y192" s="12">
        <f t="shared" si="50"/>
        <v>14.899599999999996</v>
      </c>
      <c r="Z192" s="12">
        <f t="shared" si="51"/>
        <v>0.40422137818773729</v>
      </c>
      <c r="AA192" s="12">
        <f t="shared" si="52"/>
        <v>1089</v>
      </c>
      <c r="AB192" s="12">
        <f t="shared" si="53"/>
        <v>29.544221378187739</v>
      </c>
    </row>
    <row r="193" spans="2:28" x14ac:dyDescent="0.3">
      <c r="B193" s="10">
        <v>7</v>
      </c>
      <c r="C193" s="10">
        <v>0.42899999999999999</v>
      </c>
      <c r="D193" s="10">
        <v>0.86799999999999999</v>
      </c>
      <c r="E193" s="12">
        <f t="shared" si="41"/>
        <v>0.64849999999999997</v>
      </c>
      <c r="F193" s="12">
        <f t="shared" si="42"/>
        <v>0.42055224999999996</v>
      </c>
      <c r="G193" s="10">
        <v>32</v>
      </c>
      <c r="H193" s="12">
        <f t="shared" si="43"/>
        <v>10.557028546622236</v>
      </c>
      <c r="I193" s="12">
        <f t="shared" si="44"/>
        <v>7.2946691925736671</v>
      </c>
      <c r="L193" s="10">
        <v>7</v>
      </c>
      <c r="M193" s="10">
        <v>0.42899999999999999</v>
      </c>
      <c r="N193" s="10">
        <v>0.86799999999999999</v>
      </c>
      <c r="O193" s="10">
        <v>32</v>
      </c>
      <c r="P193" s="12">
        <f t="shared" si="54"/>
        <v>0.47147749999999999</v>
      </c>
      <c r="Q193" s="12">
        <f t="shared" si="45"/>
        <v>0.91047750000000005</v>
      </c>
      <c r="R193" s="12">
        <f t="shared" si="55"/>
        <v>0.51987231154242863</v>
      </c>
      <c r="S193" s="12">
        <f t="shared" si="46"/>
        <v>1.0039334698524778</v>
      </c>
      <c r="T193" s="12">
        <v>0.1983</v>
      </c>
      <c r="U193" s="12">
        <v>0.34279999999999999</v>
      </c>
      <c r="V193" s="12">
        <f t="shared" si="47"/>
        <v>0.14449999999999999</v>
      </c>
      <c r="W193" s="12">
        <f t="shared" si="48"/>
        <v>28.9</v>
      </c>
      <c r="X193" s="12">
        <f t="shared" si="49"/>
        <v>3.1000000000000014</v>
      </c>
      <c r="Y193" s="12">
        <f t="shared" si="50"/>
        <v>9.6100000000000083</v>
      </c>
      <c r="Z193" s="12">
        <f t="shared" si="51"/>
        <v>0.33252595155709375</v>
      </c>
      <c r="AA193" s="12">
        <f t="shared" si="52"/>
        <v>1024</v>
      </c>
      <c r="AB193" s="12">
        <f t="shared" si="53"/>
        <v>35.432525951557096</v>
      </c>
    </row>
    <row r="194" spans="2:28" x14ac:dyDescent="0.3">
      <c r="B194" s="10">
        <v>8</v>
      </c>
      <c r="C194" s="10">
        <v>0.86799999999999999</v>
      </c>
      <c r="D194" s="10">
        <v>1.306</v>
      </c>
      <c r="E194" s="12">
        <f t="shared" si="41"/>
        <v>1.087</v>
      </c>
      <c r="F194" s="12">
        <f t="shared" si="42"/>
        <v>1.1815689999999999</v>
      </c>
      <c r="G194" s="10">
        <v>17</v>
      </c>
      <c r="H194" s="12">
        <f t="shared" si="43"/>
        <v>24.495238538175204</v>
      </c>
      <c r="I194" s="12">
        <f t="shared" si="44"/>
        <v>27.666820786001782</v>
      </c>
      <c r="L194" s="10">
        <v>8</v>
      </c>
      <c r="M194" s="10">
        <v>0.86799999999999999</v>
      </c>
      <c r="N194" s="10">
        <v>1.306</v>
      </c>
      <c r="O194" s="10">
        <v>17</v>
      </c>
      <c r="P194" s="12">
        <f t="shared" si="54"/>
        <v>0.91047750000000005</v>
      </c>
      <c r="Q194" s="12">
        <f t="shared" si="45"/>
        <v>1.3484775</v>
      </c>
      <c r="R194" s="12">
        <f t="shared" si="55"/>
        <v>1.0039334698524778</v>
      </c>
      <c r="S194" s="12">
        <f t="shared" si="46"/>
        <v>1.4868919831549869</v>
      </c>
      <c r="T194" s="12">
        <v>0.34279999999999999</v>
      </c>
      <c r="U194" s="12">
        <v>0.43109999999999998</v>
      </c>
      <c r="V194" s="12">
        <f t="shared" si="47"/>
        <v>8.829999999999999E-2</v>
      </c>
      <c r="W194" s="12">
        <f t="shared" si="48"/>
        <v>17.659999999999997</v>
      </c>
      <c r="X194" s="12">
        <f t="shared" si="49"/>
        <v>-0.65999999999999659</v>
      </c>
      <c r="Y194" s="12">
        <f t="shared" si="50"/>
        <v>0.43559999999999549</v>
      </c>
      <c r="Z194" s="12">
        <f t="shared" si="51"/>
        <v>2.4665911664778911E-2</v>
      </c>
      <c r="AA194" s="12">
        <f t="shared" si="52"/>
        <v>289</v>
      </c>
      <c r="AB194" s="12">
        <f t="shared" si="53"/>
        <v>16.364665911664783</v>
      </c>
    </row>
    <row r="195" spans="2:28" x14ac:dyDescent="0.3">
      <c r="B195" s="10">
        <v>9</v>
      </c>
      <c r="C195" s="10">
        <v>1.306</v>
      </c>
      <c r="D195" s="10">
        <v>1.7450000000000001</v>
      </c>
      <c r="E195" s="12">
        <f t="shared" si="41"/>
        <v>1.5255000000000001</v>
      </c>
      <c r="F195" s="12">
        <f t="shared" si="42"/>
        <v>2.3271502500000003</v>
      </c>
      <c r="G195" s="10">
        <v>11</v>
      </c>
      <c r="H195" s="12">
        <f t="shared" si="43"/>
        <v>42.404521249875273</v>
      </c>
      <c r="I195" s="12">
        <f t="shared" si="44"/>
        <v>66.489335218076306</v>
      </c>
      <c r="L195" s="10">
        <v>9</v>
      </c>
      <c r="M195" s="10">
        <v>1.306</v>
      </c>
      <c r="N195" s="10">
        <v>1.7450000000000001</v>
      </c>
      <c r="O195" s="10">
        <v>11</v>
      </c>
      <c r="P195" s="12">
        <f t="shared" si="54"/>
        <v>1.3484775</v>
      </c>
      <c r="Q195" s="12">
        <f t="shared" si="45"/>
        <v>1.7874775000000001</v>
      </c>
      <c r="R195" s="12">
        <f t="shared" si="55"/>
        <v>1.4868919831549869</v>
      </c>
      <c r="S195" s="12">
        <f t="shared" si="46"/>
        <v>1.9709531414650361</v>
      </c>
      <c r="T195" s="12">
        <v>0.43109999999999998</v>
      </c>
      <c r="U195" s="12">
        <v>0.4758</v>
      </c>
      <c r="V195" s="12">
        <f t="shared" si="47"/>
        <v>4.4700000000000017E-2</v>
      </c>
      <c r="W195" s="12">
        <f t="shared" si="48"/>
        <v>8.9400000000000031</v>
      </c>
      <c r="X195" s="12">
        <f t="shared" si="49"/>
        <v>2.0599999999999969</v>
      </c>
      <c r="Y195" s="12">
        <f t="shared" si="50"/>
        <v>4.2435999999999874</v>
      </c>
      <c r="Z195" s="12">
        <f t="shared" si="51"/>
        <v>0.47467561521252638</v>
      </c>
      <c r="AA195" s="12">
        <f t="shared" si="52"/>
        <v>121</v>
      </c>
      <c r="AB195" s="12">
        <f t="shared" si="53"/>
        <v>13.534675615212523</v>
      </c>
    </row>
    <row r="196" spans="2:28" x14ac:dyDescent="0.3">
      <c r="B196" s="10">
        <v>10</v>
      </c>
      <c r="C196" s="10">
        <v>1.7450000000000001</v>
      </c>
      <c r="D196" s="10">
        <v>2.1829999999999998</v>
      </c>
      <c r="E196" s="12">
        <f t="shared" si="41"/>
        <v>1.964</v>
      </c>
      <c r="F196" s="12">
        <f t="shared" si="42"/>
        <v>3.8572959999999998</v>
      </c>
      <c r="G196" s="10">
        <v>4</v>
      </c>
      <c r="H196" s="12">
        <f t="shared" si="43"/>
        <v>32.311928079281934</v>
      </c>
      <c r="I196" s="12">
        <f t="shared" si="44"/>
        <v>64.833156672697413</v>
      </c>
      <c r="L196" s="10">
        <v>10</v>
      </c>
      <c r="M196" s="10">
        <v>1.7450000000000001</v>
      </c>
      <c r="N196" s="10">
        <v>2.1829999999999998</v>
      </c>
      <c r="O196" s="10">
        <v>4</v>
      </c>
      <c r="P196" s="12">
        <f t="shared" si="54"/>
        <v>1.7874775000000001</v>
      </c>
      <c r="Q196" s="12" t="s">
        <v>58</v>
      </c>
      <c r="R196" s="12">
        <f t="shared" si="55"/>
        <v>1.9709531414650361</v>
      </c>
      <c r="S196" s="12" t="str">
        <f>"+∞"</f>
        <v>+∞</v>
      </c>
      <c r="T196" s="12">
        <v>0.4758</v>
      </c>
      <c r="U196" s="12">
        <v>0.5</v>
      </c>
      <c r="V196" s="12">
        <f t="shared" si="47"/>
        <v>2.4199999999999999E-2</v>
      </c>
      <c r="W196" s="12">
        <f t="shared" si="48"/>
        <v>4.84</v>
      </c>
      <c r="X196" s="12">
        <f t="shared" si="49"/>
        <v>-0.83999999999999986</v>
      </c>
      <c r="Y196" s="12">
        <f t="shared" si="50"/>
        <v>0.70559999999999978</v>
      </c>
      <c r="Z196" s="12">
        <f t="shared" si="51"/>
        <v>0.1457851239669421</v>
      </c>
      <c r="AA196" s="12">
        <f t="shared" si="52"/>
        <v>16</v>
      </c>
      <c r="AB196" s="12">
        <f t="shared" si="53"/>
        <v>3.3057851239669422</v>
      </c>
    </row>
    <row r="198" spans="2:28" x14ac:dyDescent="0.3">
      <c r="Z198" t="s">
        <v>133</v>
      </c>
      <c r="AA198" t="s">
        <v>132</v>
      </c>
    </row>
    <row r="199" spans="2:28" x14ac:dyDescent="0.3">
      <c r="Z199" t="s">
        <v>131</v>
      </c>
    </row>
    <row r="231" spans="10:12" x14ac:dyDescent="0.3">
      <c r="K231">
        <v>0</v>
      </c>
      <c r="L231" t="s">
        <v>135</v>
      </c>
    </row>
    <row r="232" spans="10:12" x14ac:dyDescent="0.3">
      <c r="K232">
        <v>0.02</v>
      </c>
      <c r="L232" t="str">
        <f>"-1,764 &lt; x &lt;= -1,325"</f>
        <v>-1,764 &lt; x &lt;= -1,325</v>
      </c>
    </row>
    <row r="233" spans="10:12" x14ac:dyDescent="0.3">
      <c r="K233">
        <v>7.4999999999999997E-2</v>
      </c>
      <c r="L233" t="str">
        <f>"-1,325 &lt; x &lt;= -0,887"</f>
        <v>-1,325 &lt; x &lt;= -0,887</v>
      </c>
    </row>
    <row r="234" spans="10:12" x14ac:dyDescent="0.3">
      <c r="K234">
        <v>0.215</v>
      </c>
      <c r="L234" t="str">
        <f>"-0,887 &lt; x &lt;= -0,448"</f>
        <v>-0,887 &lt; x &lt;= -0,448</v>
      </c>
    </row>
    <row r="235" spans="10:12" x14ac:dyDescent="0.3">
      <c r="K235">
        <v>0.32500000000000001</v>
      </c>
      <c r="L235" t="str">
        <f>"-0,448 &lt; x &lt;= -0,01"</f>
        <v>-0,448 &lt; x &lt;= -0,01</v>
      </c>
    </row>
    <row r="236" spans="10:12" x14ac:dyDescent="0.3">
      <c r="J236" t="s">
        <v>134</v>
      </c>
      <c r="K236">
        <v>0.51500000000000001</v>
      </c>
      <c r="L236" t="str">
        <f>"-0,01 &lt; x &lt;= 0,429"</f>
        <v>-0,01 &lt; x &lt;= 0,429</v>
      </c>
    </row>
    <row r="237" spans="10:12" x14ac:dyDescent="0.3">
      <c r="K237">
        <v>0.68</v>
      </c>
      <c r="L237" t="str">
        <f>"0,429 &lt; x &lt;= 0,868"</f>
        <v>0,429 &lt; x &lt;= 0,868</v>
      </c>
    </row>
    <row r="238" spans="10:12" x14ac:dyDescent="0.3">
      <c r="K238">
        <v>0.84</v>
      </c>
      <c r="L238" t="str">
        <f>"0,868 &lt; x &lt;= 1,306"</f>
        <v>0,868 &lt; x &lt;= 1,306</v>
      </c>
    </row>
    <row r="239" spans="10:12" x14ac:dyDescent="0.3">
      <c r="K239">
        <v>0.92500000000000004</v>
      </c>
      <c r="L239" t="str">
        <f>"1,306 &lt; x &lt;= 1,745"</f>
        <v>1,306 &lt; x &lt;= 1,745</v>
      </c>
    </row>
    <row r="240" spans="10:12" x14ac:dyDescent="0.3">
      <c r="K240">
        <v>0.98</v>
      </c>
      <c r="L240" t="str">
        <f>"1,745 &lt; x &lt;= 2,183"</f>
        <v>1,745 &lt; x &lt;= 2,183</v>
      </c>
    </row>
    <row r="241" spans="11:12" x14ac:dyDescent="0.3">
      <c r="K241">
        <v>1</v>
      </c>
      <c r="L241" t="str">
        <f>"x&gt;2,183"</f>
        <v>x&gt;2,183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ElEmEntRiX R</dc:creator>
  <cp:lastModifiedBy>Рустам Акберов</cp:lastModifiedBy>
  <dcterms:created xsi:type="dcterms:W3CDTF">2023-04-10T18:35:41Z</dcterms:created>
  <dcterms:modified xsi:type="dcterms:W3CDTF">2023-06-13T14:52:52Z</dcterms:modified>
</cp:coreProperties>
</file>