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3d6d9094337beacf/Рабочий стол/уник/4 sem/Электро/"/>
    </mc:Choice>
  </mc:AlternateContent>
  <xr:revisionPtr revIDLastSave="467" documentId="8_{86A32A54-49D3-4D58-912F-A64020A9F939}" xr6:coauthVersionLast="47" xr6:coauthVersionMax="47" xr10:uidLastSave="{F9E8E43D-816E-4A90-ACFB-E4D30E404A50}"/>
  <bookViews>
    <workbookView xWindow="-108" yWindow="-108" windowWidth="23256" windowHeight="12576" activeTab="1" xr2:uid="{00000000-000D-0000-FFFF-FFFF00000000}"/>
  </bookViews>
  <sheets>
    <sheet name="Лист1" sheetId="1" r:id="rId1"/>
    <sheet name="Лист1 (2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69" i="2" l="1"/>
  <c r="AB69" i="2"/>
  <c r="F69" i="2"/>
  <c r="AH68" i="2"/>
  <c r="AB68" i="2"/>
  <c r="F68" i="2"/>
  <c r="AH67" i="2"/>
  <c r="AB67" i="2"/>
  <c r="F67" i="2"/>
  <c r="AH66" i="2"/>
  <c r="AB66" i="2"/>
  <c r="F66" i="2"/>
  <c r="AH65" i="2"/>
  <c r="AB65" i="2"/>
  <c r="F65" i="2"/>
  <c r="AH64" i="2"/>
  <c r="AB64" i="2"/>
  <c r="F64" i="2"/>
  <c r="AH63" i="2"/>
  <c r="AB63" i="2"/>
  <c r="F63" i="2"/>
  <c r="AH62" i="2"/>
  <c r="AB62" i="2"/>
  <c r="F62" i="2"/>
  <c r="AH61" i="2"/>
  <c r="AB61" i="2"/>
  <c r="F61" i="2"/>
  <c r="AH60" i="2"/>
  <c r="AB60" i="2"/>
  <c r="F60" i="2"/>
  <c r="AH59" i="2"/>
  <c r="AB59" i="2"/>
  <c r="F59" i="2"/>
  <c r="AH58" i="2"/>
  <c r="AB58" i="2"/>
  <c r="F58" i="2"/>
  <c r="AH57" i="2"/>
  <c r="AB57" i="2"/>
  <c r="F57" i="2"/>
  <c r="AH56" i="2"/>
  <c r="AB56" i="2"/>
  <c r="F56" i="2"/>
  <c r="AH55" i="2"/>
  <c r="AB55" i="2"/>
  <c r="F55" i="2"/>
  <c r="AH54" i="2"/>
  <c r="AB54" i="2"/>
  <c r="F54" i="2"/>
  <c r="AH53" i="2"/>
  <c r="AB53" i="2"/>
  <c r="F53" i="2"/>
  <c r="AH52" i="2"/>
  <c r="AB52" i="2"/>
  <c r="F52" i="2"/>
  <c r="AH51" i="2"/>
  <c r="AB51" i="2"/>
  <c r="F51" i="2"/>
  <c r="AH50" i="2"/>
  <c r="AB50" i="2"/>
  <c r="F50" i="2"/>
  <c r="Q41" i="2"/>
  <c r="L41" i="2"/>
  <c r="G41" i="2" s="1"/>
  <c r="Q40" i="2"/>
  <c r="L40" i="2"/>
  <c r="G40" i="2"/>
  <c r="Q39" i="2"/>
  <c r="L39" i="2"/>
  <c r="G39" i="2"/>
  <c r="Q38" i="2"/>
  <c r="L38" i="2"/>
  <c r="G38" i="2" s="1"/>
  <c r="Q37" i="2"/>
  <c r="L37" i="2"/>
  <c r="G37" i="2" s="1"/>
  <c r="Q36" i="2"/>
  <c r="L36" i="2"/>
  <c r="G36" i="2"/>
  <c r="Q35" i="2"/>
  <c r="L35" i="2"/>
  <c r="G35" i="2"/>
  <c r="Q34" i="2"/>
  <c r="L34" i="2"/>
  <c r="G34" i="2" s="1"/>
  <c r="Q33" i="2"/>
  <c r="L33" i="2"/>
  <c r="G33" i="2" s="1"/>
  <c r="Q32" i="2"/>
  <c r="L32" i="2"/>
  <c r="G32" i="2"/>
  <c r="Q31" i="2"/>
  <c r="L31" i="2"/>
  <c r="G31" i="2"/>
  <c r="Q30" i="2"/>
  <c r="L30" i="2"/>
  <c r="G30" i="2" s="1"/>
  <c r="Q29" i="2"/>
  <c r="L29" i="2"/>
  <c r="G29" i="2" s="1"/>
  <c r="Q28" i="2"/>
  <c r="L28" i="2"/>
  <c r="G28" i="2"/>
  <c r="Q27" i="2"/>
  <c r="L27" i="2"/>
  <c r="G27" i="2"/>
  <c r="Q26" i="2"/>
  <c r="L26" i="2"/>
  <c r="G26" i="2" s="1"/>
  <c r="Q25" i="2"/>
  <c r="L25" i="2"/>
  <c r="G25" i="2" s="1"/>
  <c r="Q24" i="2"/>
  <c r="L24" i="2"/>
  <c r="G24" i="2"/>
  <c r="Q23" i="2"/>
  <c r="L23" i="2"/>
  <c r="G23" i="2"/>
  <c r="Q22" i="2"/>
  <c r="N16" i="2" s="1"/>
  <c r="L22" i="2"/>
  <c r="G22" i="2" s="1"/>
  <c r="O18" i="2"/>
  <c r="M18" i="2"/>
  <c r="N18" i="2" s="1"/>
  <c r="U17" i="2"/>
  <c r="U18" i="2" s="1"/>
  <c r="P12" i="2"/>
  <c r="M12" i="2"/>
  <c r="I12" i="2"/>
  <c r="I10" i="2"/>
  <c r="AD8" i="2"/>
  <c r="AB8" i="2"/>
  <c r="H12" i="2" s="1"/>
  <c r="AA8" i="2"/>
  <c r="H11" i="2" s="1"/>
  <c r="Z8" i="2"/>
  <c r="AD7" i="2"/>
  <c r="AC7" i="2"/>
  <c r="AC8" i="2" s="1"/>
  <c r="H13" i="2" s="1"/>
  <c r="AB7" i="2"/>
  <c r="AA7" i="2"/>
  <c r="Z7" i="2"/>
  <c r="Y7" i="2"/>
  <c r="Y8" i="2" s="1"/>
  <c r="X7" i="2"/>
  <c r="X8" i="2" s="1"/>
  <c r="W7" i="2"/>
  <c r="W8" i="2" s="1"/>
  <c r="AD6" i="2"/>
  <c r="AC6" i="2"/>
  <c r="AB6" i="2"/>
  <c r="AA6" i="2"/>
  <c r="Z6" i="2"/>
  <c r="Y6" i="2"/>
  <c r="X6" i="2"/>
  <c r="W6" i="2"/>
  <c r="V6" i="2"/>
  <c r="V8" i="2" s="1"/>
  <c r="M6" i="2"/>
  <c r="I6" i="2"/>
  <c r="AJ4" i="2"/>
  <c r="AI4" i="2"/>
  <c r="L4" i="2"/>
  <c r="I7" i="2" s="1"/>
  <c r="K4" i="2"/>
  <c r="S6" i="2" s="1"/>
  <c r="O7" i="2" s="1"/>
  <c r="K1" i="2"/>
  <c r="J7" i="2" s="1"/>
  <c r="AI5" i="1"/>
  <c r="AI6" i="1"/>
  <c r="AI7" i="1"/>
  <c r="AI8" i="1"/>
  <c r="AI9" i="1"/>
  <c r="AI10" i="1"/>
  <c r="AI11" i="1"/>
  <c r="AI12" i="1"/>
  <c r="AJ5" i="1"/>
  <c r="AJ11" i="1"/>
  <c r="AJ12" i="1"/>
  <c r="AJ6" i="1"/>
  <c r="AJ7" i="1"/>
  <c r="AJ8" i="1"/>
  <c r="AJ9" i="1"/>
  <c r="AJ10" i="1"/>
  <c r="AJ4" i="1"/>
  <c r="AI4" i="1"/>
  <c r="F53" i="1"/>
  <c r="F54" i="1"/>
  <c r="F51" i="1"/>
  <c r="F52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D50" i="1"/>
  <c r="N18" i="1"/>
  <c r="W60" i="1"/>
  <c r="W61" i="1"/>
  <c r="P50" i="1"/>
  <c r="N50" i="1"/>
  <c r="AH51" i="1"/>
  <c r="AG51" i="1" s="1"/>
  <c r="AE51" i="1" s="1"/>
  <c r="E51" i="1" s="1"/>
  <c r="AI51" i="1"/>
  <c r="AH52" i="1"/>
  <c r="AG52" i="1" s="1"/>
  <c r="AE52" i="1" s="1"/>
  <c r="E52" i="1" s="1"/>
  <c r="AI52" i="1"/>
  <c r="AH53" i="1"/>
  <c r="AG53" i="1" s="1"/>
  <c r="AE53" i="1" s="1"/>
  <c r="E53" i="1" s="1"/>
  <c r="AI53" i="1"/>
  <c r="AH54" i="1"/>
  <c r="AG54" i="1" s="1"/>
  <c r="AE54" i="1" s="1"/>
  <c r="E54" i="1" s="1"/>
  <c r="AI54" i="1"/>
  <c r="AH55" i="1"/>
  <c r="AG55" i="1" s="1"/>
  <c r="AE55" i="1" s="1"/>
  <c r="E55" i="1" s="1"/>
  <c r="AI55" i="1"/>
  <c r="AH56" i="1"/>
  <c r="AG56" i="1" s="1"/>
  <c r="AE56" i="1" s="1"/>
  <c r="E56" i="1" s="1"/>
  <c r="AI56" i="1"/>
  <c r="AH57" i="1"/>
  <c r="AG57" i="1" s="1"/>
  <c r="AE57" i="1" s="1"/>
  <c r="E57" i="1" s="1"/>
  <c r="AI57" i="1"/>
  <c r="AH58" i="1"/>
  <c r="AG58" i="1" s="1"/>
  <c r="AE58" i="1" s="1"/>
  <c r="E58" i="1" s="1"/>
  <c r="AI58" i="1"/>
  <c r="AH59" i="1"/>
  <c r="AG59" i="1" s="1"/>
  <c r="AE59" i="1" s="1"/>
  <c r="E59" i="1" s="1"/>
  <c r="AI59" i="1"/>
  <c r="AH60" i="1"/>
  <c r="AG60" i="1" s="1"/>
  <c r="AE60" i="1" s="1"/>
  <c r="E60" i="1" s="1"/>
  <c r="AI60" i="1"/>
  <c r="AH61" i="1"/>
  <c r="AG61" i="1" s="1"/>
  <c r="AE61" i="1" s="1"/>
  <c r="E61" i="1" s="1"/>
  <c r="AI61" i="1"/>
  <c r="AH62" i="1"/>
  <c r="AG62" i="1" s="1"/>
  <c r="AE62" i="1" s="1"/>
  <c r="E62" i="1" s="1"/>
  <c r="AI62" i="1"/>
  <c r="AH63" i="1"/>
  <c r="AG63" i="1" s="1"/>
  <c r="AE63" i="1" s="1"/>
  <c r="E63" i="1" s="1"/>
  <c r="AI63" i="1"/>
  <c r="AH64" i="1"/>
  <c r="AG64" i="1" s="1"/>
  <c r="AE64" i="1" s="1"/>
  <c r="E64" i="1" s="1"/>
  <c r="AI64" i="1"/>
  <c r="AH65" i="1"/>
  <c r="AG65" i="1" s="1"/>
  <c r="AE65" i="1" s="1"/>
  <c r="E65" i="1" s="1"/>
  <c r="AI65" i="1"/>
  <c r="AH66" i="1"/>
  <c r="AG66" i="1" s="1"/>
  <c r="AE66" i="1" s="1"/>
  <c r="E66" i="1" s="1"/>
  <c r="AI66" i="1"/>
  <c r="AH67" i="1"/>
  <c r="AG67" i="1" s="1"/>
  <c r="AE67" i="1" s="1"/>
  <c r="E67" i="1" s="1"/>
  <c r="AI67" i="1"/>
  <c r="AH68" i="1"/>
  <c r="AG68" i="1" s="1"/>
  <c r="AE68" i="1" s="1"/>
  <c r="E68" i="1" s="1"/>
  <c r="AI68" i="1"/>
  <c r="AH69" i="1"/>
  <c r="AG69" i="1" s="1"/>
  <c r="AE69" i="1" s="1"/>
  <c r="E69" i="1" s="1"/>
  <c r="AI69" i="1"/>
  <c r="AE50" i="1"/>
  <c r="AA51" i="1"/>
  <c r="Y51" i="1" s="1"/>
  <c r="D51" i="1" s="1"/>
  <c r="AB51" i="1"/>
  <c r="AC51" i="1"/>
  <c r="AB52" i="1"/>
  <c r="AA52" i="1" s="1"/>
  <c r="Y52" i="1" s="1"/>
  <c r="D52" i="1" s="1"/>
  <c r="AC52" i="1"/>
  <c r="AB53" i="1"/>
  <c r="AA53" i="1" s="1"/>
  <c r="Y53" i="1" s="1"/>
  <c r="D53" i="1" s="1"/>
  <c r="AC53" i="1"/>
  <c r="AB54" i="1"/>
  <c r="AC54" i="1"/>
  <c r="AA54" i="1" s="1"/>
  <c r="Y54" i="1" s="1"/>
  <c r="D54" i="1" s="1"/>
  <c r="AB55" i="1"/>
  <c r="AA55" i="1" s="1"/>
  <c r="Y55" i="1" s="1"/>
  <c r="D55" i="1" s="1"/>
  <c r="AC55" i="1"/>
  <c r="AB56" i="1"/>
  <c r="AA56" i="1" s="1"/>
  <c r="Y56" i="1" s="1"/>
  <c r="D56" i="1" s="1"/>
  <c r="AC56" i="1"/>
  <c r="AB57" i="1"/>
  <c r="AC57" i="1"/>
  <c r="AA57" i="1" s="1"/>
  <c r="Y57" i="1" s="1"/>
  <c r="D57" i="1" s="1"/>
  <c r="AB58" i="1"/>
  <c r="AA58" i="1" s="1"/>
  <c r="Y58" i="1" s="1"/>
  <c r="D58" i="1" s="1"/>
  <c r="AC58" i="1"/>
  <c r="AB59" i="1"/>
  <c r="AA59" i="1" s="1"/>
  <c r="Y59" i="1" s="1"/>
  <c r="D59" i="1" s="1"/>
  <c r="AC59" i="1"/>
  <c r="AB60" i="1"/>
  <c r="AC60" i="1"/>
  <c r="AA60" i="1" s="1"/>
  <c r="Y60" i="1" s="1"/>
  <c r="D60" i="1" s="1"/>
  <c r="AB61" i="1"/>
  <c r="AA61" i="1" s="1"/>
  <c r="Y61" i="1" s="1"/>
  <c r="D61" i="1" s="1"/>
  <c r="AC61" i="1"/>
  <c r="AB62" i="1"/>
  <c r="AA62" i="1" s="1"/>
  <c r="Y62" i="1" s="1"/>
  <c r="D62" i="1" s="1"/>
  <c r="AC62" i="1"/>
  <c r="AA63" i="1"/>
  <c r="Y63" i="1" s="1"/>
  <c r="D63" i="1" s="1"/>
  <c r="AB63" i="1"/>
  <c r="AC63" i="1"/>
  <c r="AB64" i="1"/>
  <c r="AA64" i="1" s="1"/>
  <c r="Y64" i="1" s="1"/>
  <c r="D64" i="1" s="1"/>
  <c r="AC64" i="1"/>
  <c r="AB65" i="1"/>
  <c r="AA65" i="1" s="1"/>
  <c r="Y65" i="1" s="1"/>
  <c r="D65" i="1" s="1"/>
  <c r="AC65" i="1"/>
  <c r="AB66" i="1"/>
  <c r="AC66" i="1"/>
  <c r="AA66" i="1" s="1"/>
  <c r="Y66" i="1" s="1"/>
  <c r="D66" i="1" s="1"/>
  <c r="AB67" i="1"/>
  <c r="AA67" i="1" s="1"/>
  <c r="Y67" i="1" s="1"/>
  <c r="D67" i="1" s="1"/>
  <c r="AC67" i="1"/>
  <c r="AB68" i="1"/>
  <c r="AA68" i="1" s="1"/>
  <c r="Y68" i="1" s="1"/>
  <c r="D68" i="1" s="1"/>
  <c r="AC68" i="1"/>
  <c r="AB69" i="1"/>
  <c r="AC69" i="1"/>
  <c r="AA69" i="1" s="1"/>
  <c r="Y69" i="1" s="1"/>
  <c r="D69" i="1" s="1"/>
  <c r="U51" i="1"/>
  <c r="P51" i="1" s="1"/>
  <c r="V51" i="1"/>
  <c r="Q51" i="1" s="1"/>
  <c r="U52" i="1"/>
  <c r="P52" i="1" s="1"/>
  <c r="V52" i="1"/>
  <c r="Q52" i="1" s="1"/>
  <c r="U53" i="1"/>
  <c r="P53" i="1" s="1"/>
  <c r="O53" i="1" s="1"/>
  <c r="V53" i="1"/>
  <c r="Q53" i="1" s="1"/>
  <c r="U54" i="1"/>
  <c r="P54" i="1" s="1"/>
  <c r="V54" i="1"/>
  <c r="Q54" i="1" s="1"/>
  <c r="U55" i="1"/>
  <c r="S55" i="1" s="1"/>
  <c r="V55" i="1"/>
  <c r="Q55" i="1" s="1"/>
  <c r="P56" i="1"/>
  <c r="U56" i="1"/>
  <c r="S56" i="1" s="1"/>
  <c r="V56" i="1"/>
  <c r="T56" i="1" s="1"/>
  <c r="P57" i="1"/>
  <c r="O57" i="1" s="1"/>
  <c r="Q57" i="1"/>
  <c r="U57" i="1"/>
  <c r="S57" i="1" s="1"/>
  <c r="V57" i="1"/>
  <c r="T57" i="1" s="1"/>
  <c r="R57" i="1" s="1"/>
  <c r="W57" i="1" s="1"/>
  <c r="B57" i="1" s="1"/>
  <c r="P58" i="1"/>
  <c r="O58" i="1" s="1"/>
  <c r="Q58" i="1"/>
  <c r="U58" i="1"/>
  <c r="S58" i="1" s="1"/>
  <c r="V58" i="1"/>
  <c r="T58" i="1" s="1"/>
  <c r="R58" i="1" s="1"/>
  <c r="W58" i="1" s="1"/>
  <c r="B58" i="1" s="1"/>
  <c r="P59" i="1"/>
  <c r="O59" i="1" s="1"/>
  <c r="N59" i="1" s="1"/>
  <c r="L59" i="1" s="1"/>
  <c r="C59" i="1" s="1"/>
  <c r="Q59" i="1"/>
  <c r="S59" i="1"/>
  <c r="U59" i="1"/>
  <c r="V59" i="1"/>
  <c r="T59" i="1" s="1"/>
  <c r="R59" i="1" s="1"/>
  <c r="P60" i="1"/>
  <c r="O60" i="1" s="1"/>
  <c r="N60" i="1" s="1"/>
  <c r="L60" i="1" s="1"/>
  <c r="C60" i="1" s="1"/>
  <c r="Q60" i="1"/>
  <c r="S60" i="1"/>
  <c r="T60" i="1"/>
  <c r="R60" i="1" s="1"/>
  <c r="U60" i="1"/>
  <c r="V60" i="1"/>
  <c r="Q61" i="1"/>
  <c r="T61" i="1"/>
  <c r="U61" i="1"/>
  <c r="P61" i="1" s="1"/>
  <c r="O61" i="1" s="1"/>
  <c r="V61" i="1"/>
  <c r="U62" i="1"/>
  <c r="P62" i="1" s="1"/>
  <c r="V62" i="1"/>
  <c r="Q62" i="1" s="1"/>
  <c r="U63" i="1"/>
  <c r="P63" i="1" s="1"/>
  <c r="O63" i="1" s="1"/>
  <c r="V63" i="1"/>
  <c r="Q63" i="1" s="1"/>
  <c r="U64" i="1"/>
  <c r="P64" i="1" s="1"/>
  <c r="O64" i="1" s="1"/>
  <c r="V64" i="1"/>
  <c r="Q64" i="1" s="1"/>
  <c r="U65" i="1"/>
  <c r="P65" i="1" s="1"/>
  <c r="O65" i="1" s="1"/>
  <c r="V65" i="1"/>
  <c r="Q65" i="1" s="1"/>
  <c r="U66" i="1"/>
  <c r="P66" i="1" s="1"/>
  <c r="O66" i="1" s="1"/>
  <c r="V66" i="1"/>
  <c r="Q66" i="1" s="1"/>
  <c r="U67" i="1"/>
  <c r="S67" i="1" s="1"/>
  <c r="V67" i="1"/>
  <c r="Q67" i="1" s="1"/>
  <c r="P68" i="1"/>
  <c r="U68" i="1"/>
  <c r="S68" i="1" s="1"/>
  <c r="V68" i="1"/>
  <c r="T68" i="1" s="1"/>
  <c r="R68" i="1" s="1"/>
  <c r="P69" i="1"/>
  <c r="O69" i="1" s="1"/>
  <c r="Q69" i="1"/>
  <c r="U69" i="1"/>
  <c r="S69" i="1" s="1"/>
  <c r="V69" i="1"/>
  <c r="T69" i="1" s="1"/>
  <c r="R69" i="1" s="1"/>
  <c r="W69" i="1" s="1"/>
  <c r="B69" i="1" s="1"/>
  <c r="AH50" i="1"/>
  <c r="AB50" i="1"/>
  <c r="AA50" i="1" s="1"/>
  <c r="Y50" i="1" s="1"/>
  <c r="T50" i="1"/>
  <c r="S50" i="1"/>
  <c r="Q50" i="1"/>
  <c r="F50" i="1"/>
  <c r="AG50" i="1"/>
  <c r="E50" i="1" s="1"/>
  <c r="AI50" i="1"/>
  <c r="U50" i="1"/>
  <c r="V50" i="1"/>
  <c r="AC50" i="1"/>
  <c r="B22" i="1"/>
  <c r="U41" i="1"/>
  <c r="R41" i="1" s="1"/>
  <c r="B41" i="1" s="1"/>
  <c r="V41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L45" i="1"/>
  <c r="O18" i="1"/>
  <c r="M18" i="1"/>
  <c r="N16" i="1"/>
  <c r="L33" i="1"/>
  <c r="G33" i="1" s="1"/>
  <c r="L34" i="1"/>
  <c r="L35" i="1"/>
  <c r="G35" i="1" s="1"/>
  <c r="L36" i="1"/>
  <c r="G36" i="1" s="1"/>
  <c r="L37" i="1"/>
  <c r="G37" i="1" s="1"/>
  <c r="L38" i="1"/>
  <c r="G38" i="1" s="1"/>
  <c r="L39" i="1"/>
  <c r="G39" i="1" s="1"/>
  <c r="L40" i="1"/>
  <c r="G40" i="1" s="1"/>
  <c r="L41" i="1"/>
  <c r="G41" i="1" s="1"/>
  <c r="L32" i="1"/>
  <c r="G32" i="1" s="1"/>
  <c r="G34" i="1"/>
  <c r="L25" i="1"/>
  <c r="G25" i="1" s="1"/>
  <c r="L26" i="1"/>
  <c r="G26" i="1" s="1"/>
  <c r="L27" i="1"/>
  <c r="G27" i="1" s="1"/>
  <c r="L28" i="1"/>
  <c r="G28" i="1" s="1"/>
  <c r="L29" i="1"/>
  <c r="G29" i="1" s="1"/>
  <c r="L30" i="1"/>
  <c r="G30" i="1" s="1"/>
  <c r="L31" i="1"/>
  <c r="G31" i="1" s="1"/>
  <c r="Q41" i="1"/>
  <c r="Q25" i="1"/>
  <c r="U25" i="1"/>
  <c r="R25" i="1" s="1"/>
  <c r="B25" i="1" s="1"/>
  <c r="V25" i="1"/>
  <c r="Q26" i="1"/>
  <c r="S26" i="1" s="1"/>
  <c r="P26" i="1" s="1"/>
  <c r="C26" i="1" s="1"/>
  <c r="R26" i="1"/>
  <c r="B26" i="1" s="1"/>
  <c r="U26" i="1"/>
  <c r="V26" i="1"/>
  <c r="W26" i="1"/>
  <c r="Q27" i="1"/>
  <c r="U27" i="1"/>
  <c r="R27" i="1" s="1"/>
  <c r="V27" i="1"/>
  <c r="W27" i="1"/>
  <c r="Q28" i="1"/>
  <c r="U28" i="1"/>
  <c r="W28" i="1" s="1"/>
  <c r="V28" i="1"/>
  <c r="Q29" i="1"/>
  <c r="U29" i="1"/>
  <c r="R29" i="1" s="1"/>
  <c r="V29" i="1"/>
  <c r="Q30" i="1"/>
  <c r="S30" i="1" s="1"/>
  <c r="P30" i="1" s="1"/>
  <c r="C30" i="1" s="1"/>
  <c r="R30" i="1"/>
  <c r="B30" i="1" s="1"/>
  <c r="U30" i="1"/>
  <c r="V30" i="1"/>
  <c r="W30" i="1"/>
  <c r="Q31" i="1"/>
  <c r="R31" i="1"/>
  <c r="B31" i="1" s="1"/>
  <c r="S31" i="1"/>
  <c r="P31" i="1" s="1"/>
  <c r="C31" i="1" s="1"/>
  <c r="U31" i="1"/>
  <c r="W31" i="1" s="1"/>
  <c r="V31" i="1"/>
  <c r="Q32" i="1"/>
  <c r="U32" i="1"/>
  <c r="R32" i="1" s="1"/>
  <c r="V32" i="1"/>
  <c r="W32" i="1"/>
  <c r="Q33" i="1"/>
  <c r="U33" i="1"/>
  <c r="W33" i="1" s="1"/>
  <c r="V33" i="1"/>
  <c r="Q34" i="1"/>
  <c r="U34" i="1"/>
  <c r="R34" i="1" s="1"/>
  <c r="V34" i="1"/>
  <c r="W34" i="1"/>
  <c r="Q35" i="1"/>
  <c r="U35" i="1"/>
  <c r="V35" i="1"/>
  <c r="R35" i="1" s="1"/>
  <c r="W35" i="1"/>
  <c r="Q36" i="1"/>
  <c r="U36" i="1"/>
  <c r="R36" i="1" s="1"/>
  <c r="V36" i="1"/>
  <c r="Q37" i="1"/>
  <c r="U37" i="1"/>
  <c r="R37" i="1" s="1"/>
  <c r="B37" i="1" s="1"/>
  <c r="V37" i="1"/>
  <c r="W37" i="1"/>
  <c r="Q38" i="1"/>
  <c r="S38" i="1" s="1"/>
  <c r="P38" i="1" s="1"/>
  <c r="C38" i="1" s="1"/>
  <c r="R38" i="1"/>
  <c r="B38" i="1" s="1"/>
  <c r="U38" i="1"/>
  <c r="V38" i="1"/>
  <c r="W38" i="1"/>
  <c r="Q39" i="1"/>
  <c r="U39" i="1"/>
  <c r="R39" i="1" s="1"/>
  <c r="V39" i="1"/>
  <c r="W39" i="1"/>
  <c r="Q40" i="1"/>
  <c r="U40" i="1"/>
  <c r="W40" i="1" s="1"/>
  <c r="V40" i="1"/>
  <c r="Q24" i="1"/>
  <c r="U24" i="1"/>
  <c r="R24" i="1" s="1"/>
  <c r="V24" i="1"/>
  <c r="W24" i="1"/>
  <c r="G24" i="1"/>
  <c r="L24" i="1"/>
  <c r="W22" i="1"/>
  <c r="V22" i="1"/>
  <c r="R22" i="1" s="1"/>
  <c r="S22" i="1" s="1"/>
  <c r="P22" i="1" s="1"/>
  <c r="C22" i="1" s="1"/>
  <c r="U22" i="1"/>
  <c r="B23" i="1"/>
  <c r="W23" i="1"/>
  <c r="V23" i="1"/>
  <c r="U23" i="1"/>
  <c r="R23" i="1" s="1"/>
  <c r="S23" i="1" s="1"/>
  <c r="P23" i="1" s="1"/>
  <c r="C23" i="1" s="1"/>
  <c r="Q23" i="1"/>
  <c r="G23" i="1"/>
  <c r="L23" i="1"/>
  <c r="Q22" i="1"/>
  <c r="L22" i="1"/>
  <c r="G22" i="1" s="1"/>
  <c r="M12" i="1"/>
  <c r="L4" i="1"/>
  <c r="J11" i="1" s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U18" i="1"/>
  <c r="U17" i="1"/>
  <c r="P12" i="1"/>
  <c r="O6" i="1"/>
  <c r="S6" i="1"/>
  <c r="K4" i="1"/>
  <c r="AD8" i="1"/>
  <c r="AD7" i="1"/>
  <c r="AD6" i="1"/>
  <c r="H13" i="1"/>
  <c r="AC8" i="1"/>
  <c r="AC7" i="1"/>
  <c r="AC6" i="1"/>
  <c r="H12" i="1"/>
  <c r="AB8" i="1"/>
  <c r="AB7" i="1"/>
  <c r="AB6" i="1"/>
  <c r="H11" i="1"/>
  <c r="AA8" i="1"/>
  <c r="AA7" i="1"/>
  <c r="AA6" i="1"/>
  <c r="Y7" i="1"/>
  <c r="Z8" i="1"/>
  <c r="Z7" i="1"/>
  <c r="Z6" i="1"/>
  <c r="Y8" i="1"/>
  <c r="Y6" i="1"/>
  <c r="X8" i="1"/>
  <c r="X7" i="1"/>
  <c r="X6" i="1"/>
  <c r="W8" i="1"/>
  <c r="V8" i="1"/>
  <c r="W7" i="1"/>
  <c r="W6" i="1"/>
  <c r="V6" i="1"/>
  <c r="M6" i="1"/>
  <c r="I6" i="1"/>
  <c r="K1" i="1"/>
  <c r="AJ5" i="2" l="1"/>
  <c r="AI5" i="2"/>
  <c r="J12" i="2"/>
  <c r="A40" i="2"/>
  <c r="A36" i="2"/>
  <c r="A32" i="2"/>
  <c r="A28" i="2"/>
  <c r="A24" i="2"/>
  <c r="A33" i="2"/>
  <c r="A29" i="2"/>
  <c r="A39" i="2"/>
  <c r="A35" i="2"/>
  <c r="A31" i="2"/>
  <c r="A27" i="2"/>
  <c r="A23" i="2"/>
  <c r="A41" i="2"/>
  <c r="A37" i="2"/>
  <c r="L45" i="2"/>
  <c r="A38" i="2"/>
  <c r="A34" i="2"/>
  <c r="A30" i="2"/>
  <c r="A26" i="2"/>
  <c r="A22" i="2"/>
  <c r="A25" i="2"/>
  <c r="J8" i="2"/>
  <c r="J10" i="2"/>
  <c r="O8" i="2"/>
  <c r="Q8" i="2"/>
  <c r="M8" i="2"/>
  <c r="M9" i="2" s="1"/>
  <c r="S8" i="2"/>
  <c r="O9" i="2" s="1"/>
  <c r="J14" i="2" s="1"/>
  <c r="I9" i="2"/>
  <c r="I11" i="2"/>
  <c r="I8" i="2"/>
  <c r="J9" i="2"/>
  <c r="J11" i="2"/>
  <c r="O6" i="2"/>
  <c r="M7" i="2" s="1"/>
  <c r="Q7" i="2" s="1"/>
  <c r="I13" i="2" s="1"/>
  <c r="R61" i="1"/>
  <c r="B61" i="1" s="1"/>
  <c r="O54" i="1"/>
  <c r="B60" i="1"/>
  <c r="N58" i="1"/>
  <c r="L58" i="1" s="1"/>
  <c r="C58" i="1" s="1"/>
  <c r="N69" i="1"/>
  <c r="L69" i="1" s="1"/>
  <c r="C69" i="1" s="1"/>
  <c r="O52" i="1"/>
  <c r="W59" i="1"/>
  <c r="B59" i="1" s="1"/>
  <c r="N57" i="1"/>
  <c r="L57" i="1" s="1"/>
  <c r="C57" i="1" s="1"/>
  <c r="O62" i="1"/>
  <c r="R56" i="1"/>
  <c r="O51" i="1"/>
  <c r="Q68" i="1"/>
  <c r="O68" i="1" s="1"/>
  <c r="P67" i="1"/>
  <c r="O67" i="1" s="1"/>
  <c r="Q56" i="1"/>
  <c r="O56" i="1" s="1"/>
  <c r="N56" i="1" s="1"/>
  <c r="L56" i="1" s="1"/>
  <c r="C56" i="1" s="1"/>
  <c r="P55" i="1"/>
  <c r="O55" i="1" s="1"/>
  <c r="N55" i="1" s="1"/>
  <c r="L55" i="1" s="1"/>
  <c r="C55" i="1" s="1"/>
  <c r="T62" i="1"/>
  <c r="S61" i="1"/>
  <c r="T63" i="1"/>
  <c r="R63" i="1" s="1"/>
  <c r="W63" i="1" s="1"/>
  <c r="B63" i="1" s="1"/>
  <c r="S62" i="1"/>
  <c r="T51" i="1"/>
  <c r="R51" i="1" s="1"/>
  <c r="W51" i="1" s="1"/>
  <c r="B51" i="1" s="1"/>
  <c r="T64" i="1"/>
  <c r="S63" i="1"/>
  <c r="T52" i="1"/>
  <c r="S51" i="1"/>
  <c r="T65" i="1"/>
  <c r="R65" i="1" s="1"/>
  <c r="W65" i="1" s="1"/>
  <c r="B65" i="1" s="1"/>
  <c r="S64" i="1"/>
  <c r="T53" i="1"/>
  <c r="R53" i="1" s="1"/>
  <c r="W53" i="1" s="1"/>
  <c r="B53" i="1" s="1"/>
  <c r="S52" i="1"/>
  <c r="T66" i="1"/>
  <c r="S65" i="1"/>
  <c r="T54" i="1"/>
  <c r="R54" i="1" s="1"/>
  <c r="W54" i="1" s="1"/>
  <c r="B54" i="1" s="1"/>
  <c r="S53" i="1"/>
  <c r="T67" i="1"/>
  <c r="R67" i="1" s="1"/>
  <c r="W67" i="1" s="1"/>
  <c r="B67" i="1" s="1"/>
  <c r="S66" i="1"/>
  <c r="T55" i="1"/>
  <c r="R55" i="1" s="1"/>
  <c r="S54" i="1"/>
  <c r="R50" i="1"/>
  <c r="O50" i="1"/>
  <c r="L50" i="1" s="1"/>
  <c r="D23" i="1"/>
  <c r="F23" i="1"/>
  <c r="E23" i="1"/>
  <c r="S41" i="1"/>
  <c r="P41" i="1" s="1"/>
  <c r="C41" i="1" s="1"/>
  <c r="W41" i="1"/>
  <c r="S37" i="1"/>
  <c r="P37" i="1" s="1"/>
  <c r="C37" i="1" s="1"/>
  <c r="D37" i="1" s="1"/>
  <c r="B27" i="1"/>
  <c r="S27" i="1"/>
  <c r="P27" i="1" s="1"/>
  <c r="C27" i="1" s="1"/>
  <c r="S36" i="1"/>
  <c r="P36" i="1" s="1"/>
  <c r="C36" i="1" s="1"/>
  <c r="F36" i="1" s="1"/>
  <c r="B36" i="1"/>
  <c r="D30" i="1"/>
  <c r="E30" i="1"/>
  <c r="F30" i="1"/>
  <c r="S40" i="1"/>
  <c r="P40" i="1" s="1"/>
  <c r="C40" i="1" s="1"/>
  <c r="S35" i="1"/>
  <c r="P35" i="1" s="1"/>
  <c r="C35" i="1" s="1"/>
  <c r="B35" i="1"/>
  <c r="B32" i="1"/>
  <c r="S32" i="1"/>
  <c r="P32" i="1" s="1"/>
  <c r="C32" i="1" s="1"/>
  <c r="S39" i="1"/>
  <c r="P39" i="1" s="1"/>
  <c r="C39" i="1" s="1"/>
  <c r="B39" i="1"/>
  <c r="B29" i="1"/>
  <c r="S29" i="1"/>
  <c r="P29" i="1" s="1"/>
  <c r="C29" i="1" s="1"/>
  <c r="F29" i="1" s="1"/>
  <c r="D26" i="1"/>
  <c r="E26" i="1"/>
  <c r="F26" i="1"/>
  <c r="E38" i="1"/>
  <c r="D38" i="1"/>
  <c r="F38" i="1"/>
  <c r="E31" i="1"/>
  <c r="F31" i="1"/>
  <c r="D31" i="1"/>
  <c r="B34" i="1"/>
  <c r="S34" i="1"/>
  <c r="P34" i="1" s="1"/>
  <c r="C34" i="1" s="1"/>
  <c r="S25" i="1"/>
  <c r="P25" i="1" s="1"/>
  <c r="C25" i="1" s="1"/>
  <c r="D25" i="1" s="1"/>
  <c r="R40" i="1"/>
  <c r="B40" i="1" s="1"/>
  <c r="W36" i="1"/>
  <c r="R28" i="1"/>
  <c r="B28" i="1" s="1"/>
  <c r="R33" i="1"/>
  <c r="B33" i="1" s="1"/>
  <c r="W29" i="1"/>
  <c r="W25" i="1"/>
  <c r="F32" i="1"/>
  <c r="S24" i="1"/>
  <c r="P24" i="1" s="1"/>
  <c r="C24" i="1" s="1"/>
  <c r="F24" i="1" s="1"/>
  <c r="B24" i="1"/>
  <c r="F22" i="1"/>
  <c r="D22" i="1"/>
  <c r="E22" i="1"/>
  <c r="M8" i="1"/>
  <c r="I7" i="1"/>
  <c r="I11" i="1"/>
  <c r="Q8" i="1"/>
  <c r="I12" i="1"/>
  <c r="J8" i="1"/>
  <c r="I8" i="1"/>
  <c r="I9" i="1"/>
  <c r="O7" i="1"/>
  <c r="O8" i="1"/>
  <c r="M9" i="1" s="1"/>
  <c r="J9" i="1"/>
  <c r="J12" i="1"/>
  <c r="M7" i="1"/>
  <c r="J7" i="1"/>
  <c r="S8" i="1"/>
  <c r="I10" i="1"/>
  <c r="J10" i="1"/>
  <c r="AI9" i="2" l="1"/>
  <c r="AJ9" i="2"/>
  <c r="V38" i="2"/>
  <c r="U38" i="2"/>
  <c r="V28" i="2"/>
  <c r="U28" i="2"/>
  <c r="AJ7" i="2"/>
  <c r="AI7" i="2"/>
  <c r="A68" i="2"/>
  <c r="A56" i="2"/>
  <c r="A67" i="2"/>
  <c r="A55" i="2"/>
  <c r="A66" i="2"/>
  <c r="A54" i="2"/>
  <c r="A58" i="2"/>
  <c r="A65" i="2"/>
  <c r="A53" i="2"/>
  <c r="A64" i="2"/>
  <c r="A52" i="2"/>
  <c r="A63" i="2"/>
  <c r="A51" i="2"/>
  <c r="A62" i="2"/>
  <c r="A50" i="2"/>
  <c r="A61" i="2"/>
  <c r="A60" i="2"/>
  <c r="A59" i="2"/>
  <c r="A57" i="2"/>
  <c r="A69" i="2"/>
  <c r="V32" i="2"/>
  <c r="U32" i="2"/>
  <c r="U37" i="2"/>
  <c r="V37" i="2"/>
  <c r="V36" i="2"/>
  <c r="U36" i="2"/>
  <c r="U41" i="2"/>
  <c r="V41" i="2"/>
  <c r="V40" i="2"/>
  <c r="U40" i="2"/>
  <c r="V27" i="2"/>
  <c r="U27" i="2"/>
  <c r="Q9" i="2"/>
  <c r="I14" i="2" s="1"/>
  <c r="AI12" i="2" s="1"/>
  <c r="V31" i="2"/>
  <c r="U31" i="2"/>
  <c r="V35" i="2"/>
  <c r="U35" i="2"/>
  <c r="V23" i="2"/>
  <c r="U23" i="2"/>
  <c r="U25" i="2"/>
  <c r="V25" i="2"/>
  <c r="J13" i="2"/>
  <c r="V22" i="2"/>
  <c r="U22" i="2"/>
  <c r="V39" i="2"/>
  <c r="U39" i="2"/>
  <c r="V26" i="2"/>
  <c r="U26" i="2"/>
  <c r="AI10" i="2"/>
  <c r="AJ10" i="2"/>
  <c r="AJ6" i="2"/>
  <c r="AI6" i="2"/>
  <c r="V30" i="2"/>
  <c r="U30" i="2"/>
  <c r="U33" i="2"/>
  <c r="V33" i="2"/>
  <c r="AJ8" i="2"/>
  <c r="AI8" i="2"/>
  <c r="U29" i="2"/>
  <c r="V29" i="2"/>
  <c r="V34" i="2"/>
  <c r="U34" i="2"/>
  <c r="V24" i="2"/>
  <c r="U24" i="2"/>
  <c r="N68" i="1"/>
  <c r="L68" i="1" s="1"/>
  <c r="C68" i="1" s="1"/>
  <c r="W68" i="1"/>
  <c r="B68" i="1" s="1"/>
  <c r="N67" i="1"/>
  <c r="L67" i="1" s="1"/>
  <c r="C67" i="1" s="1"/>
  <c r="N54" i="1"/>
  <c r="L54" i="1" s="1"/>
  <c r="C54" i="1" s="1"/>
  <c r="W55" i="1"/>
  <c r="B55" i="1" s="1"/>
  <c r="N65" i="1"/>
  <c r="L65" i="1" s="1"/>
  <c r="C65" i="1" s="1"/>
  <c r="N63" i="1"/>
  <c r="L63" i="1" s="1"/>
  <c r="C63" i="1" s="1"/>
  <c r="R62" i="1"/>
  <c r="W62" i="1" s="1"/>
  <c r="B62" i="1" s="1"/>
  <c r="R52" i="1"/>
  <c r="W52" i="1" s="1"/>
  <c r="B52" i="1" s="1"/>
  <c r="N51" i="1"/>
  <c r="L51" i="1" s="1"/>
  <c r="C51" i="1" s="1"/>
  <c r="W56" i="1"/>
  <c r="B56" i="1" s="1"/>
  <c r="R64" i="1"/>
  <c r="N53" i="1"/>
  <c r="L53" i="1" s="1"/>
  <c r="C53" i="1" s="1"/>
  <c r="R66" i="1"/>
  <c r="N61" i="1"/>
  <c r="L61" i="1" s="1"/>
  <c r="C61" i="1" s="1"/>
  <c r="W50" i="1"/>
  <c r="B50" i="1" s="1"/>
  <c r="C50" i="1"/>
  <c r="F25" i="1"/>
  <c r="E25" i="1"/>
  <c r="E41" i="1"/>
  <c r="D41" i="1"/>
  <c r="F41" i="1"/>
  <c r="D35" i="1"/>
  <c r="E35" i="1"/>
  <c r="E37" i="1"/>
  <c r="E40" i="1"/>
  <c r="D40" i="1"/>
  <c r="F40" i="1"/>
  <c r="D34" i="1"/>
  <c r="F34" i="1"/>
  <c r="E34" i="1"/>
  <c r="F37" i="1"/>
  <c r="F35" i="1"/>
  <c r="D29" i="1"/>
  <c r="E36" i="1"/>
  <c r="D36" i="1"/>
  <c r="S28" i="1"/>
  <c r="P28" i="1" s="1"/>
  <c r="C28" i="1" s="1"/>
  <c r="E29" i="1"/>
  <c r="F39" i="1"/>
  <c r="E39" i="1"/>
  <c r="D39" i="1"/>
  <c r="F27" i="1"/>
  <c r="D27" i="1"/>
  <c r="E27" i="1"/>
  <c r="S33" i="1"/>
  <c r="P33" i="1" s="1"/>
  <c r="C33" i="1" s="1"/>
  <c r="E32" i="1"/>
  <c r="D32" i="1"/>
  <c r="D24" i="1"/>
  <c r="E24" i="1"/>
  <c r="Q7" i="1"/>
  <c r="I13" i="1" s="1"/>
  <c r="J13" i="1"/>
  <c r="O9" i="1"/>
  <c r="J14" i="1" s="1"/>
  <c r="W34" i="2" l="1"/>
  <c r="R34" i="2"/>
  <c r="V61" i="2"/>
  <c r="U61" i="2"/>
  <c r="AI61" i="2"/>
  <c r="AG61" i="2" s="1"/>
  <c r="AE61" i="2" s="1"/>
  <c r="E61" i="2" s="1"/>
  <c r="AC61" i="2"/>
  <c r="AA61" i="2" s="1"/>
  <c r="Y61" i="2" s="1"/>
  <c r="D61" i="2" s="1"/>
  <c r="AI55" i="2"/>
  <c r="AG55" i="2" s="1"/>
  <c r="AE55" i="2" s="1"/>
  <c r="E55" i="2" s="1"/>
  <c r="V55" i="2"/>
  <c r="AC55" i="2"/>
  <c r="AA55" i="2" s="1"/>
  <c r="Y55" i="2" s="1"/>
  <c r="D55" i="2" s="1"/>
  <c r="U55" i="2"/>
  <c r="R36" i="2"/>
  <c r="W36" i="2"/>
  <c r="R29" i="2"/>
  <c r="W29" i="2"/>
  <c r="V63" i="2"/>
  <c r="U63" i="2"/>
  <c r="AI63" i="2"/>
  <c r="AG63" i="2" s="1"/>
  <c r="AE63" i="2" s="1"/>
  <c r="E63" i="2" s="1"/>
  <c r="AC63" i="2"/>
  <c r="AA63" i="2" s="1"/>
  <c r="Y63" i="2" s="1"/>
  <c r="D63" i="2" s="1"/>
  <c r="R41" i="2"/>
  <c r="W41" i="2"/>
  <c r="AI56" i="2"/>
  <c r="AG56" i="2" s="1"/>
  <c r="AE56" i="2" s="1"/>
  <c r="E56" i="2" s="1"/>
  <c r="U56" i="2"/>
  <c r="AC56" i="2"/>
  <c r="AA56" i="2" s="1"/>
  <c r="Y56" i="2" s="1"/>
  <c r="D56" i="2" s="1"/>
  <c r="V56" i="2"/>
  <c r="R37" i="2"/>
  <c r="W37" i="2"/>
  <c r="V52" i="2"/>
  <c r="U52" i="2"/>
  <c r="AC52" i="2"/>
  <c r="AA52" i="2" s="1"/>
  <c r="Y52" i="2" s="1"/>
  <c r="D52" i="2" s="1"/>
  <c r="AI52" i="2"/>
  <c r="AG52" i="2" s="1"/>
  <c r="AE52" i="2" s="1"/>
  <c r="E52" i="2" s="1"/>
  <c r="AI67" i="2"/>
  <c r="AG67" i="2" s="1"/>
  <c r="AE67" i="2" s="1"/>
  <c r="E67" i="2" s="1"/>
  <c r="AC67" i="2"/>
  <c r="AA67" i="2" s="1"/>
  <c r="Y67" i="2" s="1"/>
  <c r="D67" i="2" s="1"/>
  <c r="V67" i="2"/>
  <c r="U67" i="2"/>
  <c r="AI68" i="2"/>
  <c r="AG68" i="2" s="1"/>
  <c r="AE68" i="2" s="1"/>
  <c r="E68" i="2" s="1"/>
  <c r="AC68" i="2"/>
  <c r="AA68" i="2" s="1"/>
  <c r="Y68" i="2" s="1"/>
  <c r="D68" i="2" s="1"/>
  <c r="U68" i="2"/>
  <c r="V68" i="2"/>
  <c r="W22" i="2"/>
  <c r="R22" i="2"/>
  <c r="W27" i="2"/>
  <c r="R27" i="2"/>
  <c r="R32" i="2"/>
  <c r="W32" i="2"/>
  <c r="V64" i="2"/>
  <c r="U64" i="2"/>
  <c r="AI64" i="2"/>
  <c r="AG64" i="2" s="1"/>
  <c r="AE64" i="2" s="1"/>
  <c r="E64" i="2" s="1"/>
  <c r="AC64" i="2"/>
  <c r="AA64" i="2" s="1"/>
  <c r="Y64" i="2" s="1"/>
  <c r="D64" i="2" s="1"/>
  <c r="R28" i="2"/>
  <c r="W28" i="2"/>
  <c r="V51" i="2"/>
  <c r="U51" i="2"/>
  <c r="AI51" i="2"/>
  <c r="AG51" i="2" s="1"/>
  <c r="AE51" i="2" s="1"/>
  <c r="E51" i="2" s="1"/>
  <c r="AC51" i="2"/>
  <c r="AA51" i="2" s="1"/>
  <c r="Y51" i="2" s="1"/>
  <c r="D51" i="2" s="1"/>
  <c r="R33" i="2"/>
  <c r="W33" i="2"/>
  <c r="V53" i="2"/>
  <c r="U53" i="2"/>
  <c r="AI53" i="2"/>
  <c r="AG53" i="2" s="1"/>
  <c r="AE53" i="2" s="1"/>
  <c r="E53" i="2" s="1"/>
  <c r="AC53" i="2"/>
  <c r="AA53" i="2" s="1"/>
  <c r="Y53" i="2" s="1"/>
  <c r="D53" i="2" s="1"/>
  <c r="AJ11" i="2"/>
  <c r="AI11" i="2"/>
  <c r="AJ12" i="2"/>
  <c r="AI69" i="2"/>
  <c r="AG69" i="2" s="1"/>
  <c r="AE69" i="2" s="1"/>
  <c r="E69" i="2" s="1"/>
  <c r="AC69" i="2"/>
  <c r="AA69" i="2" s="1"/>
  <c r="Y69" i="2" s="1"/>
  <c r="D69" i="2" s="1"/>
  <c r="V69" i="2"/>
  <c r="U69" i="2"/>
  <c r="V65" i="2"/>
  <c r="U65" i="2"/>
  <c r="AI65" i="2"/>
  <c r="AG65" i="2" s="1"/>
  <c r="AE65" i="2" s="1"/>
  <c r="E65" i="2" s="1"/>
  <c r="AC65" i="2"/>
  <c r="AA65" i="2" s="1"/>
  <c r="Y65" i="2" s="1"/>
  <c r="D65" i="2" s="1"/>
  <c r="W38" i="2"/>
  <c r="R38" i="2"/>
  <c r="W35" i="2"/>
  <c r="R35" i="2"/>
  <c r="W26" i="2"/>
  <c r="R26" i="2"/>
  <c r="W31" i="2"/>
  <c r="R31" i="2"/>
  <c r="W39" i="2"/>
  <c r="R39" i="2"/>
  <c r="W30" i="2"/>
  <c r="R30" i="2"/>
  <c r="AC57" i="2"/>
  <c r="AA57" i="2" s="1"/>
  <c r="Y57" i="2" s="1"/>
  <c r="D57" i="2" s="1"/>
  <c r="V57" i="2"/>
  <c r="U57" i="2"/>
  <c r="AI57" i="2"/>
  <c r="AG57" i="2" s="1"/>
  <c r="AE57" i="2" s="1"/>
  <c r="E57" i="2" s="1"/>
  <c r="AC58" i="2"/>
  <c r="AA58" i="2" s="1"/>
  <c r="Y58" i="2" s="1"/>
  <c r="D58" i="2" s="1"/>
  <c r="AI58" i="2"/>
  <c r="AG58" i="2" s="1"/>
  <c r="AE58" i="2" s="1"/>
  <c r="E58" i="2" s="1"/>
  <c r="V58" i="2"/>
  <c r="U58" i="2"/>
  <c r="V50" i="2"/>
  <c r="U50" i="2"/>
  <c r="AC50" i="2"/>
  <c r="AA50" i="2" s="1"/>
  <c r="Y50" i="2" s="1"/>
  <c r="D50" i="2" s="1"/>
  <c r="AI50" i="2"/>
  <c r="AG50" i="2" s="1"/>
  <c r="AE50" i="2" s="1"/>
  <c r="E50" i="2" s="1"/>
  <c r="V62" i="2"/>
  <c r="U62" i="2"/>
  <c r="AI62" i="2"/>
  <c r="AG62" i="2" s="1"/>
  <c r="AE62" i="2" s="1"/>
  <c r="E62" i="2" s="1"/>
  <c r="AC62" i="2"/>
  <c r="AA62" i="2" s="1"/>
  <c r="Y62" i="2" s="1"/>
  <c r="D62" i="2" s="1"/>
  <c r="R24" i="2"/>
  <c r="W24" i="2"/>
  <c r="R25" i="2"/>
  <c r="W25" i="2"/>
  <c r="R40" i="2"/>
  <c r="W40" i="2"/>
  <c r="AC59" i="2"/>
  <c r="AA59" i="2" s="1"/>
  <c r="Y59" i="2" s="1"/>
  <c r="D59" i="2" s="1"/>
  <c r="V59" i="2"/>
  <c r="U59" i="2"/>
  <c r="AI59" i="2"/>
  <c r="AG59" i="2" s="1"/>
  <c r="AE59" i="2" s="1"/>
  <c r="E59" i="2" s="1"/>
  <c r="U54" i="2"/>
  <c r="AI54" i="2"/>
  <c r="AG54" i="2" s="1"/>
  <c r="AE54" i="2" s="1"/>
  <c r="E54" i="2" s="1"/>
  <c r="AC54" i="2"/>
  <c r="AA54" i="2" s="1"/>
  <c r="Y54" i="2" s="1"/>
  <c r="D54" i="2" s="1"/>
  <c r="V54" i="2"/>
  <c r="W23" i="2"/>
  <c r="R23" i="2"/>
  <c r="AC60" i="2"/>
  <c r="AA60" i="2" s="1"/>
  <c r="Y60" i="2" s="1"/>
  <c r="D60" i="2" s="1"/>
  <c r="V60" i="2"/>
  <c r="U60" i="2"/>
  <c r="AI60" i="2"/>
  <c r="AG60" i="2" s="1"/>
  <c r="AE60" i="2" s="1"/>
  <c r="E60" i="2" s="1"/>
  <c r="U66" i="2"/>
  <c r="AI66" i="2"/>
  <c r="AG66" i="2" s="1"/>
  <c r="AE66" i="2" s="1"/>
  <c r="E66" i="2" s="1"/>
  <c r="AC66" i="2"/>
  <c r="AA66" i="2" s="1"/>
  <c r="Y66" i="2" s="1"/>
  <c r="D66" i="2" s="1"/>
  <c r="V66" i="2"/>
  <c r="N52" i="1"/>
  <c r="L52" i="1" s="1"/>
  <c r="C52" i="1" s="1"/>
  <c r="W66" i="1"/>
  <c r="B66" i="1" s="1"/>
  <c r="N66" i="1"/>
  <c r="L66" i="1" s="1"/>
  <c r="C66" i="1" s="1"/>
  <c r="N62" i="1"/>
  <c r="L62" i="1" s="1"/>
  <c r="C62" i="1" s="1"/>
  <c r="W64" i="1"/>
  <c r="B64" i="1" s="1"/>
  <c r="N64" i="1"/>
  <c r="L64" i="1" s="1"/>
  <c r="C64" i="1" s="1"/>
  <c r="D33" i="1"/>
  <c r="E33" i="1"/>
  <c r="F33" i="1"/>
  <c r="D28" i="1"/>
  <c r="E28" i="1"/>
  <c r="F28" i="1"/>
  <c r="Q9" i="1"/>
  <c r="I14" i="1" s="1"/>
  <c r="T50" i="2" l="1"/>
  <c r="Q50" i="2"/>
  <c r="B30" i="2"/>
  <c r="S30" i="2"/>
  <c r="P30" i="2" s="1"/>
  <c r="C30" i="2" s="1"/>
  <c r="T51" i="2"/>
  <c r="Q51" i="2"/>
  <c r="B22" i="2"/>
  <c r="S22" i="2"/>
  <c r="P22" i="2" s="1"/>
  <c r="C22" i="2" s="1"/>
  <c r="B41" i="2"/>
  <c r="S41" i="2"/>
  <c r="P41" i="2" s="1"/>
  <c r="C41" i="2" s="1"/>
  <c r="T55" i="2"/>
  <c r="R55" i="2" s="1"/>
  <c r="W55" i="2" s="1"/>
  <c r="B55" i="2" s="1"/>
  <c r="Q55" i="2"/>
  <c r="B40" i="2"/>
  <c r="S40" i="2"/>
  <c r="P40" i="2" s="1"/>
  <c r="C40" i="2" s="1"/>
  <c r="B25" i="2"/>
  <c r="S25" i="2"/>
  <c r="P25" i="2" s="1"/>
  <c r="C25" i="2" s="1"/>
  <c r="B27" i="2"/>
  <c r="S27" i="2"/>
  <c r="P27" i="2" s="1"/>
  <c r="C27" i="2" s="1"/>
  <c r="S50" i="2"/>
  <c r="P50" i="2"/>
  <c r="O50" i="2" s="1"/>
  <c r="P51" i="2"/>
  <c r="O51" i="2" s="1"/>
  <c r="S51" i="2"/>
  <c r="P58" i="2"/>
  <c r="O58" i="2" s="1"/>
  <c r="S58" i="2"/>
  <c r="B39" i="2"/>
  <c r="S39" i="2"/>
  <c r="P39" i="2" s="1"/>
  <c r="C39" i="2" s="1"/>
  <c r="S65" i="2"/>
  <c r="P65" i="2"/>
  <c r="B38" i="2"/>
  <c r="S38" i="2"/>
  <c r="P38" i="2" s="1"/>
  <c r="C38" i="2" s="1"/>
  <c r="S55" i="2"/>
  <c r="P55" i="2"/>
  <c r="O55" i="2" s="1"/>
  <c r="S66" i="2"/>
  <c r="P66" i="2"/>
  <c r="O66" i="2" s="1"/>
  <c r="T54" i="2"/>
  <c r="R54" i="2" s="1"/>
  <c r="W54" i="2" s="1"/>
  <c r="B54" i="2" s="1"/>
  <c r="Q54" i="2"/>
  <c r="B24" i="2"/>
  <c r="S24" i="2"/>
  <c r="P24" i="2" s="1"/>
  <c r="C24" i="2" s="1"/>
  <c r="Q58" i="2"/>
  <c r="T58" i="2"/>
  <c r="T65" i="2"/>
  <c r="R65" i="2" s="1"/>
  <c r="Q65" i="2"/>
  <c r="S53" i="2"/>
  <c r="P53" i="2"/>
  <c r="B28" i="2"/>
  <c r="S28" i="2"/>
  <c r="P28" i="2" s="1"/>
  <c r="C28" i="2" s="1"/>
  <c r="S52" i="2"/>
  <c r="P52" i="2"/>
  <c r="O52" i="2" s="1"/>
  <c r="P63" i="2"/>
  <c r="S63" i="2"/>
  <c r="T66" i="2"/>
  <c r="Q66" i="2"/>
  <c r="S60" i="2"/>
  <c r="P60" i="2"/>
  <c r="B31" i="2"/>
  <c r="S31" i="2"/>
  <c r="P31" i="2" s="1"/>
  <c r="C31" i="2" s="1"/>
  <c r="P69" i="2"/>
  <c r="O69" i="2" s="1"/>
  <c r="S69" i="2"/>
  <c r="T53" i="2"/>
  <c r="R53" i="2" s="1"/>
  <c r="Q53" i="2"/>
  <c r="Q68" i="2"/>
  <c r="T68" i="2"/>
  <c r="T52" i="2"/>
  <c r="Q52" i="2"/>
  <c r="T63" i="2"/>
  <c r="R63" i="2" s="1"/>
  <c r="Q63" i="2"/>
  <c r="S61" i="2"/>
  <c r="P61" i="2"/>
  <c r="B26" i="2"/>
  <c r="S26" i="2"/>
  <c r="P26" i="2" s="1"/>
  <c r="C26" i="2" s="1"/>
  <c r="S64" i="2"/>
  <c r="P64" i="2"/>
  <c r="O64" i="2" s="1"/>
  <c r="B37" i="2"/>
  <c r="S37" i="2"/>
  <c r="P37" i="2" s="1"/>
  <c r="C37" i="2" s="1"/>
  <c r="Q69" i="2"/>
  <c r="T69" i="2"/>
  <c r="S68" i="2"/>
  <c r="P68" i="2"/>
  <c r="O68" i="2" s="1"/>
  <c r="P59" i="2"/>
  <c r="S59" i="2"/>
  <c r="P57" i="2"/>
  <c r="O57" i="2" s="1"/>
  <c r="S57" i="2"/>
  <c r="B29" i="2"/>
  <c r="S29" i="2"/>
  <c r="P29" i="2" s="1"/>
  <c r="C29" i="2" s="1"/>
  <c r="B23" i="2"/>
  <c r="S23" i="2"/>
  <c r="P23" i="2" s="1"/>
  <c r="C23" i="2" s="1"/>
  <c r="T59" i="2"/>
  <c r="Q59" i="2"/>
  <c r="Q62" i="2"/>
  <c r="T62" i="2"/>
  <c r="Q57" i="2"/>
  <c r="T57" i="2"/>
  <c r="B35" i="2"/>
  <c r="S35" i="2"/>
  <c r="P35" i="2" s="1"/>
  <c r="C35" i="2" s="1"/>
  <c r="B33" i="2"/>
  <c r="S33" i="2"/>
  <c r="P33" i="2" s="1"/>
  <c r="C33" i="2" s="1"/>
  <c r="S67" i="2"/>
  <c r="P67" i="2"/>
  <c r="B34" i="2"/>
  <c r="S34" i="2"/>
  <c r="P34" i="2" s="1"/>
  <c r="C34" i="2" s="1"/>
  <c r="Q60" i="2"/>
  <c r="T60" i="2"/>
  <c r="R60" i="2" s="1"/>
  <c r="S54" i="2"/>
  <c r="P54" i="2"/>
  <c r="O54" i="2" s="1"/>
  <c r="T61" i="2"/>
  <c r="R61" i="2" s="1"/>
  <c r="Q61" i="2"/>
  <c r="S62" i="2"/>
  <c r="P62" i="2"/>
  <c r="O62" i="2" s="1"/>
  <c r="T64" i="2"/>
  <c r="Q64" i="2"/>
  <c r="Q56" i="2"/>
  <c r="T56" i="2"/>
  <c r="B32" i="2"/>
  <c r="S32" i="2"/>
  <c r="P32" i="2" s="1"/>
  <c r="C32" i="2" s="1"/>
  <c r="T67" i="2"/>
  <c r="R67" i="2" s="1"/>
  <c r="Q67" i="2"/>
  <c r="S56" i="2"/>
  <c r="P56" i="2"/>
  <c r="O56" i="2" s="1"/>
  <c r="B36" i="2"/>
  <c r="S36" i="2"/>
  <c r="P36" i="2" s="1"/>
  <c r="C36" i="2" s="1"/>
  <c r="D36" i="2" l="1"/>
  <c r="E36" i="2"/>
  <c r="F36" i="2"/>
  <c r="N62" i="2"/>
  <c r="L62" i="2" s="1"/>
  <c r="C62" i="2" s="1"/>
  <c r="E33" i="2"/>
  <c r="D33" i="2"/>
  <c r="F33" i="2"/>
  <c r="E29" i="2"/>
  <c r="D29" i="2"/>
  <c r="F29" i="2"/>
  <c r="E26" i="2"/>
  <c r="D26" i="2"/>
  <c r="F26" i="2"/>
  <c r="R57" i="2"/>
  <c r="W57" i="2" s="1"/>
  <c r="B57" i="2" s="1"/>
  <c r="O61" i="2"/>
  <c r="N61" i="2" s="1"/>
  <c r="L61" i="2" s="1"/>
  <c r="C61" i="2" s="1"/>
  <c r="E31" i="2"/>
  <c r="D31" i="2"/>
  <c r="F31" i="2"/>
  <c r="O53" i="2"/>
  <c r="N53" i="2" s="1"/>
  <c r="L53" i="2" s="1"/>
  <c r="C53" i="2" s="1"/>
  <c r="N55" i="2"/>
  <c r="L55" i="2" s="1"/>
  <c r="C55" i="2" s="1"/>
  <c r="E22" i="2"/>
  <c r="D22" i="2"/>
  <c r="F22" i="2"/>
  <c r="N54" i="2"/>
  <c r="L54" i="2" s="1"/>
  <c r="C54" i="2" s="1"/>
  <c r="O59" i="2"/>
  <c r="N59" i="2" s="1"/>
  <c r="L59" i="2" s="1"/>
  <c r="C59" i="2" s="1"/>
  <c r="D28" i="2"/>
  <c r="E28" i="2"/>
  <c r="F28" i="2"/>
  <c r="R62" i="2"/>
  <c r="W62" i="2" s="1"/>
  <c r="B62" i="2" s="1"/>
  <c r="O60" i="2"/>
  <c r="N60" i="2" s="1"/>
  <c r="L60" i="2" s="1"/>
  <c r="C60" i="2" s="1"/>
  <c r="E38" i="2"/>
  <c r="D38" i="2"/>
  <c r="F38" i="2"/>
  <c r="E27" i="2"/>
  <c r="D27" i="2"/>
  <c r="F27" i="2"/>
  <c r="N56" i="2"/>
  <c r="L56" i="2" s="1"/>
  <c r="C56" i="2" s="1"/>
  <c r="W65" i="2"/>
  <c r="B65" i="2" s="1"/>
  <c r="R51" i="2"/>
  <c r="W51" i="2" s="1"/>
  <c r="B51" i="2" s="1"/>
  <c r="E34" i="2"/>
  <c r="D34" i="2"/>
  <c r="F34" i="2"/>
  <c r="R69" i="2"/>
  <c r="W69" i="2" s="1"/>
  <c r="B69" i="2" s="1"/>
  <c r="R58" i="2"/>
  <c r="W58" i="2" s="1"/>
  <c r="B58" i="2" s="1"/>
  <c r="O65" i="2"/>
  <c r="N65" i="2" s="1"/>
  <c r="L65" i="2" s="1"/>
  <c r="C65" i="2" s="1"/>
  <c r="E25" i="2"/>
  <c r="D25" i="2"/>
  <c r="F25" i="2"/>
  <c r="E30" i="2"/>
  <c r="D30" i="2"/>
  <c r="F30" i="2"/>
  <c r="E35" i="2"/>
  <c r="D35" i="2"/>
  <c r="F35" i="2"/>
  <c r="W61" i="2"/>
  <c r="B61" i="2" s="1"/>
  <c r="W63" i="2"/>
  <c r="B63" i="2" s="1"/>
  <c r="R59" i="2"/>
  <c r="W59" i="2" s="1"/>
  <c r="B59" i="2" s="1"/>
  <c r="R52" i="2"/>
  <c r="W52" i="2" s="1"/>
  <c r="B52" i="2" s="1"/>
  <c r="R66" i="2"/>
  <c r="W66" i="2" s="1"/>
  <c r="B66" i="2" s="1"/>
  <c r="E41" i="2"/>
  <c r="D41" i="2"/>
  <c r="F41" i="2"/>
  <c r="D32" i="2"/>
  <c r="E32" i="2"/>
  <c r="F32" i="2"/>
  <c r="R56" i="2"/>
  <c r="W56" i="2" s="1"/>
  <c r="B56" i="2" s="1"/>
  <c r="E23" i="2"/>
  <c r="D23" i="2"/>
  <c r="F23" i="2"/>
  <c r="E37" i="2"/>
  <c r="D37" i="2"/>
  <c r="F37" i="2"/>
  <c r="R68" i="2"/>
  <c r="W68" i="2" s="1"/>
  <c r="B68" i="2" s="1"/>
  <c r="D24" i="2"/>
  <c r="E24" i="2"/>
  <c r="F24" i="2"/>
  <c r="E39" i="2"/>
  <c r="D39" i="2"/>
  <c r="F39" i="2"/>
  <c r="D40" i="2"/>
  <c r="E40" i="2"/>
  <c r="F40" i="2"/>
  <c r="N58" i="2"/>
  <c r="L58" i="2" s="1"/>
  <c r="C58" i="2" s="1"/>
  <c r="O67" i="2"/>
  <c r="N67" i="2" s="1"/>
  <c r="L67" i="2" s="1"/>
  <c r="C67" i="2" s="1"/>
  <c r="R64" i="2"/>
  <c r="W64" i="2" s="1"/>
  <c r="B64" i="2" s="1"/>
  <c r="O63" i="2"/>
  <c r="N63" i="2" s="1"/>
  <c r="L63" i="2" s="1"/>
  <c r="C63" i="2" s="1"/>
  <c r="R50" i="2"/>
  <c r="W50" i="2" s="1"/>
  <c r="B50" i="2" s="1"/>
  <c r="N52" i="2" l="1"/>
  <c r="L52" i="2" s="1"/>
  <c r="C52" i="2" s="1"/>
  <c r="W67" i="2"/>
  <c r="B67" i="2" s="1"/>
  <c r="N66" i="2"/>
  <c r="L66" i="2" s="1"/>
  <c r="C66" i="2" s="1"/>
  <c r="W53" i="2"/>
  <c r="B53" i="2" s="1"/>
  <c r="N68" i="2"/>
  <c r="L68" i="2" s="1"/>
  <c r="C68" i="2" s="1"/>
  <c r="N64" i="2"/>
  <c r="L64" i="2" s="1"/>
  <c r="C64" i="2" s="1"/>
  <c r="N57" i="2"/>
  <c r="L57" i="2" s="1"/>
  <c r="C57" i="2" s="1"/>
  <c r="N51" i="2"/>
  <c r="L51" i="2" s="1"/>
  <c r="C51" i="2" s="1"/>
  <c r="W60" i="2"/>
  <c r="B60" i="2" s="1"/>
  <c r="N50" i="2"/>
  <c r="L50" i="2" s="1"/>
  <c r="C50" i="2" s="1"/>
  <c r="N69" i="2"/>
  <c r="L69" i="2" s="1"/>
  <c r="C69" i="2" s="1"/>
</calcChain>
</file>

<file path=xl/sharedStrings.xml><?xml version="1.0" encoding="utf-8"?>
<sst xmlns="http://schemas.openxmlformats.org/spreadsheetml/2006/main" count="556" uniqueCount="222">
  <si>
    <t>Таблица 2.2</t>
  </si>
  <si>
    <t>Номер схемы цепи</t>
  </si>
  <si>
    <t>Параметры двухполюсников</t>
  </si>
  <si>
    <t>Результаты измерений</t>
  </si>
  <si>
    <t>Результаты вычислений</t>
  </si>
  <si>
    <t>X_L</t>
  </si>
  <si>
    <t>X_c</t>
  </si>
  <si>
    <t>omega</t>
  </si>
  <si>
    <t>R1</t>
  </si>
  <si>
    <t>Rk</t>
  </si>
  <si>
    <t>L</t>
  </si>
  <si>
    <t>C</t>
  </si>
  <si>
    <t>U</t>
  </si>
  <si>
    <t>I</t>
  </si>
  <si>
    <t>φ</t>
  </si>
  <si>
    <t>Ом</t>
  </si>
  <si>
    <t>мГн</t>
  </si>
  <si>
    <t>мкФ</t>
  </si>
  <si>
    <t>В</t>
  </si>
  <si>
    <t>А</t>
  </si>
  <si>
    <t>°</t>
  </si>
  <si>
    <t>для 8</t>
  </si>
  <si>
    <t>G1</t>
  </si>
  <si>
    <t>Gk</t>
  </si>
  <si>
    <t>B1</t>
  </si>
  <si>
    <t>Bk</t>
  </si>
  <si>
    <t>G</t>
  </si>
  <si>
    <t>B</t>
  </si>
  <si>
    <t>Y</t>
  </si>
  <si>
    <t>для 9</t>
  </si>
  <si>
    <t>R2</t>
  </si>
  <si>
    <t>Таблица 2.3</t>
  </si>
  <si>
    <t>f</t>
  </si>
  <si>
    <t>U = 8 В; R1= 55 Ом; Rk = 5 Ом; L = 7.217 мГн; C = 21.196 мкФ; f0 = 636.62 Гц</t>
  </si>
  <si>
    <t>rho</t>
  </si>
  <si>
    <t>Qp</t>
  </si>
  <si>
    <t>Qe</t>
  </si>
  <si>
    <t>Расчет</t>
  </si>
  <si>
    <t>Эксперимент</t>
  </si>
  <si>
    <t>UR1</t>
  </si>
  <si>
    <t>Uk</t>
  </si>
  <si>
    <t>UC</t>
  </si>
  <si>
    <t>Ur1</t>
  </si>
  <si>
    <t>Uc</t>
  </si>
  <si>
    <t>f0, Гц</t>
  </si>
  <si>
    <t>Таблица 2.4</t>
  </si>
  <si>
    <t>I1</t>
  </si>
  <si>
    <t>I2</t>
  </si>
  <si>
    <t>f'0, Гц</t>
  </si>
  <si>
    <t>250.49mA</t>
  </si>
  <si>
    <t>h</t>
  </si>
  <si>
    <t>delta h</t>
  </si>
  <si>
    <t>132.39mA</t>
  </si>
  <si>
    <t>fi</t>
  </si>
  <si>
    <t>117.73mA</t>
  </si>
  <si>
    <t>230,93mA</t>
  </si>
  <si>
    <t>115.18mA</t>
  </si>
  <si>
    <t>283.47mA</t>
  </si>
  <si>
    <t>delta</t>
  </si>
  <si>
    <t>113.56mA</t>
  </si>
  <si>
    <t>R</t>
  </si>
  <si>
    <t>X</t>
  </si>
  <si>
    <t>Z</t>
  </si>
  <si>
    <t>U = 15 В; R1= 11 Ом; Rk = 5 Ом; L = 1,25 мГн; C = 8,935 мкФ; f0 = 1505,975 Гц</t>
  </si>
  <si>
    <t>Z_k</t>
  </si>
  <si>
    <t>1.4188V</t>
  </si>
  <si>
    <t>14.762V</t>
  </si>
  <si>
    <t>665.97mV</t>
  </si>
  <si>
    <t>я смотрел U в лтспайсе, он чутка отличается от данного в исходных(справа фоточка с тем, как определял его)</t>
  </si>
  <si>
    <t>2.7969V</t>
  </si>
  <si>
    <t>15.025V</t>
  </si>
  <si>
    <t>1.4076V</t>
  </si>
  <si>
    <t>254.07mA</t>
  </si>
  <si>
    <t>382.45mA</t>
  </si>
  <si>
    <t>4.197V</t>
  </si>
  <si>
    <t>15.047V</t>
  </si>
  <si>
    <t>2.3411V</t>
  </si>
  <si>
    <t>5.5748V</t>
  </si>
  <si>
    <t>14.989V</t>
  </si>
  <si>
    <t>3.4914V</t>
  </si>
  <si>
    <t>506.53mA</t>
  </si>
  <si>
    <t>626.35mA</t>
  </si>
  <si>
    <t>Если ток слева, тогда знак минус</t>
  </si>
  <si>
    <t>6.88V</t>
  </si>
  <si>
    <t>14.867V</t>
  </si>
  <si>
    <t>4.8555V</t>
  </si>
  <si>
    <t>8.0891V</t>
  </si>
  <si>
    <t>14.474V</t>
  </si>
  <si>
    <t>6.3801V</t>
  </si>
  <si>
    <t>734.51mA</t>
  </si>
  <si>
    <t>822.97mA</t>
  </si>
  <si>
    <t>9.0671V</t>
  </si>
  <si>
    <t>13.9V</t>
  </si>
  <si>
    <t>7.9624V</t>
  </si>
  <si>
    <t>9.7814V</t>
  </si>
  <si>
    <t>13.117V</t>
  </si>
  <si>
    <t>9.5017V</t>
  </si>
  <si>
    <t>887.36mA</t>
  </si>
  <si>
    <t>923.37mA</t>
  </si>
  <si>
    <t>10.184V</t>
  </si>
  <si>
    <t>12.135V</t>
  </si>
  <si>
    <t>10.869V</t>
  </si>
  <si>
    <t>10.308V</t>
  </si>
  <si>
    <t>12.006V</t>
  </si>
  <si>
    <t>934.01mA</t>
  </si>
  <si>
    <t>924.31mA</t>
  </si>
  <si>
    <t>10.207V</t>
  </si>
  <si>
    <t>12.894V</t>
  </si>
  <si>
    <t>9.9325V</t>
  </si>
  <si>
    <t>9.9492V</t>
  </si>
  <si>
    <t>13.558V</t>
  </si>
  <si>
    <t>900.3mA</t>
  </si>
  <si>
    <t>867.51mA</t>
  </si>
  <si>
    <t>9.5734V</t>
  </si>
  <si>
    <t>13.92V</t>
  </si>
  <si>
    <t>9.1902V</t>
  </si>
  <si>
    <t>14.383V</t>
  </si>
  <si>
    <t>830.36mA</t>
  </si>
  <si>
    <t>7.010V</t>
  </si>
  <si>
    <t>7.904V</t>
  </si>
  <si>
    <t>8.866V</t>
  </si>
  <si>
    <t>791.83mA</t>
  </si>
  <si>
    <t>8.7909V</t>
  </si>
  <si>
    <t>6.2223V</t>
  </si>
  <si>
    <t>14.6V</t>
  </si>
  <si>
    <t>8.3572V</t>
  </si>
  <si>
    <t>5.5638V</t>
  </si>
  <si>
    <t>14.776V</t>
  </si>
  <si>
    <t>753.69mA</t>
  </si>
  <si>
    <t>717.04mA</t>
  </si>
  <si>
    <t>8.0466V</t>
  </si>
  <si>
    <t>4.9215V</t>
  </si>
  <si>
    <t>14.735V</t>
  </si>
  <si>
    <t>7.5753V</t>
  </si>
  <si>
    <t>4.477V</t>
  </si>
  <si>
    <t>14.956V</t>
  </si>
  <si>
    <t>679.67mA</t>
  </si>
  <si>
    <t>649.73mA</t>
  </si>
  <si>
    <t>7.0726V</t>
  </si>
  <si>
    <t>4.1156V</t>
  </si>
  <si>
    <t>15.26V</t>
  </si>
  <si>
    <t>6.8878V</t>
  </si>
  <si>
    <t>3.6581V</t>
  </si>
  <si>
    <t>15.026V</t>
  </si>
  <si>
    <t>619.47mA</t>
  </si>
  <si>
    <t>f'_0</t>
  </si>
  <si>
    <t>R_1</t>
  </si>
  <si>
    <t>G_1</t>
  </si>
  <si>
    <t>G_k</t>
  </si>
  <si>
    <t>B_1</t>
  </si>
  <si>
    <t>B_k</t>
  </si>
  <si>
    <t>X_C</t>
  </si>
  <si>
    <t>2.5154A</t>
  </si>
  <si>
    <t>304.61mA</t>
  </si>
  <si>
    <t>2.5886A</t>
  </si>
  <si>
    <t>I_1</t>
  </si>
  <si>
    <t>I_2</t>
  </si>
  <si>
    <t>для L</t>
  </si>
  <si>
    <t>Для C</t>
  </si>
  <si>
    <t>Qp=0,739</t>
  </si>
  <si>
    <t>Qc=0,736</t>
  </si>
  <si>
    <t>1.7876A</t>
  </si>
  <si>
    <t>1.9488A</t>
  </si>
  <si>
    <t>567.11mA</t>
  </si>
  <si>
    <t>1.3436A</t>
  </si>
  <si>
    <t>I1, L</t>
  </si>
  <si>
    <t>I2, C</t>
  </si>
  <si>
    <t>730.59mA</t>
  </si>
  <si>
    <t>1.5281A</t>
  </si>
  <si>
    <t>1.0234A</t>
  </si>
  <si>
    <t>968.03mA</t>
  </si>
  <si>
    <t>1.1128A</t>
  </si>
  <si>
    <t>1.1594A</t>
  </si>
  <si>
    <t>1.1738A</t>
  </si>
  <si>
    <t>950.91mA</t>
  </si>
  <si>
    <t>818.22mA</t>
  </si>
  <si>
    <t>1.0966A</t>
  </si>
  <si>
    <t>1.1216A</t>
  </si>
  <si>
    <t>1.1465A</t>
  </si>
  <si>
    <t>694.49mA</t>
  </si>
  <si>
    <t>1.1639A</t>
  </si>
  <si>
    <t>620.36mA</t>
  </si>
  <si>
    <t>1.1858A</t>
  </si>
  <si>
    <t>1.1729A</t>
  </si>
  <si>
    <t>1.1962A</t>
  </si>
  <si>
    <t>550.95mA</t>
  </si>
  <si>
    <t>1.2254A</t>
  </si>
  <si>
    <t>496.53mA</t>
  </si>
  <si>
    <t>1.233A</t>
  </si>
  <si>
    <t>1.2313A</t>
  </si>
  <si>
    <t>1.2318A</t>
  </si>
  <si>
    <t>438.05mA</t>
  </si>
  <si>
    <t>1.2753A</t>
  </si>
  <si>
    <t>412.1mA</t>
  </si>
  <si>
    <t>1.2603A</t>
  </si>
  <si>
    <t>1.2447A</t>
  </si>
  <si>
    <t>1.2546A</t>
  </si>
  <si>
    <t>386.14mA</t>
  </si>
  <si>
    <t>1.2379A</t>
  </si>
  <si>
    <t>350.64mA</t>
  </si>
  <si>
    <t>1.2758A</t>
  </si>
  <si>
    <t>1.263A</t>
  </si>
  <si>
    <t>1.2706A</t>
  </si>
  <si>
    <t>330.15mA</t>
  </si>
  <si>
    <t>1.2596A</t>
  </si>
  <si>
    <t>304.02mA</t>
  </si>
  <si>
    <t>1.2854A</t>
  </si>
  <si>
    <t>1.2751A</t>
  </si>
  <si>
    <t>1.281A</t>
  </si>
  <si>
    <t>285.36mA</t>
  </si>
  <si>
    <t>1.2896A</t>
  </si>
  <si>
    <t>268.15mA</t>
  </si>
  <si>
    <t>1.2943A</t>
  </si>
  <si>
    <t>1.2857A</t>
  </si>
  <si>
    <t>1.2895A</t>
  </si>
  <si>
    <t>252.42mA</t>
  </si>
  <si>
    <t>1.3007A</t>
  </si>
  <si>
    <t>238.61mA</t>
  </si>
  <si>
    <t>1.3006A</t>
  </si>
  <si>
    <t>1.294A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</si>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</sst>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#,##0.0000"/>
    <numFmt numFmtId="166" formatCode="#,##0.000000"/>
  </numFmts>
  <fonts count="6" x14ac:knownFonts="1">
    <font>
      <sz val="10"/>
      <color rgb="FF000000"/>
      <name val="Arial"/>
      <scheme val="minor"/>
    </font>
    <font>
      <sz val="11"/>
      <color theme="1"/>
      <name val="Arial"/>
      <family val="2"/>
      <charset val="204"/>
      <scheme val="minor"/>
    </font>
    <font>
      <sz val="11"/>
      <color theme="1"/>
      <name val="Arial"/>
      <family val="2"/>
      <charset val="204"/>
      <scheme val="minor"/>
    </font>
    <font>
      <sz val="11"/>
      <color theme="1"/>
      <name val="Arial"/>
      <scheme val="minor"/>
    </font>
    <font>
      <sz val="10"/>
      <color rgb="FF000000"/>
      <name val="Arial"/>
      <family val="2"/>
      <charset val="204"/>
      <scheme val="minor"/>
    </font>
    <font>
      <sz val="11"/>
      <color rgb="FF000000"/>
      <name val="Arial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164" fontId="0" fillId="0" borderId="0" xfId="0" applyNumberFormat="1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164" fontId="1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/>
    </xf>
    <xf numFmtId="166" fontId="1" fillId="0" borderId="0" xfId="0" applyNumberFormat="1" applyFont="1" applyAlignment="1">
      <alignment vertical="center"/>
    </xf>
    <xf numFmtId="0" fontId="1" fillId="7" borderId="0" xfId="0" applyFont="1" applyFill="1" applyAlignment="1">
      <alignment vertical="center"/>
    </xf>
    <xf numFmtId="0" fontId="5" fillId="0" borderId="0" xfId="0" applyFont="1"/>
    <xf numFmtId="0" fontId="1" fillId="0" borderId="0" xfId="0" applyFont="1"/>
    <xf numFmtId="164" fontId="1" fillId="0" borderId="0" xfId="0" applyNumberFormat="1" applyFont="1"/>
    <xf numFmtId="3" fontId="1" fillId="0" borderId="0" xfId="0" applyNumberFormat="1" applyFont="1"/>
    <xf numFmtId="165" fontId="1" fillId="0" borderId="0" xfId="0" applyNumberFormat="1" applyFont="1"/>
    <xf numFmtId="0" fontId="1" fillId="7" borderId="0" xfId="0" applyFont="1" applyFill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5" fillId="0" borderId="0" xfId="0" applyFont="1"/>
    <xf numFmtId="0" fontId="1" fillId="5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7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1" fillId="7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φ</a:t>
            </a:r>
            <a:r>
              <a:rPr lang="en-US"/>
              <a:t>(f)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Лист1!$A$22:$A$41</c:f>
              <c:numCache>
                <c:formatCode>General</c:formatCode>
                <c:ptCount val="20"/>
                <c:pt idx="0">
                  <c:v>150.59752923769588</c:v>
                </c:pt>
                <c:pt idx="1">
                  <c:v>301.19505847539176</c:v>
                </c:pt>
                <c:pt idx="2">
                  <c:v>451.79258771308764</c:v>
                </c:pt>
                <c:pt idx="3">
                  <c:v>602.39011695078352</c:v>
                </c:pt>
                <c:pt idx="4">
                  <c:v>752.9876461884794</c:v>
                </c:pt>
                <c:pt idx="5">
                  <c:v>903.58517542617528</c:v>
                </c:pt>
                <c:pt idx="6">
                  <c:v>1054.1827046638712</c:v>
                </c:pt>
                <c:pt idx="7">
                  <c:v>1204.780233901567</c:v>
                </c:pt>
                <c:pt idx="8">
                  <c:v>1355.3777631392629</c:v>
                </c:pt>
                <c:pt idx="9">
                  <c:v>1505.9752923769588</c:v>
                </c:pt>
                <c:pt idx="10">
                  <c:v>1656.5728216146549</c:v>
                </c:pt>
                <c:pt idx="11">
                  <c:v>1807.1703508523506</c:v>
                </c:pt>
                <c:pt idx="12">
                  <c:v>1957.7678800900464</c:v>
                </c:pt>
                <c:pt idx="13">
                  <c:v>2108.3654093277423</c:v>
                </c:pt>
                <c:pt idx="14">
                  <c:v>2258.962938565438</c:v>
                </c:pt>
                <c:pt idx="15">
                  <c:v>2409.5604678031341</c:v>
                </c:pt>
                <c:pt idx="16">
                  <c:v>2560.1579970408297</c:v>
                </c:pt>
                <c:pt idx="17">
                  <c:v>2710.7555262785258</c:v>
                </c:pt>
                <c:pt idx="18">
                  <c:v>2861.3530555162215</c:v>
                </c:pt>
                <c:pt idx="19">
                  <c:v>3011.9505847539176</c:v>
                </c:pt>
              </c:numCache>
            </c:numRef>
          </c:xVal>
          <c:yVal>
            <c:numRef>
              <c:f>Лист1!$B$22:$B$41</c:f>
              <c:numCache>
                <c:formatCode>General</c:formatCode>
                <c:ptCount val="20"/>
                <c:pt idx="0">
                  <c:v>-82.219303194207868</c:v>
                </c:pt>
                <c:pt idx="1">
                  <c:v>-74.261129380485059</c:v>
                </c:pt>
                <c:pt idx="2">
                  <c:v>-65.965226162569124</c:v>
                </c:pt>
                <c:pt idx="3">
                  <c:v>-57.212033001736721</c:v>
                </c:pt>
                <c:pt idx="4">
                  <c:v>-47.955152947748843</c:v>
                </c:pt>
                <c:pt idx="5">
                  <c:v>-38.256726732157674</c:v>
                </c:pt>
                <c:pt idx="6">
                  <c:v>-28.306549283570543</c:v>
                </c:pt>
                <c:pt idx="7">
                  <c:v>-18.400207767705737</c:v>
                </c:pt>
                <c:pt idx="8">
                  <c:v>-8.8701774931310595</c:v>
                </c:pt>
                <c:pt idx="9">
                  <c:v>0</c:v>
                </c:pt>
                <c:pt idx="10">
                  <c:v>8.0330091244259894</c:v>
                </c:pt>
                <c:pt idx="11">
                  <c:v>15.165958417274899</c:v>
                </c:pt>
                <c:pt idx="12">
                  <c:v>21.423449215326098</c:v>
                </c:pt>
                <c:pt idx="13">
                  <c:v>26.880910483814525</c:v>
                </c:pt>
                <c:pt idx="14">
                  <c:v>31.634588526329665</c:v>
                </c:pt>
                <c:pt idx="15">
                  <c:v>35.782660413661532</c:v>
                </c:pt>
                <c:pt idx="16">
                  <c:v>39.415597614860353</c:v>
                </c:pt>
                <c:pt idx="17">
                  <c:v>42.612440937023251</c:v>
                </c:pt>
                <c:pt idx="18">
                  <c:v>45.440270761131394</c:v>
                </c:pt>
                <c:pt idx="19">
                  <c:v>47.955152947748843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7A-4B92-8AA4-427BFF5D5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252992"/>
        <c:axId val="1763534528"/>
      </c:scatterChart>
      <c:valAx>
        <c:axId val="194225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3534528"/>
        <c:crosses val="autoZero"/>
        <c:crossBetween val="midCat"/>
      </c:valAx>
      <c:valAx>
        <c:axId val="176353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225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φ</a:t>
            </a:r>
            <a:r>
              <a:rPr lang="en-US"/>
              <a:t>(f)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'Лист1 (2)'!$A$50:$A$69</c:f>
              <c:numCache>
                <c:formatCode>General</c:formatCode>
                <c:ptCount val="20"/>
                <c:pt idx="0">
                  <c:v>371.3247885884241</c:v>
                </c:pt>
                <c:pt idx="1">
                  <c:v>742.6495771768482</c:v>
                </c:pt>
                <c:pt idx="2">
                  <c:v>1113.9743657652721</c:v>
                </c:pt>
                <c:pt idx="3">
                  <c:v>1485.2991543536964</c:v>
                </c:pt>
                <c:pt idx="4">
                  <c:v>1856.6239429421203</c:v>
                </c:pt>
                <c:pt idx="5">
                  <c:v>2227.9487315305441</c:v>
                </c:pt>
                <c:pt idx="6">
                  <c:v>2599.273520118968</c:v>
                </c:pt>
                <c:pt idx="7">
                  <c:v>2970.5983087073928</c:v>
                </c:pt>
                <c:pt idx="8">
                  <c:v>3341.9230972958167</c:v>
                </c:pt>
                <c:pt idx="9">
                  <c:v>3713.2478858842405</c:v>
                </c:pt>
                <c:pt idx="10">
                  <c:v>4084.5726744726649</c:v>
                </c:pt>
                <c:pt idx="11">
                  <c:v>4455.8974630610883</c:v>
                </c:pt>
                <c:pt idx="12">
                  <c:v>4827.2222516495131</c:v>
                </c:pt>
                <c:pt idx="13">
                  <c:v>5198.547040237936</c:v>
                </c:pt>
                <c:pt idx="14">
                  <c:v>5569.8718288263608</c:v>
                </c:pt>
                <c:pt idx="15">
                  <c:v>5941.1966174147856</c:v>
                </c:pt>
                <c:pt idx="16">
                  <c:v>6312.5214060032085</c:v>
                </c:pt>
                <c:pt idx="17">
                  <c:v>6683.8461945916333</c:v>
                </c:pt>
                <c:pt idx="18">
                  <c:v>7055.1709831800563</c:v>
                </c:pt>
                <c:pt idx="19">
                  <c:v>7426.4957717684811</c:v>
                </c:pt>
              </c:numCache>
            </c:numRef>
          </c:xVal>
          <c:yVal>
            <c:numRef>
              <c:f>'Лист1 (2)'!$B$50:$B$69</c:f>
              <c:numCache>
                <c:formatCode>General</c:formatCode>
                <c:ptCount val="20"/>
                <c:pt idx="0">
                  <c:v>23.617611689935451</c:v>
                </c:pt>
                <c:pt idx="1">
                  <c:v>32.639069325625222</c:v>
                </c:pt>
                <c:pt idx="2">
                  <c:v>29.127340854925638</c:v>
                </c:pt>
                <c:pt idx="3">
                  <c:v>20.498486090436842</c:v>
                </c:pt>
                <c:pt idx="4">
                  <c:v>12.664774016070655</c:v>
                </c:pt>
                <c:pt idx="5">
                  <c:v>7.3343685305901989</c:v>
                </c:pt>
                <c:pt idx="6">
                  <c:v>4.0304794089256939</c:v>
                </c:pt>
                <c:pt idx="7">
                  <c:v>2.0156307149178381</c:v>
                </c:pt>
                <c:pt idx="8">
                  <c:v>0.77515027019527405</c:v>
                </c:pt>
                <c:pt idx="9">
                  <c:v>0</c:v>
                </c:pt>
                <c:pt idx="10">
                  <c:v>-0.49031834848399342</c:v>
                </c:pt>
                <c:pt idx="11">
                  <c:v>-0.80227086539350312</c:v>
                </c:pt>
                <c:pt idx="12">
                  <c:v>-1.0000361791846359</c:v>
                </c:pt>
                <c:pt idx="13">
                  <c:v>-1.1232622318831889</c:v>
                </c:pt>
                <c:pt idx="14">
                  <c:v>-1.1970344954067391</c:v>
                </c:pt>
                <c:pt idx="15">
                  <c:v>-1.2375771054359404</c:v>
                </c:pt>
                <c:pt idx="16">
                  <c:v>-1.2555910830893191</c:v>
                </c:pt>
                <c:pt idx="17">
                  <c:v>-1.2582571912455762</c:v>
                </c:pt>
                <c:pt idx="18">
                  <c:v>-1.2504662386386924</c:v>
                </c:pt>
                <c:pt idx="19">
                  <c:v>-1.2355916921755903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BD-41A0-9920-4C617B64A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305024"/>
        <c:axId val="558570384"/>
      </c:scatterChart>
      <c:valAx>
        <c:axId val="56230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8570384"/>
        <c:crosses val="autoZero"/>
        <c:crossBetween val="midCat"/>
      </c:valAx>
      <c:valAx>
        <c:axId val="55857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230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I(f),</a:t>
            </a:r>
            <a:r>
              <a:rPr lang="en-US" baseline="0"/>
              <a:t> I1(f), I2(f)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I(f)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'Лист1 (2)'!$A$50:$A$69</c:f>
              <c:numCache>
                <c:formatCode>General</c:formatCode>
                <c:ptCount val="20"/>
                <c:pt idx="0">
                  <c:v>371.3247885884241</c:v>
                </c:pt>
                <c:pt idx="1">
                  <c:v>742.6495771768482</c:v>
                </c:pt>
                <c:pt idx="2">
                  <c:v>1113.9743657652721</c:v>
                </c:pt>
                <c:pt idx="3">
                  <c:v>1485.2991543536964</c:v>
                </c:pt>
                <c:pt idx="4">
                  <c:v>1856.6239429421203</c:v>
                </c:pt>
                <c:pt idx="5">
                  <c:v>2227.9487315305441</c:v>
                </c:pt>
                <c:pt idx="6">
                  <c:v>2599.273520118968</c:v>
                </c:pt>
                <c:pt idx="7">
                  <c:v>2970.5983087073928</c:v>
                </c:pt>
                <c:pt idx="8">
                  <c:v>3341.9230972958167</c:v>
                </c:pt>
                <c:pt idx="9">
                  <c:v>3713.2478858842405</c:v>
                </c:pt>
                <c:pt idx="10">
                  <c:v>4084.5726744726649</c:v>
                </c:pt>
                <c:pt idx="11">
                  <c:v>4455.8974630610883</c:v>
                </c:pt>
                <c:pt idx="12">
                  <c:v>4827.2222516495131</c:v>
                </c:pt>
                <c:pt idx="13">
                  <c:v>5198.547040237936</c:v>
                </c:pt>
                <c:pt idx="14">
                  <c:v>5569.8718288263608</c:v>
                </c:pt>
                <c:pt idx="15">
                  <c:v>5941.1966174147856</c:v>
                </c:pt>
                <c:pt idx="16">
                  <c:v>6312.5214060032085</c:v>
                </c:pt>
                <c:pt idx="17">
                  <c:v>6683.8461945916333</c:v>
                </c:pt>
                <c:pt idx="18">
                  <c:v>7055.1709831800563</c:v>
                </c:pt>
                <c:pt idx="19">
                  <c:v>7426.4957717684811</c:v>
                </c:pt>
              </c:numCache>
            </c:numRef>
          </c:xVal>
          <c:yVal>
            <c:numRef>
              <c:f>'Лист1 (2)'!$C$50:$C$69</c:f>
              <c:numCache>
                <c:formatCode>General</c:formatCode>
                <c:ptCount val="20"/>
                <c:pt idx="0">
                  <c:v>2.5176053081345695</c:v>
                </c:pt>
                <c:pt idx="1">
                  <c:v>1.7875784720142907</c:v>
                </c:pt>
                <c:pt idx="2">
                  <c:v>1.3448753028704183</c:v>
                </c:pt>
                <c:pt idx="3">
                  <c:v>1.1613187931458806</c:v>
                </c:pt>
                <c:pt idx="4">
                  <c:v>1.1160888020997175</c:v>
                </c:pt>
                <c:pt idx="5">
                  <c:v>1.1261556113913942</c:v>
                </c:pt>
                <c:pt idx="6">
                  <c:v>1.1527645150084647</c:v>
                </c:pt>
                <c:pt idx="7">
                  <c:v>1.1807204019663511</c:v>
                </c:pt>
                <c:pt idx="8">
                  <c:v>1.2091104320908026</c:v>
                </c:pt>
                <c:pt idx="9">
                  <c:v>1.2269722554804254</c:v>
                </c:pt>
                <c:pt idx="10">
                  <c:v>1.2447013520791623</c:v>
                </c:pt>
                <c:pt idx="11">
                  <c:v>1.2591250968733538</c:v>
                </c:pt>
                <c:pt idx="12">
                  <c:v>1.270801218996314</c:v>
                </c:pt>
                <c:pt idx="13">
                  <c:v>1.2805606342200329</c:v>
                </c:pt>
                <c:pt idx="14">
                  <c:v>1.2890698773811033</c:v>
                </c:pt>
                <c:pt idx="15">
                  <c:v>1.2953548285682377</c:v>
                </c:pt>
                <c:pt idx="16">
                  <c:v>1.301665681678061</c:v>
                </c:pt>
                <c:pt idx="17">
                  <c:v>1.3069038853437391</c:v>
                </c:pt>
                <c:pt idx="18">
                  <c:v>1.3109624947427718</c:v>
                </c:pt>
                <c:pt idx="19">
                  <c:v>1.3152000606049594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37-46E2-8C04-BB0AA6FD79A6}"/>
            </c:ext>
          </c:extLst>
        </c:ser>
        <c:ser>
          <c:idx val="1"/>
          <c:order val="1"/>
          <c:tx>
            <c:v>I1(f)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'Лист1 (2)'!$A$50:$A$69</c:f>
              <c:numCache>
                <c:formatCode>General</c:formatCode>
                <c:ptCount val="20"/>
                <c:pt idx="0">
                  <c:v>371.3247885884241</c:v>
                </c:pt>
                <c:pt idx="1">
                  <c:v>742.6495771768482</c:v>
                </c:pt>
                <c:pt idx="2">
                  <c:v>1113.9743657652721</c:v>
                </c:pt>
                <c:pt idx="3">
                  <c:v>1485.2991543536964</c:v>
                </c:pt>
                <c:pt idx="4">
                  <c:v>1856.6239429421203</c:v>
                </c:pt>
                <c:pt idx="5">
                  <c:v>2227.9487315305441</c:v>
                </c:pt>
                <c:pt idx="6">
                  <c:v>2599.273520118968</c:v>
                </c:pt>
                <c:pt idx="7">
                  <c:v>2970.5983087073928</c:v>
                </c:pt>
                <c:pt idx="8">
                  <c:v>3341.9230972958167</c:v>
                </c:pt>
                <c:pt idx="9">
                  <c:v>3713.2478858842405</c:v>
                </c:pt>
                <c:pt idx="10">
                  <c:v>4084.5726744726649</c:v>
                </c:pt>
                <c:pt idx="11">
                  <c:v>4455.8974630610883</c:v>
                </c:pt>
                <c:pt idx="12">
                  <c:v>4827.2222516495131</c:v>
                </c:pt>
                <c:pt idx="13">
                  <c:v>5198.547040237936</c:v>
                </c:pt>
                <c:pt idx="14">
                  <c:v>5569.8718288263608</c:v>
                </c:pt>
                <c:pt idx="15">
                  <c:v>5941.1966174147856</c:v>
                </c:pt>
                <c:pt idx="16">
                  <c:v>6312.5214060032085</c:v>
                </c:pt>
                <c:pt idx="17">
                  <c:v>6683.8461945916333</c:v>
                </c:pt>
                <c:pt idx="18">
                  <c:v>7055.1709831800563</c:v>
                </c:pt>
                <c:pt idx="19">
                  <c:v>7426.4957717684811</c:v>
                </c:pt>
              </c:numCache>
            </c:numRef>
          </c:xVal>
          <c:yVal>
            <c:numRef>
              <c:f>'Лист1 (2)'!$D$50:$D$69</c:f>
              <c:numCache>
                <c:formatCode>General</c:formatCode>
                <c:ptCount val="20"/>
                <c:pt idx="0">
                  <c:v>2.5914017998923393</c:v>
                </c:pt>
                <c:pt idx="1">
                  <c:v>1.9524854884299001</c:v>
                </c:pt>
                <c:pt idx="2">
                  <c:v>1.488527844776788</c:v>
                </c:pt>
                <c:pt idx="3">
                  <c:v>1.1818566906006684</c:v>
                </c:pt>
                <c:pt idx="4">
                  <c:v>0.97305912676640105</c:v>
                </c:pt>
                <c:pt idx="5">
                  <c:v>0.8242387845746294</c:v>
                </c:pt>
                <c:pt idx="6">
                  <c:v>0.71367280851715031</c:v>
                </c:pt>
                <c:pt idx="7">
                  <c:v>0.6286467382177493</c:v>
                </c:pt>
                <c:pt idx="8">
                  <c:v>0.56138992691068046</c:v>
                </c:pt>
                <c:pt idx="9">
                  <c:v>0.50694017370339373</c:v>
                </c:pt>
                <c:pt idx="10">
                  <c:v>0.46200089362844327</c:v>
                </c:pt>
                <c:pt idx="11">
                  <c:v>0.42430521292943574</c:v>
                </c:pt>
                <c:pt idx="12">
                  <c:v>0.39224714017278761</c:v>
                </c:pt>
                <c:pt idx="13">
                  <c:v>0.36465912042289023</c:v>
                </c:pt>
                <c:pt idx="14">
                  <c:v>0.34067304760381312</c:v>
                </c:pt>
                <c:pt idx="15">
                  <c:v>0.31963063859497304</c:v>
                </c:pt>
                <c:pt idx="16">
                  <c:v>0.30102399250510681</c:v>
                </c:pt>
                <c:pt idx="17">
                  <c:v>0.28445517099865342</c:v>
                </c:pt>
                <c:pt idx="18">
                  <c:v>0.26960809228714011</c:v>
                </c:pt>
                <c:pt idx="19">
                  <c:v>0.2562285922972754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37-46E2-8C04-BB0AA6FD79A6}"/>
            </c:ext>
          </c:extLst>
        </c:ser>
        <c:ser>
          <c:idx val="2"/>
          <c:order val="2"/>
          <c:tx>
            <c:v>I2(f)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'Лист1 (2)'!$A$50:$A$69</c:f>
              <c:numCache>
                <c:formatCode>General</c:formatCode>
                <c:ptCount val="20"/>
                <c:pt idx="0">
                  <c:v>371.3247885884241</c:v>
                </c:pt>
                <c:pt idx="1">
                  <c:v>742.6495771768482</c:v>
                </c:pt>
                <c:pt idx="2">
                  <c:v>1113.9743657652721</c:v>
                </c:pt>
                <c:pt idx="3">
                  <c:v>1485.2991543536964</c:v>
                </c:pt>
                <c:pt idx="4">
                  <c:v>1856.6239429421203</c:v>
                </c:pt>
                <c:pt idx="5">
                  <c:v>2227.9487315305441</c:v>
                </c:pt>
                <c:pt idx="6">
                  <c:v>2599.273520118968</c:v>
                </c:pt>
                <c:pt idx="7">
                  <c:v>2970.5983087073928</c:v>
                </c:pt>
                <c:pt idx="8">
                  <c:v>3341.9230972958167</c:v>
                </c:pt>
                <c:pt idx="9">
                  <c:v>3713.2478858842405</c:v>
                </c:pt>
                <c:pt idx="10">
                  <c:v>4084.5726744726649</c:v>
                </c:pt>
                <c:pt idx="11">
                  <c:v>4455.8974630610883</c:v>
                </c:pt>
                <c:pt idx="12">
                  <c:v>4827.2222516495131</c:v>
                </c:pt>
                <c:pt idx="13">
                  <c:v>5198.547040237936</c:v>
                </c:pt>
                <c:pt idx="14">
                  <c:v>5569.8718288263608</c:v>
                </c:pt>
                <c:pt idx="15">
                  <c:v>5941.1966174147856</c:v>
                </c:pt>
                <c:pt idx="16">
                  <c:v>6312.5214060032085</c:v>
                </c:pt>
                <c:pt idx="17">
                  <c:v>6683.8461945916333</c:v>
                </c:pt>
                <c:pt idx="18">
                  <c:v>7055.1709831800563</c:v>
                </c:pt>
                <c:pt idx="19">
                  <c:v>7426.4957717684811</c:v>
                </c:pt>
              </c:numCache>
            </c:numRef>
          </c:xVal>
          <c:yVal>
            <c:numRef>
              <c:f>'Лист1 (2)'!$E$50:$E$69</c:f>
              <c:numCache>
                <c:formatCode>General</c:formatCode>
                <c:ptCount val="20"/>
                <c:pt idx="0">
                  <c:v>0.30478355630605469</c:v>
                </c:pt>
                <c:pt idx="1">
                  <c:v>0.56845703731803143</c:v>
                </c:pt>
                <c:pt idx="2">
                  <c:v>0.77286496651513614</c:v>
                </c:pt>
                <c:pt idx="3">
                  <c:v>0.92175347362380022</c:v>
                </c:pt>
                <c:pt idx="4">
                  <c:v>1.027672952201325</c:v>
                </c:pt>
                <c:pt idx="5">
                  <c:v>1.1030587036429838</c:v>
                </c:pt>
                <c:pt idx="6">
                  <c:v>1.1574058055203982</c:v>
                </c:pt>
                <c:pt idx="7">
                  <c:v>1.19730066451849</c:v>
                </c:pt>
                <c:pt idx="8">
                  <c:v>1.2271641543400358</c:v>
                </c:pt>
                <c:pt idx="9">
                  <c:v>1.2499504724960233</c:v>
                </c:pt>
                <c:pt idx="10">
                  <c:v>1.2676512703541858</c:v>
                </c:pt>
                <c:pt idx="11">
                  <c:v>1.2816293514987969</c:v>
                </c:pt>
                <c:pt idx="12">
                  <c:v>1.2928333995428296</c:v>
                </c:pt>
                <c:pt idx="13">
                  <c:v>1.3019356163076081</c:v>
                </c:pt>
                <c:pt idx="14">
                  <c:v>1.3094206092518583</c:v>
                </c:pt>
                <c:pt idx="15">
                  <c:v>1.3156435383782719</c:v>
                </c:pt>
                <c:pt idx="16">
                  <c:v>1.3208687378908981</c:v>
                </c:pt>
                <c:pt idx="17">
                  <c:v>1.3252957840617534</c:v>
                </c:pt>
                <c:pt idx="18">
                  <c:v>1.3290773740879591</c:v>
                </c:pt>
                <c:pt idx="19">
                  <c:v>1.3323317807349897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37-46E2-8C04-BB0AA6FD7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819472"/>
        <c:axId val="1820824752"/>
      </c:scatterChart>
      <c:valAx>
        <c:axId val="59081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0824752"/>
        <c:crosses val="autoZero"/>
        <c:crossBetween val="midCat"/>
      </c:valAx>
      <c:valAx>
        <c:axId val="182082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081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'Лист1 (2)'!$AI$4:$AI$12</c:f>
              <c:numCache>
                <c:formatCode>General</c:formatCode>
                <c:ptCount val="9"/>
                <c:pt idx="0">
                  <c:v>0.2505</c:v>
                </c:pt>
                <c:pt idx="1">
                  <c:v>0.13561547849121827</c:v>
                </c:pt>
                <c:pt idx="2">
                  <c:v>9.7827613530608495E-2</c:v>
                </c:pt>
                <c:pt idx="3">
                  <c:v>2.8805885455738749</c:v>
                </c:pt>
                <c:pt idx="4">
                  <c:v>-0.21926766352570934</c:v>
                </c:pt>
                <c:pt idx="5">
                  <c:v>2.6393617198505651E-2</c:v>
                </c:pt>
                <c:pt idx="6">
                  <c:v>0.23440035090836425</c:v>
                </c:pt>
                <c:pt idx="7">
                  <c:v>-3.13731724896199</c:v>
                </c:pt>
                <c:pt idx="8">
                  <c:v>2.3964700658634022</c:v>
                </c:pt>
              </c:numCache>
            </c:numRef>
          </c:xVal>
          <c:yVal>
            <c:numRef>
              <c:f>'Лист1 (2)'!$AJ$4:$AJ$12</c:f>
              <c:numCache>
                <c:formatCode>General</c:formatCode>
                <c:ptCount val="9"/>
                <c:pt idx="0">
                  <c:v>0</c:v>
                </c:pt>
                <c:pt idx="1">
                  <c:v>5.3173591443123078E-16</c:v>
                </c:pt>
                <c:pt idx="2">
                  <c:v>6.9107425663192154E-2</c:v>
                </c:pt>
                <c:pt idx="3">
                  <c:v>0.329459189406755</c:v>
                </c:pt>
                <c:pt idx="4">
                  <c:v>-7.2546294982281587E-2</c:v>
                </c:pt>
                <c:pt idx="5">
                  <c:v>0.11339629597980064</c:v>
                </c:pt>
                <c:pt idx="6">
                  <c:v>-0.16558519871036684</c:v>
                </c:pt>
                <c:pt idx="7">
                  <c:v>0.65441856572572277</c:v>
                </c:pt>
                <c:pt idx="8">
                  <c:v>-1.6864253215543361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F2-4AB1-BCD3-3E82A049F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630032"/>
        <c:axId val="976571216"/>
      </c:scatterChart>
      <c:valAx>
        <c:axId val="130363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6571216"/>
        <c:crosses val="autoZero"/>
        <c:crossBetween val="midCat"/>
      </c:valAx>
      <c:valAx>
        <c:axId val="97657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363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I(f)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1527996500437452E-2"/>
          <c:y val="0.16712962962962963"/>
          <c:w val="0.86733311461067364"/>
          <c:h val="0.7311111111111111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Лист1!$A$22:$A$41</c:f>
              <c:numCache>
                <c:formatCode>General</c:formatCode>
                <c:ptCount val="20"/>
                <c:pt idx="0">
                  <c:v>150.59752923769588</c:v>
                </c:pt>
                <c:pt idx="1">
                  <c:v>301.19505847539176</c:v>
                </c:pt>
                <c:pt idx="2">
                  <c:v>451.79258771308764</c:v>
                </c:pt>
                <c:pt idx="3">
                  <c:v>602.39011695078352</c:v>
                </c:pt>
                <c:pt idx="4">
                  <c:v>752.9876461884794</c:v>
                </c:pt>
                <c:pt idx="5">
                  <c:v>903.58517542617528</c:v>
                </c:pt>
                <c:pt idx="6">
                  <c:v>1054.1827046638712</c:v>
                </c:pt>
                <c:pt idx="7">
                  <c:v>1204.780233901567</c:v>
                </c:pt>
                <c:pt idx="8">
                  <c:v>1355.3777631392629</c:v>
                </c:pt>
                <c:pt idx="9">
                  <c:v>1505.9752923769588</c:v>
                </c:pt>
                <c:pt idx="10">
                  <c:v>1656.5728216146549</c:v>
                </c:pt>
                <c:pt idx="11">
                  <c:v>1807.1703508523506</c:v>
                </c:pt>
                <c:pt idx="12">
                  <c:v>1957.7678800900464</c:v>
                </c:pt>
                <c:pt idx="13">
                  <c:v>2108.3654093277423</c:v>
                </c:pt>
                <c:pt idx="14">
                  <c:v>2258.962938565438</c:v>
                </c:pt>
                <c:pt idx="15">
                  <c:v>2409.5604678031341</c:v>
                </c:pt>
                <c:pt idx="16">
                  <c:v>2560.1579970408297</c:v>
                </c:pt>
                <c:pt idx="17">
                  <c:v>2710.7555262785258</c:v>
                </c:pt>
                <c:pt idx="18">
                  <c:v>2861.3530555162215</c:v>
                </c:pt>
                <c:pt idx="19">
                  <c:v>3011.9505847539176</c:v>
                </c:pt>
              </c:numCache>
            </c:numRef>
          </c:xVal>
          <c:yVal>
            <c:numRef>
              <c:f>Лист1!$C$22:$C$41</c:f>
              <c:numCache>
                <c:formatCode>General</c:formatCode>
                <c:ptCount val="20"/>
                <c:pt idx="0">
                  <c:v>0.12438200811088689</c:v>
                </c:pt>
                <c:pt idx="1">
                  <c:v>0.25426624325377567</c:v>
                </c:pt>
                <c:pt idx="2">
                  <c:v>0.38147894718071879</c:v>
                </c:pt>
                <c:pt idx="3">
                  <c:v>0.50687363967810439</c:v>
                </c:pt>
                <c:pt idx="4">
                  <c:v>0.62685050886664029</c:v>
                </c:pt>
                <c:pt idx="5">
                  <c:v>0.73528307672387705</c:v>
                </c:pt>
                <c:pt idx="6">
                  <c:v>0.82429618014568939</c:v>
                </c:pt>
                <c:pt idx="7">
                  <c:v>0.88921435975806562</c:v>
                </c:pt>
                <c:pt idx="8">
                  <c:v>0.92560846498173255</c:v>
                </c:pt>
                <c:pt idx="9">
                  <c:v>0.93668750000000001</c:v>
                </c:pt>
                <c:pt idx="10">
                  <c:v>0.9275583507285482</c:v>
                </c:pt>
                <c:pt idx="11">
                  <c:v>0.90394399548110438</c:v>
                </c:pt>
                <c:pt idx="12">
                  <c:v>0.87156112282731502</c:v>
                </c:pt>
                <c:pt idx="13">
                  <c:v>0.83491928068260723</c:v>
                </c:pt>
                <c:pt idx="14">
                  <c:v>0.79692018796683572</c:v>
                </c:pt>
                <c:pt idx="15">
                  <c:v>0.75916928982199594</c:v>
                </c:pt>
                <c:pt idx="16">
                  <c:v>0.72277886886760101</c:v>
                </c:pt>
                <c:pt idx="17">
                  <c:v>0.67146246892251449</c:v>
                </c:pt>
                <c:pt idx="18">
                  <c:v>0.65626428548315174</c:v>
                </c:pt>
                <c:pt idx="19">
                  <c:v>0.62630636779991566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87-485D-9A58-DBE796CC8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803392"/>
        <c:axId val="1834891744"/>
      </c:scatterChart>
      <c:valAx>
        <c:axId val="52980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4891744"/>
        <c:crosses val="autoZero"/>
        <c:crossBetween val="midCat"/>
      </c:valAx>
      <c:valAx>
        <c:axId val="183489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980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</a:t>
            </a:r>
            <a:r>
              <a:rPr lang="en-US" sz="900"/>
              <a:t>R1</a:t>
            </a:r>
            <a:r>
              <a:rPr lang="en-US"/>
              <a:t>(f),U</a:t>
            </a:r>
            <a:r>
              <a:rPr lang="en-US" sz="900"/>
              <a:t>Rk</a:t>
            </a:r>
            <a:r>
              <a:rPr lang="en-US"/>
              <a:t>(f),U</a:t>
            </a:r>
            <a:r>
              <a:rPr lang="en-US" sz="900"/>
              <a:t>C</a:t>
            </a:r>
            <a:r>
              <a:rPr lang="en-US"/>
              <a:t>(f)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Лист1!$A$22:$A$41</c:f>
              <c:numCache>
                <c:formatCode>General</c:formatCode>
                <c:ptCount val="20"/>
                <c:pt idx="0">
                  <c:v>150.59752923769588</c:v>
                </c:pt>
                <c:pt idx="1">
                  <c:v>301.19505847539176</c:v>
                </c:pt>
                <c:pt idx="2">
                  <c:v>451.79258771308764</c:v>
                </c:pt>
                <c:pt idx="3">
                  <c:v>602.39011695078352</c:v>
                </c:pt>
                <c:pt idx="4">
                  <c:v>752.9876461884794</c:v>
                </c:pt>
                <c:pt idx="5">
                  <c:v>903.58517542617528</c:v>
                </c:pt>
                <c:pt idx="6">
                  <c:v>1054.1827046638712</c:v>
                </c:pt>
                <c:pt idx="7">
                  <c:v>1204.780233901567</c:v>
                </c:pt>
                <c:pt idx="8">
                  <c:v>1355.3777631392629</c:v>
                </c:pt>
                <c:pt idx="9">
                  <c:v>1505.9752923769588</c:v>
                </c:pt>
                <c:pt idx="10">
                  <c:v>1656.5728216146549</c:v>
                </c:pt>
                <c:pt idx="11">
                  <c:v>1807.1703508523506</c:v>
                </c:pt>
                <c:pt idx="12">
                  <c:v>1957.7678800900464</c:v>
                </c:pt>
                <c:pt idx="13">
                  <c:v>2108.3654093277423</c:v>
                </c:pt>
                <c:pt idx="14">
                  <c:v>2258.962938565438</c:v>
                </c:pt>
                <c:pt idx="15">
                  <c:v>2409.5604678031341</c:v>
                </c:pt>
                <c:pt idx="16">
                  <c:v>2560.1579970408297</c:v>
                </c:pt>
                <c:pt idx="17">
                  <c:v>2710.7555262785258</c:v>
                </c:pt>
                <c:pt idx="18">
                  <c:v>2861.3530555162215</c:v>
                </c:pt>
                <c:pt idx="19">
                  <c:v>3011.9505847539176</c:v>
                </c:pt>
              </c:numCache>
            </c:numRef>
          </c:xVal>
          <c:yVal>
            <c:numRef>
              <c:f>Лист1!$D$22:$D$41</c:f>
              <c:numCache>
                <c:formatCode>General</c:formatCode>
                <c:ptCount val="20"/>
                <c:pt idx="0">
                  <c:v>1.3682020892197557</c:v>
                </c:pt>
                <c:pt idx="1">
                  <c:v>2.7969286757915324</c:v>
                </c:pt>
                <c:pt idx="2">
                  <c:v>4.1962684189879065</c:v>
                </c:pt>
                <c:pt idx="3">
                  <c:v>5.5756100364591479</c:v>
                </c:pt>
                <c:pt idx="4">
                  <c:v>6.8953555975330429</c:v>
                </c:pt>
                <c:pt idx="5">
                  <c:v>8.0881138439626472</c:v>
                </c:pt>
                <c:pt idx="6">
                  <c:v>9.0672579816025838</c:v>
                </c:pt>
                <c:pt idx="7">
                  <c:v>9.7813579573387219</c:v>
                </c:pt>
                <c:pt idx="8">
                  <c:v>10.181693114799058</c:v>
                </c:pt>
                <c:pt idx="9">
                  <c:v>10.3035625</c:v>
                </c:pt>
                <c:pt idx="10">
                  <c:v>10.20314185801403</c:v>
                </c:pt>
                <c:pt idx="11">
                  <c:v>9.9433839502921479</c:v>
                </c:pt>
                <c:pt idx="12">
                  <c:v>9.587172351100465</c:v>
                </c:pt>
                <c:pt idx="13">
                  <c:v>9.1841120875086801</c:v>
                </c:pt>
                <c:pt idx="14">
                  <c:v>8.7661220676351927</c:v>
                </c:pt>
                <c:pt idx="15">
                  <c:v>8.3508621880419547</c:v>
                </c:pt>
                <c:pt idx="16">
                  <c:v>7.9505675575436108</c:v>
                </c:pt>
                <c:pt idx="17">
                  <c:v>7.3860871581476593</c:v>
                </c:pt>
                <c:pt idx="18">
                  <c:v>7.218907140314669</c:v>
                </c:pt>
                <c:pt idx="19">
                  <c:v>6.8893700457990725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0B-415F-A305-3537915EFD9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Лист1!$A$22:$A$41</c:f>
              <c:numCache>
                <c:formatCode>General</c:formatCode>
                <c:ptCount val="20"/>
                <c:pt idx="0">
                  <c:v>150.59752923769588</c:v>
                </c:pt>
                <c:pt idx="1">
                  <c:v>301.19505847539176</c:v>
                </c:pt>
                <c:pt idx="2">
                  <c:v>451.79258771308764</c:v>
                </c:pt>
                <c:pt idx="3">
                  <c:v>602.39011695078352</c:v>
                </c:pt>
                <c:pt idx="4">
                  <c:v>752.9876461884794</c:v>
                </c:pt>
                <c:pt idx="5">
                  <c:v>903.58517542617528</c:v>
                </c:pt>
                <c:pt idx="6">
                  <c:v>1054.1827046638712</c:v>
                </c:pt>
                <c:pt idx="7">
                  <c:v>1204.780233901567</c:v>
                </c:pt>
                <c:pt idx="8">
                  <c:v>1355.3777631392629</c:v>
                </c:pt>
                <c:pt idx="9">
                  <c:v>1505.9752923769588</c:v>
                </c:pt>
                <c:pt idx="10">
                  <c:v>1656.5728216146549</c:v>
                </c:pt>
                <c:pt idx="11">
                  <c:v>1807.1703508523506</c:v>
                </c:pt>
                <c:pt idx="12">
                  <c:v>1957.7678800900464</c:v>
                </c:pt>
                <c:pt idx="13">
                  <c:v>2108.3654093277423</c:v>
                </c:pt>
                <c:pt idx="14">
                  <c:v>2258.962938565438</c:v>
                </c:pt>
                <c:pt idx="15">
                  <c:v>2409.5604678031341</c:v>
                </c:pt>
                <c:pt idx="16">
                  <c:v>2560.1579970408297</c:v>
                </c:pt>
                <c:pt idx="17">
                  <c:v>2710.7555262785258</c:v>
                </c:pt>
                <c:pt idx="18">
                  <c:v>2861.3530555162215</c:v>
                </c:pt>
                <c:pt idx="19">
                  <c:v>3011.9505847539176</c:v>
                </c:pt>
              </c:numCache>
            </c:numRef>
          </c:xVal>
          <c:yVal>
            <c:numRef>
              <c:f>Лист1!$E$22:$E$41</c:f>
              <c:numCache>
                <c:formatCode>General</c:formatCode>
                <c:ptCount val="20"/>
                <c:pt idx="0">
                  <c:v>0.63907413703720695</c:v>
                </c:pt>
                <c:pt idx="1">
                  <c:v>1.4064387582276259</c:v>
                </c:pt>
                <c:pt idx="2">
                  <c:v>2.338902600119003</c:v>
                </c:pt>
                <c:pt idx="3">
                  <c:v>3.4891129798368392</c:v>
                </c:pt>
                <c:pt idx="4">
                  <c:v>4.8545441212394289</c:v>
                </c:pt>
                <c:pt idx="5">
                  <c:v>6.383160817909828</c:v>
                </c:pt>
                <c:pt idx="6">
                  <c:v>7.9727230278056407</c:v>
                </c:pt>
                <c:pt idx="7">
                  <c:v>9.5164855106645803</c:v>
                </c:pt>
                <c:pt idx="8">
                  <c:v>10.8859745055176</c:v>
                </c:pt>
                <c:pt idx="9">
                  <c:v>12.028295655054624</c:v>
                </c:pt>
                <c:pt idx="10">
                  <c:v>12.928650207908291</c:v>
                </c:pt>
                <c:pt idx="11">
                  <c:v>13.602929138887154</c:v>
                </c:pt>
                <c:pt idx="12">
                  <c:v>14.092088780664502</c:v>
                </c:pt>
                <c:pt idx="13">
                  <c:v>14.441993762111105</c:v>
                </c:pt>
                <c:pt idx="14">
                  <c:v>14.689583871537376</c:v>
                </c:pt>
                <c:pt idx="15">
                  <c:v>14.85999251008862</c:v>
                </c:pt>
                <c:pt idx="16">
                  <c:v>14.975812425087796</c:v>
                </c:pt>
                <c:pt idx="17">
                  <c:v>14.684527167263072</c:v>
                </c:pt>
                <c:pt idx="18">
                  <c:v>15.108856877591187</c:v>
                </c:pt>
                <c:pt idx="19">
                  <c:v>15.143112609631533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0B-415F-A305-3537915EFD9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Лист1!$A$22:$A$41</c:f>
              <c:numCache>
                <c:formatCode>General</c:formatCode>
                <c:ptCount val="20"/>
                <c:pt idx="0">
                  <c:v>150.59752923769588</c:v>
                </c:pt>
                <c:pt idx="1">
                  <c:v>301.19505847539176</c:v>
                </c:pt>
                <c:pt idx="2">
                  <c:v>451.79258771308764</c:v>
                </c:pt>
                <c:pt idx="3">
                  <c:v>602.39011695078352</c:v>
                </c:pt>
                <c:pt idx="4">
                  <c:v>752.9876461884794</c:v>
                </c:pt>
                <c:pt idx="5">
                  <c:v>903.58517542617528</c:v>
                </c:pt>
                <c:pt idx="6">
                  <c:v>1054.1827046638712</c:v>
                </c:pt>
                <c:pt idx="7">
                  <c:v>1204.780233901567</c:v>
                </c:pt>
                <c:pt idx="8">
                  <c:v>1355.3777631392629</c:v>
                </c:pt>
                <c:pt idx="9">
                  <c:v>1505.9752923769588</c:v>
                </c:pt>
                <c:pt idx="10">
                  <c:v>1656.5728216146549</c:v>
                </c:pt>
                <c:pt idx="11">
                  <c:v>1807.1703508523506</c:v>
                </c:pt>
                <c:pt idx="12">
                  <c:v>1957.7678800900464</c:v>
                </c:pt>
                <c:pt idx="13">
                  <c:v>2108.3654093277423</c:v>
                </c:pt>
                <c:pt idx="14">
                  <c:v>2258.962938565438</c:v>
                </c:pt>
                <c:pt idx="15">
                  <c:v>2409.5604678031341</c:v>
                </c:pt>
                <c:pt idx="16">
                  <c:v>2560.1579970408297</c:v>
                </c:pt>
                <c:pt idx="17">
                  <c:v>2710.7555262785258</c:v>
                </c:pt>
                <c:pt idx="18">
                  <c:v>2861.3530555162215</c:v>
                </c:pt>
                <c:pt idx="19">
                  <c:v>3011.9505847539176</c:v>
                </c:pt>
              </c:numCache>
            </c:numRef>
          </c:xVal>
          <c:yVal>
            <c:numRef>
              <c:f>Лист1!$F$22:$F$41</c:f>
              <c:numCache>
                <c:formatCode>General</c:formatCode>
                <c:ptCount val="20"/>
                <c:pt idx="0">
                  <c:v>14.71178238264571</c:v>
                </c:pt>
                <c:pt idx="1">
                  <c:v>15.037181401137829</c:v>
                </c:pt>
                <c:pt idx="2">
                  <c:v>15.040319040034069</c:v>
                </c:pt>
                <c:pt idx="3">
                  <c:v>14.988129705616061</c:v>
                </c:pt>
                <c:pt idx="4">
                  <c:v>14.828653135548707</c:v>
                </c:pt>
                <c:pt idx="5">
                  <c:v>14.494760641962777</c:v>
                </c:pt>
                <c:pt idx="6">
                  <c:v>13.928135249660381</c:v>
                </c:pt>
                <c:pt idx="7">
                  <c:v>13.146925699878677</c:v>
                </c:pt>
                <c:pt idx="8">
                  <c:v>12.164451644812459</c:v>
                </c:pt>
                <c:pt idx="9">
                  <c:v>11.079048223967604</c:v>
                </c:pt>
                <c:pt idx="10">
                  <c:v>9.9736995803785735</c:v>
                </c:pt>
                <c:pt idx="11">
                  <c:v>8.9098010433051833</c:v>
                </c:pt>
                <c:pt idx="12">
                  <c:v>7.9297998449439167</c:v>
                </c:pt>
                <c:pt idx="13">
                  <c:v>7.0538169070740917</c:v>
                </c:pt>
                <c:pt idx="14">
                  <c:v>6.2839294094974054</c:v>
                </c:pt>
                <c:pt idx="15">
                  <c:v>5.6121126123261034</c:v>
                </c:pt>
                <c:pt idx="16">
                  <c:v>5.0287987273355554</c:v>
                </c:pt>
                <c:pt idx="17">
                  <c:v>4.4122180400951256</c:v>
                </c:pt>
                <c:pt idx="18">
                  <c:v>4.0853841281590606</c:v>
                </c:pt>
                <c:pt idx="19">
                  <c:v>3.7039452602032461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0B-415F-A305-3537915EF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596944"/>
        <c:axId val="1818965072"/>
      </c:scatterChart>
      <c:valAx>
        <c:axId val="195259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8965072"/>
        <c:crosses val="autoZero"/>
        <c:crossBetween val="midCat"/>
      </c:valAx>
      <c:valAx>
        <c:axId val="18189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2596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φ</a:t>
            </a:r>
            <a:r>
              <a:rPr lang="en-US"/>
              <a:t>(f)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Лист1!$A$50:$A$69</c:f>
              <c:numCache>
                <c:formatCode>General</c:formatCode>
                <c:ptCount val="20"/>
                <c:pt idx="0">
                  <c:v>371.3247885884241</c:v>
                </c:pt>
                <c:pt idx="1">
                  <c:v>742.6495771768482</c:v>
                </c:pt>
                <c:pt idx="2">
                  <c:v>1113.9743657652721</c:v>
                </c:pt>
                <c:pt idx="3">
                  <c:v>1485.2991543536964</c:v>
                </c:pt>
                <c:pt idx="4">
                  <c:v>1856.6239429421203</c:v>
                </c:pt>
                <c:pt idx="5">
                  <c:v>2227.9487315305441</c:v>
                </c:pt>
                <c:pt idx="6">
                  <c:v>2599.273520118968</c:v>
                </c:pt>
                <c:pt idx="7">
                  <c:v>2970.5983087073928</c:v>
                </c:pt>
                <c:pt idx="8">
                  <c:v>3341.9230972958167</c:v>
                </c:pt>
                <c:pt idx="9">
                  <c:v>3713.2478858842405</c:v>
                </c:pt>
                <c:pt idx="10">
                  <c:v>4084.5726744726649</c:v>
                </c:pt>
                <c:pt idx="11">
                  <c:v>4455.8974630610883</c:v>
                </c:pt>
                <c:pt idx="12">
                  <c:v>4827.2222516495131</c:v>
                </c:pt>
                <c:pt idx="13">
                  <c:v>5198.547040237936</c:v>
                </c:pt>
                <c:pt idx="14">
                  <c:v>5569.8718288263608</c:v>
                </c:pt>
                <c:pt idx="15">
                  <c:v>5941.1966174147856</c:v>
                </c:pt>
                <c:pt idx="16">
                  <c:v>6312.5214060032085</c:v>
                </c:pt>
                <c:pt idx="17">
                  <c:v>6683.8461945916333</c:v>
                </c:pt>
                <c:pt idx="18">
                  <c:v>7055.1709831800563</c:v>
                </c:pt>
                <c:pt idx="19">
                  <c:v>7426.4957717684811</c:v>
                </c:pt>
              </c:numCache>
            </c:numRef>
          </c:xVal>
          <c:yVal>
            <c:numRef>
              <c:f>Лист1!$B$50:$B$69</c:f>
              <c:numCache>
                <c:formatCode>General</c:formatCode>
                <c:ptCount val="20"/>
                <c:pt idx="0">
                  <c:v>23.617611689935451</c:v>
                </c:pt>
                <c:pt idx="1">
                  <c:v>32.639069325625222</c:v>
                </c:pt>
                <c:pt idx="2">
                  <c:v>29.127340854925638</c:v>
                </c:pt>
                <c:pt idx="3">
                  <c:v>20.498486090436842</c:v>
                </c:pt>
                <c:pt idx="4">
                  <c:v>12.664774016070655</c:v>
                </c:pt>
                <c:pt idx="5">
                  <c:v>7.3343685305901989</c:v>
                </c:pt>
                <c:pt idx="6">
                  <c:v>4.0304794089256939</c:v>
                </c:pt>
                <c:pt idx="7">
                  <c:v>2.0156307149178381</c:v>
                </c:pt>
                <c:pt idx="8">
                  <c:v>0.77515027019527405</c:v>
                </c:pt>
                <c:pt idx="9">
                  <c:v>0</c:v>
                </c:pt>
                <c:pt idx="10">
                  <c:v>-0.49031834848399342</c:v>
                </c:pt>
                <c:pt idx="11">
                  <c:v>-0.80227086539350312</c:v>
                </c:pt>
                <c:pt idx="12">
                  <c:v>-1.0000361791846359</c:v>
                </c:pt>
                <c:pt idx="13">
                  <c:v>-1.1232622318831889</c:v>
                </c:pt>
                <c:pt idx="14">
                  <c:v>-1.1970344954067391</c:v>
                </c:pt>
                <c:pt idx="15">
                  <c:v>-1.2375771054359404</c:v>
                </c:pt>
                <c:pt idx="16">
                  <c:v>-1.2555910830893191</c:v>
                </c:pt>
                <c:pt idx="17">
                  <c:v>-1.2582571912455762</c:v>
                </c:pt>
                <c:pt idx="18">
                  <c:v>-1.2504662386386924</c:v>
                </c:pt>
                <c:pt idx="19">
                  <c:v>-1.2355916921755903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9B-4371-8F09-BC4B34280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305024"/>
        <c:axId val="558570384"/>
      </c:scatterChart>
      <c:valAx>
        <c:axId val="56230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8570384"/>
        <c:crosses val="autoZero"/>
        <c:crossBetween val="midCat"/>
      </c:valAx>
      <c:valAx>
        <c:axId val="55857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230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I(f),</a:t>
            </a:r>
            <a:r>
              <a:rPr lang="en-US" baseline="0"/>
              <a:t> I1(f), I2(f)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I(f)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Лист1!$A$50:$A$69</c:f>
              <c:numCache>
                <c:formatCode>General</c:formatCode>
                <c:ptCount val="20"/>
                <c:pt idx="0">
                  <c:v>371.3247885884241</c:v>
                </c:pt>
                <c:pt idx="1">
                  <c:v>742.6495771768482</c:v>
                </c:pt>
                <c:pt idx="2">
                  <c:v>1113.9743657652721</c:v>
                </c:pt>
                <c:pt idx="3">
                  <c:v>1485.2991543536964</c:v>
                </c:pt>
                <c:pt idx="4">
                  <c:v>1856.6239429421203</c:v>
                </c:pt>
                <c:pt idx="5">
                  <c:v>2227.9487315305441</c:v>
                </c:pt>
                <c:pt idx="6">
                  <c:v>2599.273520118968</c:v>
                </c:pt>
                <c:pt idx="7">
                  <c:v>2970.5983087073928</c:v>
                </c:pt>
                <c:pt idx="8">
                  <c:v>3341.9230972958167</c:v>
                </c:pt>
                <c:pt idx="9">
                  <c:v>3713.2478858842405</c:v>
                </c:pt>
                <c:pt idx="10">
                  <c:v>4084.5726744726649</c:v>
                </c:pt>
                <c:pt idx="11">
                  <c:v>4455.8974630610883</c:v>
                </c:pt>
                <c:pt idx="12">
                  <c:v>4827.2222516495131</c:v>
                </c:pt>
                <c:pt idx="13">
                  <c:v>5198.547040237936</c:v>
                </c:pt>
                <c:pt idx="14">
                  <c:v>5569.8718288263608</c:v>
                </c:pt>
                <c:pt idx="15">
                  <c:v>5941.1966174147856</c:v>
                </c:pt>
                <c:pt idx="16">
                  <c:v>6312.5214060032085</c:v>
                </c:pt>
                <c:pt idx="17">
                  <c:v>6683.8461945916333</c:v>
                </c:pt>
                <c:pt idx="18">
                  <c:v>7055.1709831800563</c:v>
                </c:pt>
                <c:pt idx="19">
                  <c:v>7426.4957717684811</c:v>
                </c:pt>
              </c:numCache>
            </c:numRef>
          </c:xVal>
          <c:yVal>
            <c:numRef>
              <c:f>Лист1!$C$50:$C$69</c:f>
              <c:numCache>
                <c:formatCode>General</c:formatCode>
                <c:ptCount val="20"/>
                <c:pt idx="0">
                  <c:v>2.5176053081345695</c:v>
                </c:pt>
                <c:pt idx="1">
                  <c:v>1.7875784720142907</c:v>
                </c:pt>
                <c:pt idx="2">
                  <c:v>1.3448753028704183</c:v>
                </c:pt>
                <c:pt idx="3">
                  <c:v>1.1613187931458806</c:v>
                </c:pt>
                <c:pt idx="4">
                  <c:v>1.1160888020997175</c:v>
                </c:pt>
                <c:pt idx="5">
                  <c:v>1.1261556113913942</c:v>
                </c:pt>
                <c:pt idx="6">
                  <c:v>1.1527645150084647</c:v>
                </c:pt>
                <c:pt idx="7">
                  <c:v>1.1807204019663511</c:v>
                </c:pt>
                <c:pt idx="8">
                  <c:v>1.2091104320908026</c:v>
                </c:pt>
                <c:pt idx="9">
                  <c:v>1.2269722554804254</c:v>
                </c:pt>
                <c:pt idx="10">
                  <c:v>1.2447013520791623</c:v>
                </c:pt>
                <c:pt idx="11">
                  <c:v>1.2591250968733538</c:v>
                </c:pt>
                <c:pt idx="12">
                  <c:v>1.270801218996314</c:v>
                </c:pt>
                <c:pt idx="13">
                  <c:v>1.2805606342200329</c:v>
                </c:pt>
                <c:pt idx="14">
                  <c:v>1.2890698773811033</c:v>
                </c:pt>
                <c:pt idx="15">
                  <c:v>1.2953548285682377</c:v>
                </c:pt>
                <c:pt idx="16">
                  <c:v>1.301665681678061</c:v>
                </c:pt>
                <c:pt idx="17">
                  <c:v>1.3069038853437391</c:v>
                </c:pt>
                <c:pt idx="18">
                  <c:v>1.3109624947427718</c:v>
                </c:pt>
                <c:pt idx="19">
                  <c:v>1.3152000606049594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E8-4ABE-9537-8FF6BA6AD2D0}"/>
            </c:ext>
          </c:extLst>
        </c:ser>
        <c:ser>
          <c:idx val="1"/>
          <c:order val="1"/>
          <c:tx>
            <c:v>I1(f)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Лист1!$A$50:$A$69</c:f>
              <c:numCache>
                <c:formatCode>General</c:formatCode>
                <c:ptCount val="20"/>
                <c:pt idx="0">
                  <c:v>371.3247885884241</c:v>
                </c:pt>
                <c:pt idx="1">
                  <c:v>742.6495771768482</c:v>
                </c:pt>
                <c:pt idx="2">
                  <c:v>1113.9743657652721</c:v>
                </c:pt>
                <c:pt idx="3">
                  <c:v>1485.2991543536964</c:v>
                </c:pt>
                <c:pt idx="4">
                  <c:v>1856.6239429421203</c:v>
                </c:pt>
                <c:pt idx="5">
                  <c:v>2227.9487315305441</c:v>
                </c:pt>
                <c:pt idx="6">
                  <c:v>2599.273520118968</c:v>
                </c:pt>
                <c:pt idx="7">
                  <c:v>2970.5983087073928</c:v>
                </c:pt>
                <c:pt idx="8">
                  <c:v>3341.9230972958167</c:v>
                </c:pt>
                <c:pt idx="9">
                  <c:v>3713.2478858842405</c:v>
                </c:pt>
                <c:pt idx="10">
                  <c:v>4084.5726744726649</c:v>
                </c:pt>
                <c:pt idx="11">
                  <c:v>4455.8974630610883</c:v>
                </c:pt>
                <c:pt idx="12">
                  <c:v>4827.2222516495131</c:v>
                </c:pt>
                <c:pt idx="13">
                  <c:v>5198.547040237936</c:v>
                </c:pt>
                <c:pt idx="14">
                  <c:v>5569.8718288263608</c:v>
                </c:pt>
                <c:pt idx="15">
                  <c:v>5941.1966174147856</c:v>
                </c:pt>
                <c:pt idx="16">
                  <c:v>6312.5214060032085</c:v>
                </c:pt>
                <c:pt idx="17">
                  <c:v>6683.8461945916333</c:v>
                </c:pt>
                <c:pt idx="18">
                  <c:v>7055.1709831800563</c:v>
                </c:pt>
                <c:pt idx="19">
                  <c:v>7426.4957717684811</c:v>
                </c:pt>
              </c:numCache>
            </c:numRef>
          </c:xVal>
          <c:yVal>
            <c:numRef>
              <c:f>Лист1!$D$50:$D$69</c:f>
              <c:numCache>
                <c:formatCode>General</c:formatCode>
                <c:ptCount val="20"/>
                <c:pt idx="0">
                  <c:v>2.5914017998923393</c:v>
                </c:pt>
                <c:pt idx="1">
                  <c:v>1.9524854884299001</c:v>
                </c:pt>
                <c:pt idx="2">
                  <c:v>1.488527844776788</c:v>
                </c:pt>
                <c:pt idx="3">
                  <c:v>1.1818566906006684</c:v>
                </c:pt>
                <c:pt idx="4">
                  <c:v>0.97305912676640105</c:v>
                </c:pt>
                <c:pt idx="5">
                  <c:v>0.8242387845746294</c:v>
                </c:pt>
                <c:pt idx="6">
                  <c:v>0.71367280851715031</c:v>
                </c:pt>
                <c:pt idx="7">
                  <c:v>0.6286467382177493</c:v>
                </c:pt>
                <c:pt idx="8">
                  <c:v>0.56138992691068046</c:v>
                </c:pt>
                <c:pt idx="9">
                  <c:v>0.50694017370339373</c:v>
                </c:pt>
                <c:pt idx="10">
                  <c:v>0.46200089362844327</c:v>
                </c:pt>
                <c:pt idx="11">
                  <c:v>0.42430521292943574</c:v>
                </c:pt>
                <c:pt idx="12">
                  <c:v>0.39224714017278761</c:v>
                </c:pt>
                <c:pt idx="13">
                  <c:v>0.36465912042289023</c:v>
                </c:pt>
                <c:pt idx="14">
                  <c:v>0.34067304760381312</c:v>
                </c:pt>
                <c:pt idx="15">
                  <c:v>0.31963063859497304</c:v>
                </c:pt>
                <c:pt idx="16">
                  <c:v>0.30102399250510681</c:v>
                </c:pt>
                <c:pt idx="17">
                  <c:v>0.28445517099865342</c:v>
                </c:pt>
                <c:pt idx="18">
                  <c:v>0.26960809228714011</c:v>
                </c:pt>
                <c:pt idx="19">
                  <c:v>0.2562285922972754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E8-4ABE-9537-8FF6BA6AD2D0}"/>
            </c:ext>
          </c:extLst>
        </c:ser>
        <c:ser>
          <c:idx val="2"/>
          <c:order val="2"/>
          <c:tx>
            <c:v>I2(f)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Лист1!$A$50:$A$69</c:f>
              <c:numCache>
                <c:formatCode>General</c:formatCode>
                <c:ptCount val="20"/>
                <c:pt idx="0">
                  <c:v>371.3247885884241</c:v>
                </c:pt>
                <c:pt idx="1">
                  <c:v>742.6495771768482</c:v>
                </c:pt>
                <c:pt idx="2">
                  <c:v>1113.9743657652721</c:v>
                </c:pt>
                <c:pt idx="3">
                  <c:v>1485.2991543536964</c:v>
                </c:pt>
                <c:pt idx="4">
                  <c:v>1856.6239429421203</c:v>
                </c:pt>
                <c:pt idx="5">
                  <c:v>2227.9487315305441</c:v>
                </c:pt>
                <c:pt idx="6">
                  <c:v>2599.273520118968</c:v>
                </c:pt>
                <c:pt idx="7">
                  <c:v>2970.5983087073928</c:v>
                </c:pt>
                <c:pt idx="8">
                  <c:v>3341.9230972958167</c:v>
                </c:pt>
                <c:pt idx="9">
                  <c:v>3713.2478858842405</c:v>
                </c:pt>
                <c:pt idx="10">
                  <c:v>4084.5726744726649</c:v>
                </c:pt>
                <c:pt idx="11">
                  <c:v>4455.8974630610883</c:v>
                </c:pt>
                <c:pt idx="12">
                  <c:v>4827.2222516495131</c:v>
                </c:pt>
                <c:pt idx="13">
                  <c:v>5198.547040237936</c:v>
                </c:pt>
                <c:pt idx="14">
                  <c:v>5569.8718288263608</c:v>
                </c:pt>
                <c:pt idx="15">
                  <c:v>5941.1966174147856</c:v>
                </c:pt>
                <c:pt idx="16">
                  <c:v>6312.5214060032085</c:v>
                </c:pt>
                <c:pt idx="17">
                  <c:v>6683.8461945916333</c:v>
                </c:pt>
                <c:pt idx="18">
                  <c:v>7055.1709831800563</c:v>
                </c:pt>
                <c:pt idx="19">
                  <c:v>7426.4957717684811</c:v>
                </c:pt>
              </c:numCache>
            </c:numRef>
          </c:xVal>
          <c:yVal>
            <c:numRef>
              <c:f>Лист1!$E$50:$E$69</c:f>
              <c:numCache>
                <c:formatCode>General</c:formatCode>
                <c:ptCount val="20"/>
                <c:pt idx="0">
                  <c:v>0.30478355630605469</c:v>
                </c:pt>
                <c:pt idx="1">
                  <c:v>0.56845703731803143</c:v>
                </c:pt>
                <c:pt idx="2">
                  <c:v>0.77286496651513614</c:v>
                </c:pt>
                <c:pt idx="3">
                  <c:v>0.92175347362380022</c:v>
                </c:pt>
                <c:pt idx="4">
                  <c:v>1.027672952201325</c:v>
                </c:pt>
                <c:pt idx="5">
                  <c:v>1.1030587036429838</c:v>
                </c:pt>
                <c:pt idx="6">
                  <c:v>1.1574058055203982</c:v>
                </c:pt>
                <c:pt idx="7">
                  <c:v>1.19730066451849</c:v>
                </c:pt>
                <c:pt idx="8">
                  <c:v>1.2271641543400358</c:v>
                </c:pt>
                <c:pt idx="9">
                  <c:v>1.2499504724960233</c:v>
                </c:pt>
                <c:pt idx="10">
                  <c:v>1.2676512703541858</c:v>
                </c:pt>
                <c:pt idx="11">
                  <c:v>1.2816293514987969</c:v>
                </c:pt>
                <c:pt idx="12">
                  <c:v>1.2928333995428296</c:v>
                </c:pt>
                <c:pt idx="13">
                  <c:v>1.3019356163076081</c:v>
                </c:pt>
                <c:pt idx="14">
                  <c:v>1.3094206092518583</c:v>
                </c:pt>
                <c:pt idx="15">
                  <c:v>1.3156435383782719</c:v>
                </c:pt>
                <c:pt idx="16">
                  <c:v>1.3208687378908981</c:v>
                </c:pt>
                <c:pt idx="17">
                  <c:v>1.3252957840617534</c:v>
                </c:pt>
                <c:pt idx="18">
                  <c:v>1.3290773740879591</c:v>
                </c:pt>
                <c:pt idx="19">
                  <c:v>1.3323317807349897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E8-4ABE-9537-8FF6BA6AD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819472"/>
        <c:axId val="1820824752"/>
      </c:scatterChart>
      <c:valAx>
        <c:axId val="59081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0824752"/>
        <c:crosses val="autoZero"/>
        <c:crossBetween val="midCat"/>
      </c:valAx>
      <c:valAx>
        <c:axId val="182082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081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Лист1!$AI$4:$AI$12</c:f>
              <c:numCache>
                <c:formatCode>General</c:formatCode>
                <c:ptCount val="9"/>
                <c:pt idx="0">
                  <c:v>0.2505</c:v>
                </c:pt>
                <c:pt idx="1">
                  <c:v>0.13561547849121827</c:v>
                </c:pt>
                <c:pt idx="2">
                  <c:v>9.7827613530608495E-2</c:v>
                </c:pt>
                <c:pt idx="3">
                  <c:v>2.8805885455738749</c:v>
                </c:pt>
                <c:pt idx="4">
                  <c:v>-0.21926766352570934</c:v>
                </c:pt>
                <c:pt idx="5">
                  <c:v>2.6393617198505651E-2</c:v>
                </c:pt>
                <c:pt idx="6">
                  <c:v>0.23440035090836425</c:v>
                </c:pt>
                <c:pt idx="7">
                  <c:v>-3.13731724896199</c:v>
                </c:pt>
                <c:pt idx="8">
                  <c:v>2.3964700658634022</c:v>
                </c:pt>
              </c:numCache>
            </c:numRef>
          </c:xVal>
          <c:yVal>
            <c:numRef>
              <c:f>Лист1!$AJ$4:$AJ$12</c:f>
              <c:numCache>
                <c:formatCode>General</c:formatCode>
                <c:ptCount val="9"/>
                <c:pt idx="0">
                  <c:v>0</c:v>
                </c:pt>
                <c:pt idx="1">
                  <c:v>5.3173591443123078E-16</c:v>
                </c:pt>
                <c:pt idx="2">
                  <c:v>6.9107425663192154E-2</c:v>
                </c:pt>
                <c:pt idx="3">
                  <c:v>0.329459189406755</c:v>
                </c:pt>
                <c:pt idx="4">
                  <c:v>-7.2546294982281587E-2</c:v>
                </c:pt>
                <c:pt idx="5">
                  <c:v>0.11339629597980064</c:v>
                </c:pt>
                <c:pt idx="6">
                  <c:v>-0.16558519871036684</c:v>
                </c:pt>
                <c:pt idx="7">
                  <c:v>0.65441856572572277</c:v>
                </c:pt>
                <c:pt idx="8">
                  <c:v>-1.6864253215543361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B5-474B-AF5A-55D204200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630032"/>
        <c:axId val="976571216"/>
      </c:scatterChart>
      <c:valAx>
        <c:axId val="130363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6571216"/>
        <c:crosses val="autoZero"/>
        <c:crossBetween val="midCat"/>
      </c:valAx>
      <c:valAx>
        <c:axId val="97657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363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φ</a:t>
            </a:r>
            <a:r>
              <a:rPr lang="en-US"/>
              <a:t>(f)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'Лист1 (2)'!$A$22:$A$41</c:f>
              <c:numCache>
                <c:formatCode>General</c:formatCode>
                <c:ptCount val="20"/>
                <c:pt idx="0">
                  <c:v>150.59752923769588</c:v>
                </c:pt>
                <c:pt idx="1">
                  <c:v>301.19505847539176</c:v>
                </c:pt>
                <c:pt idx="2">
                  <c:v>451.79258771308764</c:v>
                </c:pt>
                <c:pt idx="3">
                  <c:v>602.39011695078352</c:v>
                </c:pt>
                <c:pt idx="4">
                  <c:v>752.9876461884794</c:v>
                </c:pt>
                <c:pt idx="5">
                  <c:v>903.58517542617528</c:v>
                </c:pt>
                <c:pt idx="6">
                  <c:v>1054.1827046638712</c:v>
                </c:pt>
                <c:pt idx="7">
                  <c:v>1204.780233901567</c:v>
                </c:pt>
                <c:pt idx="8">
                  <c:v>1355.3777631392629</c:v>
                </c:pt>
                <c:pt idx="9">
                  <c:v>1505.9752923769588</c:v>
                </c:pt>
                <c:pt idx="10">
                  <c:v>1656.5728216146549</c:v>
                </c:pt>
                <c:pt idx="11">
                  <c:v>1807.1703508523506</c:v>
                </c:pt>
                <c:pt idx="12">
                  <c:v>1957.7678800900464</c:v>
                </c:pt>
                <c:pt idx="13">
                  <c:v>2108.3654093277423</c:v>
                </c:pt>
                <c:pt idx="14">
                  <c:v>2258.962938565438</c:v>
                </c:pt>
                <c:pt idx="15">
                  <c:v>2409.5604678031341</c:v>
                </c:pt>
                <c:pt idx="16">
                  <c:v>2560.1579970408297</c:v>
                </c:pt>
                <c:pt idx="17">
                  <c:v>2710.7555262785258</c:v>
                </c:pt>
                <c:pt idx="18">
                  <c:v>2861.3530555162215</c:v>
                </c:pt>
                <c:pt idx="19">
                  <c:v>3011.9505847539176</c:v>
                </c:pt>
              </c:numCache>
            </c:numRef>
          </c:xVal>
          <c:yVal>
            <c:numRef>
              <c:f>'Лист1 (2)'!$B$22:$B$41</c:f>
              <c:numCache>
                <c:formatCode>General</c:formatCode>
                <c:ptCount val="20"/>
                <c:pt idx="0">
                  <c:v>-82.219303194207868</c:v>
                </c:pt>
                <c:pt idx="1">
                  <c:v>-74.261129380485059</c:v>
                </c:pt>
                <c:pt idx="2">
                  <c:v>-65.965226162569124</c:v>
                </c:pt>
                <c:pt idx="3">
                  <c:v>-57.212033001736721</c:v>
                </c:pt>
                <c:pt idx="4">
                  <c:v>-47.955152947748843</c:v>
                </c:pt>
                <c:pt idx="5">
                  <c:v>-38.256726732157674</c:v>
                </c:pt>
                <c:pt idx="6">
                  <c:v>-28.306549283570543</c:v>
                </c:pt>
                <c:pt idx="7">
                  <c:v>-18.400207767705737</c:v>
                </c:pt>
                <c:pt idx="8">
                  <c:v>-8.8701774931310595</c:v>
                </c:pt>
                <c:pt idx="9">
                  <c:v>0</c:v>
                </c:pt>
                <c:pt idx="10">
                  <c:v>8.0330091244259894</c:v>
                </c:pt>
                <c:pt idx="11">
                  <c:v>15.165958417274899</c:v>
                </c:pt>
                <c:pt idx="12">
                  <c:v>21.423449215326098</c:v>
                </c:pt>
                <c:pt idx="13">
                  <c:v>26.880910483814525</c:v>
                </c:pt>
                <c:pt idx="14">
                  <c:v>31.634588526329665</c:v>
                </c:pt>
                <c:pt idx="15">
                  <c:v>35.782660413661532</c:v>
                </c:pt>
                <c:pt idx="16">
                  <c:v>39.415597614860353</c:v>
                </c:pt>
                <c:pt idx="17">
                  <c:v>42.612440937023251</c:v>
                </c:pt>
                <c:pt idx="18">
                  <c:v>45.440270761131394</c:v>
                </c:pt>
                <c:pt idx="19">
                  <c:v>47.955152947748843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86-4F1D-A381-8F93BC208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252992"/>
        <c:axId val="1763534528"/>
      </c:scatterChart>
      <c:valAx>
        <c:axId val="194225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3534528"/>
        <c:crosses val="autoZero"/>
        <c:crossBetween val="midCat"/>
      </c:valAx>
      <c:valAx>
        <c:axId val="176353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225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I(f)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1527996500437452E-2"/>
          <c:y val="0.16712962962962963"/>
          <c:w val="0.86733311461067364"/>
          <c:h val="0.7311111111111111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'Лист1 (2)'!$A$22:$A$41</c:f>
              <c:numCache>
                <c:formatCode>General</c:formatCode>
                <c:ptCount val="20"/>
                <c:pt idx="0">
                  <c:v>150.59752923769588</c:v>
                </c:pt>
                <c:pt idx="1">
                  <c:v>301.19505847539176</c:v>
                </c:pt>
                <c:pt idx="2">
                  <c:v>451.79258771308764</c:v>
                </c:pt>
                <c:pt idx="3">
                  <c:v>602.39011695078352</c:v>
                </c:pt>
                <c:pt idx="4">
                  <c:v>752.9876461884794</c:v>
                </c:pt>
                <c:pt idx="5">
                  <c:v>903.58517542617528</c:v>
                </c:pt>
                <c:pt idx="6">
                  <c:v>1054.1827046638712</c:v>
                </c:pt>
                <c:pt idx="7">
                  <c:v>1204.780233901567</c:v>
                </c:pt>
                <c:pt idx="8">
                  <c:v>1355.3777631392629</c:v>
                </c:pt>
                <c:pt idx="9">
                  <c:v>1505.9752923769588</c:v>
                </c:pt>
                <c:pt idx="10">
                  <c:v>1656.5728216146549</c:v>
                </c:pt>
                <c:pt idx="11">
                  <c:v>1807.1703508523506</c:v>
                </c:pt>
                <c:pt idx="12">
                  <c:v>1957.7678800900464</c:v>
                </c:pt>
                <c:pt idx="13">
                  <c:v>2108.3654093277423</c:v>
                </c:pt>
                <c:pt idx="14">
                  <c:v>2258.962938565438</c:v>
                </c:pt>
                <c:pt idx="15">
                  <c:v>2409.5604678031341</c:v>
                </c:pt>
                <c:pt idx="16">
                  <c:v>2560.1579970408297</c:v>
                </c:pt>
                <c:pt idx="17">
                  <c:v>2710.7555262785258</c:v>
                </c:pt>
                <c:pt idx="18">
                  <c:v>2861.3530555162215</c:v>
                </c:pt>
                <c:pt idx="19">
                  <c:v>3011.9505847539176</c:v>
                </c:pt>
              </c:numCache>
            </c:numRef>
          </c:xVal>
          <c:yVal>
            <c:numRef>
              <c:f>'Лист1 (2)'!$C$22:$C$41</c:f>
              <c:numCache>
                <c:formatCode>General</c:formatCode>
                <c:ptCount val="20"/>
                <c:pt idx="0">
                  <c:v>0.12438200811088689</c:v>
                </c:pt>
                <c:pt idx="1">
                  <c:v>0.25426624325377567</c:v>
                </c:pt>
                <c:pt idx="2">
                  <c:v>0.38147894718071879</c:v>
                </c:pt>
                <c:pt idx="3">
                  <c:v>0.50687363967810439</c:v>
                </c:pt>
                <c:pt idx="4">
                  <c:v>0.62685050886664029</c:v>
                </c:pt>
                <c:pt idx="5">
                  <c:v>0.73528307672387705</c:v>
                </c:pt>
                <c:pt idx="6">
                  <c:v>0.82429618014568939</c:v>
                </c:pt>
                <c:pt idx="7">
                  <c:v>0.88921435975806562</c:v>
                </c:pt>
                <c:pt idx="8">
                  <c:v>0.92560846498173255</c:v>
                </c:pt>
                <c:pt idx="9">
                  <c:v>0.93668750000000001</c:v>
                </c:pt>
                <c:pt idx="10">
                  <c:v>0.9275583507285482</c:v>
                </c:pt>
                <c:pt idx="11">
                  <c:v>0.90394399548110438</c:v>
                </c:pt>
                <c:pt idx="12">
                  <c:v>0.87156112282731502</c:v>
                </c:pt>
                <c:pt idx="13">
                  <c:v>0.83491928068260723</c:v>
                </c:pt>
                <c:pt idx="14">
                  <c:v>0.79692018796683572</c:v>
                </c:pt>
                <c:pt idx="15">
                  <c:v>0.75916928982199594</c:v>
                </c:pt>
                <c:pt idx="16">
                  <c:v>0.72277886886760101</c:v>
                </c:pt>
                <c:pt idx="17">
                  <c:v>0.67146246892251449</c:v>
                </c:pt>
                <c:pt idx="18">
                  <c:v>0.65626428548315174</c:v>
                </c:pt>
                <c:pt idx="19">
                  <c:v>0.62630636779991566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C0-44A5-AAD8-D0745B99E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803392"/>
        <c:axId val="1834891744"/>
      </c:scatterChart>
      <c:valAx>
        <c:axId val="52980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4891744"/>
        <c:crosses val="autoZero"/>
        <c:crossBetween val="midCat"/>
      </c:valAx>
      <c:valAx>
        <c:axId val="183489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980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</a:t>
            </a:r>
            <a:r>
              <a:rPr lang="en-US" sz="900"/>
              <a:t>R1</a:t>
            </a:r>
            <a:r>
              <a:rPr lang="en-US"/>
              <a:t>(f),U</a:t>
            </a:r>
            <a:r>
              <a:rPr lang="en-US" sz="900"/>
              <a:t>Rk</a:t>
            </a:r>
            <a:r>
              <a:rPr lang="en-US"/>
              <a:t>(f),U</a:t>
            </a:r>
            <a:r>
              <a:rPr lang="en-US" sz="900"/>
              <a:t>C</a:t>
            </a:r>
            <a:r>
              <a:rPr lang="en-US"/>
              <a:t>(f)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'Лист1 (2)'!$A$22:$A$41</c:f>
              <c:numCache>
                <c:formatCode>General</c:formatCode>
                <c:ptCount val="20"/>
                <c:pt idx="0">
                  <c:v>150.59752923769588</c:v>
                </c:pt>
                <c:pt idx="1">
                  <c:v>301.19505847539176</c:v>
                </c:pt>
                <c:pt idx="2">
                  <c:v>451.79258771308764</c:v>
                </c:pt>
                <c:pt idx="3">
                  <c:v>602.39011695078352</c:v>
                </c:pt>
                <c:pt idx="4">
                  <c:v>752.9876461884794</c:v>
                </c:pt>
                <c:pt idx="5">
                  <c:v>903.58517542617528</c:v>
                </c:pt>
                <c:pt idx="6">
                  <c:v>1054.1827046638712</c:v>
                </c:pt>
                <c:pt idx="7">
                  <c:v>1204.780233901567</c:v>
                </c:pt>
                <c:pt idx="8">
                  <c:v>1355.3777631392629</c:v>
                </c:pt>
                <c:pt idx="9">
                  <c:v>1505.9752923769588</c:v>
                </c:pt>
                <c:pt idx="10">
                  <c:v>1656.5728216146549</c:v>
                </c:pt>
                <c:pt idx="11">
                  <c:v>1807.1703508523506</c:v>
                </c:pt>
                <c:pt idx="12">
                  <c:v>1957.7678800900464</c:v>
                </c:pt>
                <c:pt idx="13">
                  <c:v>2108.3654093277423</c:v>
                </c:pt>
                <c:pt idx="14">
                  <c:v>2258.962938565438</c:v>
                </c:pt>
                <c:pt idx="15">
                  <c:v>2409.5604678031341</c:v>
                </c:pt>
                <c:pt idx="16">
                  <c:v>2560.1579970408297</c:v>
                </c:pt>
                <c:pt idx="17">
                  <c:v>2710.7555262785258</c:v>
                </c:pt>
                <c:pt idx="18">
                  <c:v>2861.3530555162215</c:v>
                </c:pt>
                <c:pt idx="19">
                  <c:v>3011.9505847539176</c:v>
                </c:pt>
              </c:numCache>
            </c:numRef>
          </c:xVal>
          <c:yVal>
            <c:numRef>
              <c:f>'Лист1 (2)'!$D$22:$D$41</c:f>
              <c:numCache>
                <c:formatCode>General</c:formatCode>
                <c:ptCount val="20"/>
                <c:pt idx="0">
                  <c:v>1.3682020892197557</c:v>
                </c:pt>
                <c:pt idx="1">
                  <c:v>2.7969286757915324</c:v>
                </c:pt>
                <c:pt idx="2">
                  <c:v>4.1962684189879065</c:v>
                </c:pt>
                <c:pt idx="3">
                  <c:v>5.5756100364591479</c:v>
                </c:pt>
                <c:pt idx="4">
                  <c:v>6.8953555975330429</c:v>
                </c:pt>
                <c:pt idx="5">
                  <c:v>8.0881138439626472</c:v>
                </c:pt>
                <c:pt idx="6">
                  <c:v>9.0672579816025838</c:v>
                </c:pt>
                <c:pt idx="7">
                  <c:v>9.7813579573387219</c:v>
                </c:pt>
                <c:pt idx="8">
                  <c:v>10.181693114799058</c:v>
                </c:pt>
                <c:pt idx="9">
                  <c:v>10.3035625</c:v>
                </c:pt>
                <c:pt idx="10">
                  <c:v>10.20314185801403</c:v>
                </c:pt>
                <c:pt idx="11">
                  <c:v>9.9433839502921479</c:v>
                </c:pt>
                <c:pt idx="12">
                  <c:v>9.587172351100465</c:v>
                </c:pt>
                <c:pt idx="13">
                  <c:v>9.1841120875086801</c:v>
                </c:pt>
                <c:pt idx="14">
                  <c:v>8.7661220676351927</c:v>
                </c:pt>
                <c:pt idx="15">
                  <c:v>8.3508621880419547</c:v>
                </c:pt>
                <c:pt idx="16">
                  <c:v>7.9505675575436108</c:v>
                </c:pt>
                <c:pt idx="17">
                  <c:v>7.3860871581476593</c:v>
                </c:pt>
                <c:pt idx="18">
                  <c:v>7.218907140314669</c:v>
                </c:pt>
                <c:pt idx="19">
                  <c:v>6.8893700457990725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F7-43E8-8A36-7E32AB8B77D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'Лист1 (2)'!$A$22:$A$41</c:f>
              <c:numCache>
                <c:formatCode>General</c:formatCode>
                <c:ptCount val="20"/>
                <c:pt idx="0">
                  <c:v>150.59752923769588</c:v>
                </c:pt>
                <c:pt idx="1">
                  <c:v>301.19505847539176</c:v>
                </c:pt>
                <c:pt idx="2">
                  <c:v>451.79258771308764</c:v>
                </c:pt>
                <c:pt idx="3">
                  <c:v>602.39011695078352</c:v>
                </c:pt>
                <c:pt idx="4">
                  <c:v>752.9876461884794</c:v>
                </c:pt>
                <c:pt idx="5">
                  <c:v>903.58517542617528</c:v>
                </c:pt>
                <c:pt idx="6">
                  <c:v>1054.1827046638712</c:v>
                </c:pt>
                <c:pt idx="7">
                  <c:v>1204.780233901567</c:v>
                </c:pt>
                <c:pt idx="8">
                  <c:v>1355.3777631392629</c:v>
                </c:pt>
                <c:pt idx="9">
                  <c:v>1505.9752923769588</c:v>
                </c:pt>
                <c:pt idx="10">
                  <c:v>1656.5728216146549</c:v>
                </c:pt>
                <c:pt idx="11">
                  <c:v>1807.1703508523506</c:v>
                </c:pt>
                <c:pt idx="12">
                  <c:v>1957.7678800900464</c:v>
                </c:pt>
                <c:pt idx="13">
                  <c:v>2108.3654093277423</c:v>
                </c:pt>
                <c:pt idx="14">
                  <c:v>2258.962938565438</c:v>
                </c:pt>
                <c:pt idx="15">
                  <c:v>2409.5604678031341</c:v>
                </c:pt>
                <c:pt idx="16">
                  <c:v>2560.1579970408297</c:v>
                </c:pt>
                <c:pt idx="17">
                  <c:v>2710.7555262785258</c:v>
                </c:pt>
                <c:pt idx="18">
                  <c:v>2861.3530555162215</c:v>
                </c:pt>
                <c:pt idx="19">
                  <c:v>3011.9505847539176</c:v>
                </c:pt>
              </c:numCache>
            </c:numRef>
          </c:xVal>
          <c:yVal>
            <c:numRef>
              <c:f>'Лист1 (2)'!$E$22:$E$41</c:f>
              <c:numCache>
                <c:formatCode>General</c:formatCode>
                <c:ptCount val="20"/>
                <c:pt idx="0">
                  <c:v>0.63907413703720695</c:v>
                </c:pt>
                <c:pt idx="1">
                  <c:v>1.4064387582276259</c:v>
                </c:pt>
                <c:pt idx="2">
                  <c:v>2.338902600119003</c:v>
                </c:pt>
                <c:pt idx="3">
                  <c:v>3.4891129798368392</c:v>
                </c:pt>
                <c:pt idx="4">
                  <c:v>4.8545441212394289</c:v>
                </c:pt>
                <c:pt idx="5">
                  <c:v>6.383160817909828</c:v>
                </c:pt>
                <c:pt idx="6">
                  <c:v>7.9727230278056407</c:v>
                </c:pt>
                <c:pt idx="7">
                  <c:v>9.5164855106645803</c:v>
                </c:pt>
                <c:pt idx="8">
                  <c:v>10.8859745055176</c:v>
                </c:pt>
                <c:pt idx="9">
                  <c:v>12.028295655054624</c:v>
                </c:pt>
                <c:pt idx="10">
                  <c:v>12.928650207908291</c:v>
                </c:pt>
                <c:pt idx="11">
                  <c:v>13.602929138887154</c:v>
                </c:pt>
                <c:pt idx="12">
                  <c:v>14.092088780664502</c:v>
                </c:pt>
                <c:pt idx="13">
                  <c:v>14.441993762111105</c:v>
                </c:pt>
                <c:pt idx="14">
                  <c:v>14.689583871537376</c:v>
                </c:pt>
                <c:pt idx="15">
                  <c:v>14.85999251008862</c:v>
                </c:pt>
                <c:pt idx="16">
                  <c:v>14.975812425087796</c:v>
                </c:pt>
                <c:pt idx="17">
                  <c:v>14.684527167263072</c:v>
                </c:pt>
                <c:pt idx="18">
                  <c:v>15.108856877591187</c:v>
                </c:pt>
                <c:pt idx="19">
                  <c:v>15.143112609631533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F7-43E8-8A36-7E32AB8B77D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'Лист1 (2)'!$A$22:$A$41</c:f>
              <c:numCache>
                <c:formatCode>General</c:formatCode>
                <c:ptCount val="20"/>
                <c:pt idx="0">
                  <c:v>150.59752923769588</c:v>
                </c:pt>
                <c:pt idx="1">
                  <c:v>301.19505847539176</c:v>
                </c:pt>
                <c:pt idx="2">
                  <c:v>451.79258771308764</c:v>
                </c:pt>
                <c:pt idx="3">
                  <c:v>602.39011695078352</c:v>
                </c:pt>
                <c:pt idx="4">
                  <c:v>752.9876461884794</c:v>
                </c:pt>
                <c:pt idx="5">
                  <c:v>903.58517542617528</c:v>
                </c:pt>
                <c:pt idx="6">
                  <c:v>1054.1827046638712</c:v>
                </c:pt>
                <c:pt idx="7">
                  <c:v>1204.780233901567</c:v>
                </c:pt>
                <c:pt idx="8">
                  <c:v>1355.3777631392629</c:v>
                </c:pt>
                <c:pt idx="9">
                  <c:v>1505.9752923769588</c:v>
                </c:pt>
                <c:pt idx="10">
                  <c:v>1656.5728216146549</c:v>
                </c:pt>
                <c:pt idx="11">
                  <c:v>1807.1703508523506</c:v>
                </c:pt>
                <c:pt idx="12">
                  <c:v>1957.7678800900464</c:v>
                </c:pt>
                <c:pt idx="13">
                  <c:v>2108.3654093277423</c:v>
                </c:pt>
                <c:pt idx="14">
                  <c:v>2258.962938565438</c:v>
                </c:pt>
                <c:pt idx="15">
                  <c:v>2409.5604678031341</c:v>
                </c:pt>
                <c:pt idx="16">
                  <c:v>2560.1579970408297</c:v>
                </c:pt>
                <c:pt idx="17">
                  <c:v>2710.7555262785258</c:v>
                </c:pt>
                <c:pt idx="18">
                  <c:v>2861.3530555162215</c:v>
                </c:pt>
                <c:pt idx="19">
                  <c:v>3011.9505847539176</c:v>
                </c:pt>
              </c:numCache>
            </c:numRef>
          </c:xVal>
          <c:yVal>
            <c:numRef>
              <c:f>'Лист1 (2)'!$F$22:$F$41</c:f>
              <c:numCache>
                <c:formatCode>General</c:formatCode>
                <c:ptCount val="20"/>
                <c:pt idx="0">
                  <c:v>14.71178238264571</c:v>
                </c:pt>
                <c:pt idx="1">
                  <c:v>15.037181401137829</c:v>
                </c:pt>
                <c:pt idx="2">
                  <c:v>15.040319040034069</c:v>
                </c:pt>
                <c:pt idx="3">
                  <c:v>14.988129705616061</c:v>
                </c:pt>
                <c:pt idx="4">
                  <c:v>14.828653135548707</c:v>
                </c:pt>
                <c:pt idx="5">
                  <c:v>14.494760641962777</c:v>
                </c:pt>
                <c:pt idx="6">
                  <c:v>13.928135249660381</c:v>
                </c:pt>
                <c:pt idx="7">
                  <c:v>13.146925699878677</c:v>
                </c:pt>
                <c:pt idx="8">
                  <c:v>12.164451644812459</c:v>
                </c:pt>
                <c:pt idx="9">
                  <c:v>11.079048223967604</c:v>
                </c:pt>
                <c:pt idx="10">
                  <c:v>9.9736995803785735</c:v>
                </c:pt>
                <c:pt idx="11">
                  <c:v>8.9098010433051833</c:v>
                </c:pt>
                <c:pt idx="12">
                  <c:v>7.9297998449439167</c:v>
                </c:pt>
                <c:pt idx="13">
                  <c:v>7.0538169070740917</c:v>
                </c:pt>
                <c:pt idx="14">
                  <c:v>6.2839294094974054</c:v>
                </c:pt>
                <c:pt idx="15">
                  <c:v>5.6121126123261034</c:v>
                </c:pt>
                <c:pt idx="16">
                  <c:v>5.0287987273355554</c:v>
                </c:pt>
                <c:pt idx="17">
                  <c:v>4.4122180400951256</c:v>
                </c:pt>
                <c:pt idx="18">
                  <c:v>4.0853841281590606</c:v>
                </c:pt>
                <c:pt idx="19">
                  <c:v>3.7039452602032461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F7-43E8-8A36-7E32AB8B7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596944"/>
        <c:axId val="1818965072"/>
      </c:scatterChart>
      <c:valAx>
        <c:axId val="195259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8965072"/>
        <c:crosses val="autoZero"/>
        <c:crossBetween val="midCat"/>
      </c:valAx>
      <c:valAx>
        <c:axId val="18189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2596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image" Target="../media/image1.png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637189</xdr:colOff>
      <xdr:row>18</xdr:row>
      <xdr:rowOff>132834</xdr:rowOff>
    </xdr:from>
    <xdr:to>
      <xdr:col>24</xdr:col>
      <xdr:colOff>352962</xdr:colOff>
      <xdr:row>20</xdr:row>
      <xdr:rowOff>65389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D99C1CBE-B59A-BB4D-8913-B4451B950E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46258" y="3680075"/>
          <a:ext cx="582877" cy="326693"/>
        </a:xfrm>
        <a:prstGeom prst="rect">
          <a:avLst/>
        </a:prstGeom>
      </xdr:spPr>
    </xdr:pic>
    <xdr:clientData/>
  </xdr:twoCellAnchor>
  <xdr:twoCellAnchor>
    <xdr:from>
      <xdr:col>22</xdr:col>
      <xdr:colOff>538654</xdr:colOff>
      <xdr:row>21</xdr:row>
      <xdr:rowOff>109701</xdr:rowOff>
    </xdr:from>
    <xdr:to>
      <xdr:col>27</xdr:col>
      <xdr:colOff>775137</xdr:colOff>
      <xdr:row>35</xdr:row>
      <xdr:rowOff>93935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389C5060-345C-F4D4-3596-28C81B64D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407276</xdr:colOff>
      <xdr:row>21</xdr:row>
      <xdr:rowOff>4598</xdr:rowOff>
    </xdr:from>
    <xdr:to>
      <xdr:col>34</xdr:col>
      <xdr:colOff>643759</xdr:colOff>
      <xdr:row>34</xdr:row>
      <xdr:rowOff>185901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AB203498-36A3-006C-BE6E-9BF6D7E13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440121</xdr:colOff>
      <xdr:row>21</xdr:row>
      <xdr:rowOff>4599</xdr:rowOff>
    </xdr:from>
    <xdr:to>
      <xdr:col>40</xdr:col>
      <xdr:colOff>676603</xdr:colOff>
      <xdr:row>34</xdr:row>
      <xdr:rowOff>185902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1E5EEAF0-9310-8F23-7F1F-ACAB1C74B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275897</xdr:colOff>
      <xdr:row>72</xdr:row>
      <xdr:rowOff>11167</xdr:rowOff>
    </xdr:from>
    <xdr:to>
      <xdr:col>8</xdr:col>
      <xdr:colOff>512379</xdr:colOff>
      <xdr:row>85</xdr:row>
      <xdr:rowOff>192471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F2D905BD-C670-044E-A2FB-D1F7AF19E2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768569</xdr:colOff>
      <xdr:row>71</xdr:row>
      <xdr:rowOff>175391</xdr:rowOff>
    </xdr:from>
    <xdr:to>
      <xdr:col>17</xdr:col>
      <xdr:colOff>59121</xdr:colOff>
      <xdr:row>85</xdr:row>
      <xdr:rowOff>159626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7081AE64-B107-3485-4A4B-A76CBFA008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775138</xdr:colOff>
      <xdr:row>1</xdr:row>
      <xdr:rowOff>188529</xdr:rowOff>
    </xdr:from>
    <xdr:to>
      <xdr:col>42</xdr:col>
      <xdr:colOff>144517</xdr:colOff>
      <xdr:row>15</xdr:row>
      <xdr:rowOff>172764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D3EF2B4-A446-36C1-3B57-29268EB7C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637189</xdr:colOff>
      <xdr:row>18</xdr:row>
      <xdr:rowOff>132834</xdr:rowOff>
    </xdr:from>
    <xdr:to>
      <xdr:col>24</xdr:col>
      <xdr:colOff>352962</xdr:colOff>
      <xdr:row>20</xdr:row>
      <xdr:rowOff>65389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B1BA5FE-5AF3-4A52-9B24-8FA13DB852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50229" y="3287514"/>
          <a:ext cx="584453" cy="283075"/>
        </a:xfrm>
        <a:prstGeom prst="rect">
          <a:avLst/>
        </a:prstGeom>
      </xdr:spPr>
    </xdr:pic>
    <xdr:clientData/>
  </xdr:twoCellAnchor>
  <xdr:twoCellAnchor>
    <xdr:from>
      <xdr:col>22</xdr:col>
      <xdr:colOff>538654</xdr:colOff>
      <xdr:row>21</xdr:row>
      <xdr:rowOff>109701</xdr:rowOff>
    </xdr:from>
    <xdr:to>
      <xdr:col>27</xdr:col>
      <xdr:colOff>775137</xdr:colOff>
      <xdr:row>35</xdr:row>
      <xdr:rowOff>93935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9D3D047-8874-461C-A66F-7AD9BF2B6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407276</xdr:colOff>
      <xdr:row>21</xdr:row>
      <xdr:rowOff>4598</xdr:rowOff>
    </xdr:from>
    <xdr:to>
      <xdr:col>34</xdr:col>
      <xdr:colOff>643759</xdr:colOff>
      <xdr:row>34</xdr:row>
      <xdr:rowOff>185901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64ED941-E99E-447A-BDEE-427C93E67F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440121</xdr:colOff>
      <xdr:row>21</xdr:row>
      <xdr:rowOff>4599</xdr:rowOff>
    </xdr:from>
    <xdr:to>
      <xdr:col>40</xdr:col>
      <xdr:colOff>676603</xdr:colOff>
      <xdr:row>34</xdr:row>
      <xdr:rowOff>185902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B50494D-E790-4F73-B394-3C70CB87D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275897</xdr:colOff>
      <xdr:row>72</xdr:row>
      <xdr:rowOff>11167</xdr:rowOff>
    </xdr:from>
    <xdr:to>
      <xdr:col>8</xdr:col>
      <xdr:colOff>512379</xdr:colOff>
      <xdr:row>85</xdr:row>
      <xdr:rowOff>192471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6C5C87BD-A49E-43DA-ADB6-72888394CF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768569</xdr:colOff>
      <xdr:row>71</xdr:row>
      <xdr:rowOff>175391</xdr:rowOff>
    </xdr:from>
    <xdr:to>
      <xdr:col>17</xdr:col>
      <xdr:colOff>59121</xdr:colOff>
      <xdr:row>85</xdr:row>
      <xdr:rowOff>159626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6D4ECE6F-5FD9-4BF6-9967-309FBE7E1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775138</xdr:colOff>
      <xdr:row>1</xdr:row>
      <xdr:rowOff>188529</xdr:rowOff>
    </xdr:from>
    <xdr:to>
      <xdr:col>42</xdr:col>
      <xdr:colOff>144517</xdr:colOff>
      <xdr:row>15</xdr:row>
      <xdr:rowOff>172764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8D05F2CB-D68E-48CC-8F6C-42B4F5CE59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1001"/>
  <sheetViews>
    <sheetView topLeftCell="AD8" zoomScaleNormal="100" workbookViewId="0">
      <selection activeCell="G133" sqref="G133"/>
    </sheetView>
  </sheetViews>
  <sheetFormatPr defaultColWidth="12.6640625" defaultRowHeight="15.75" customHeight="1" x14ac:dyDescent="0.25"/>
  <cols>
    <col min="1" max="1" width="19.5546875" customWidth="1"/>
    <col min="2" max="2" width="12.44140625" customWidth="1"/>
    <col min="13" max="13" width="13.77734375" bestFit="1" customWidth="1"/>
  </cols>
  <sheetData>
    <row r="1" spans="1:36" ht="13.8" x14ac:dyDescent="0.25">
      <c r="A1" s="9" t="s">
        <v>0</v>
      </c>
      <c r="B1" s="9"/>
      <c r="C1" s="9"/>
      <c r="D1" s="17"/>
      <c r="E1" s="17"/>
      <c r="F1" s="9">
        <v>1E-3</v>
      </c>
      <c r="G1" s="9">
        <v>9.9999999999999995E-7</v>
      </c>
      <c r="H1" s="9"/>
      <c r="I1" s="9"/>
      <c r="J1" s="9"/>
      <c r="K1" s="9">
        <f>180/PI()</f>
        <v>57.295779513082323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17"/>
      <c r="AB1" s="17"/>
      <c r="AC1" s="17"/>
      <c r="AD1" s="17"/>
    </row>
    <row r="2" spans="1:36" ht="13.8" x14ac:dyDescent="0.25">
      <c r="A2" s="25" t="s">
        <v>1</v>
      </c>
      <c r="B2" s="31" t="s">
        <v>2</v>
      </c>
      <c r="C2" s="26"/>
      <c r="D2" s="26"/>
      <c r="E2" s="26"/>
      <c r="F2" s="30" t="s">
        <v>3</v>
      </c>
      <c r="G2" s="26"/>
      <c r="H2" s="26"/>
      <c r="I2" s="27" t="s">
        <v>4</v>
      </c>
      <c r="J2" s="26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17"/>
      <c r="AB2" s="17"/>
      <c r="AC2" s="17"/>
      <c r="AD2" s="17"/>
    </row>
    <row r="3" spans="1:36" ht="13.8" x14ac:dyDescent="0.25">
      <c r="A3" s="26"/>
      <c r="B3" s="26"/>
      <c r="C3" s="26"/>
      <c r="D3" s="26"/>
      <c r="E3" s="26"/>
      <c r="F3" s="26"/>
      <c r="G3" s="26"/>
      <c r="H3" s="26"/>
      <c r="I3" s="26"/>
      <c r="J3" s="26"/>
      <c r="K3" s="9" t="s">
        <v>5</v>
      </c>
      <c r="L3" s="9" t="s">
        <v>6</v>
      </c>
      <c r="M3" s="9" t="s">
        <v>7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17"/>
      <c r="AB3" s="17"/>
      <c r="AC3" s="17"/>
      <c r="AD3" s="17"/>
      <c r="AI3" t="s">
        <v>220</v>
      </c>
      <c r="AJ3" t="s">
        <v>221</v>
      </c>
    </row>
    <row r="4" spans="1:36" ht="13.8" x14ac:dyDescent="0.25">
      <c r="A4" s="26"/>
      <c r="B4" s="11" t="s">
        <v>8</v>
      </c>
      <c r="C4" s="11" t="s">
        <v>9</v>
      </c>
      <c r="D4" s="11" t="s">
        <v>10</v>
      </c>
      <c r="E4" s="11" t="s">
        <v>11</v>
      </c>
      <c r="F4" s="11" t="s">
        <v>12</v>
      </c>
      <c r="G4" s="11" t="s">
        <v>13</v>
      </c>
      <c r="H4" s="11" t="s">
        <v>14</v>
      </c>
      <c r="I4" s="11" t="s">
        <v>13</v>
      </c>
      <c r="J4" s="11" t="s">
        <v>14</v>
      </c>
      <c r="K4" s="9">
        <f>M4*2*PI()*D7*F1</f>
        <v>1.2500004469552088</v>
      </c>
      <c r="L4" s="9">
        <f>1/(M4*2*PI()*E7*G1)</f>
        <v>111.91937800066712</v>
      </c>
      <c r="M4" s="9">
        <v>159.155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17"/>
      <c r="AB4" s="17"/>
      <c r="AC4" s="17"/>
      <c r="AD4" s="17"/>
      <c r="AH4">
        <v>0</v>
      </c>
      <c r="AI4">
        <f>COS(J6*PI())*I6</f>
        <v>0.2505</v>
      </c>
      <c r="AJ4">
        <f>SIN(J6*PI())*I6</f>
        <v>0</v>
      </c>
    </row>
    <row r="5" spans="1:36" ht="13.8" x14ac:dyDescent="0.25">
      <c r="A5" s="26"/>
      <c r="B5" s="29" t="s">
        <v>15</v>
      </c>
      <c r="C5" s="26"/>
      <c r="D5" s="16" t="s">
        <v>16</v>
      </c>
      <c r="E5" s="16" t="s">
        <v>17</v>
      </c>
      <c r="F5" s="16" t="s">
        <v>18</v>
      </c>
      <c r="G5" s="16" t="s">
        <v>19</v>
      </c>
      <c r="H5" s="16" t="s">
        <v>20</v>
      </c>
      <c r="I5" s="16" t="s">
        <v>19</v>
      </c>
      <c r="J5" s="16" t="s">
        <v>20</v>
      </c>
      <c r="K5" s="17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17"/>
      <c r="AB5" s="17"/>
      <c r="AC5" s="17"/>
      <c r="AD5" s="17"/>
      <c r="AH5">
        <v>0</v>
      </c>
      <c r="AI5">
        <f t="shared" ref="AI5:AI12" si="0">COS(J7*PI())*I7</f>
        <v>0.13561547849121827</v>
      </c>
      <c r="AJ5">
        <f>SIN(J7*PI())*I7</f>
        <v>5.3173591443123078E-16</v>
      </c>
    </row>
    <row r="6" spans="1:36" ht="13.8" x14ac:dyDescent="0.25">
      <c r="A6" s="10">
        <v>1</v>
      </c>
      <c r="B6" s="12">
        <v>60</v>
      </c>
      <c r="C6" s="12">
        <v>5</v>
      </c>
      <c r="D6" s="12">
        <v>1.25</v>
      </c>
      <c r="E6" s="12">
        <v>8.9350000000000005</v>
      </c>
      <c r="F6" s="12">
        <v>15.03</v>
      </c>
      <c r="G6" s="12" t="s">
        <v>49</v>
      </c>
      <c r="H6" s="14">
        <v>0</v>
      </c>
      <c r="I6" s="13">
        <f>F6/B6</f>
        <v>0.2505</v>
      </c>
      <c r="J6" s="13">
        <v>0</v>
      </c>
      <c r="K6" s="28" t="s">
        <v>21</v>
      </c>
      <c r="L6" s="9" t="s">
        <v>22</v>
      </c>
      <c r="M6" s="9">
        <f>1/B13</f>
        <v>1.6666666666666666E-2</v>
      </c>
      <c r="N6" s="9" t="s">
        <v>23</v>
      </c>
      <c r="O6" s="18">
        <f>C13/(C13*C13+K4*K4)</f>
        <v>0.18823528619926996</v>
      </c>
      <c r="P6" s="9" t="s">
        <v>24</v>
      </c>
      <c r="Q6" s="9">
        <v>0</v>
      </c>
      <c r="R6" s="9" t="s">
        <v>25</v>
      </c>
      <c r="S6" s="9">
        <f>K4/(C9*C9+K4*K4)</f>
        <v>4.7058838376365819E-2</v>
      </c>
      <c r="T6" s="9"/>
      <c r="U6" s="9" t="s">
        <v>50</v>
      </c>
      <c r="V6" s="9">
        <f>59.696-56.547</f>
        <v>3.1490000000000009</v>
      </c>
      <c r="W6" s="9">
        <f>72.253-69.113</f>
        <v>3.1400000000000006</v>
      </c>
      <c r="X6" s="9">
        <f>72.263-69.12</f>
        <v>3.1430000000000007</v>
      </c>
      <c r="Y6" s="9">
        <f>72.254-69.125</f>
        <v>3.1290000000000049</v>
      </c>
      <c r="Z6" s="9">
        <f>65.977-62.832</f>
        <v>3.1450000000000031</v>
      </c>
      <c r="AA6" s="17">
        <f>65.964-62.832</f>
        <v>3.1319999999999979</v>
      </c>
      <c r="AB6" s="17">
        <f>65.969-62.825</f>
        <v>3.1439999999999912</v>
      </c>
      <c r="AC6" s="17">
        <f>65.98-62.837</f>
        <v>3.1430000000000007</v>
      </c>
      <c r="AD6" s="17">
        <f>65.964-62.837</f>
        <v>3.1269999999999953</v>
      </c>
      <c r="AH6">
        <v>0</v>
      </c>
      <c r="AI6">
        <f t="shared" si="0"/>
        <v>9.7827613530608495E-2</v>
      </c>
      <c r="AJ6">
        <f t="shared" ref="AJ6:AJ12" si="1">SIN(J8*PI())*I8</f>
        <v>6.9107425663192154E-2</v>
      </c>
    </row>
    <row r="7" spans="1:36" ht="13.8" x14ac:dyDescent="0.25">
      <c r="A7" s="10">
        <v>2</v>
      </c>
      <c r="B7" s="12">
        <v>60</v>
      </c>
      <c r="C7" s="12">
        <v>5</v>
      </c>
      <c r="D7" s="12">
        <v>1.25</v>
      </c>
      <c r="E7" s="12">
        <v>8.9350000000000005</v>
      </c>
      <c r="F7" s="19">
        <v>15.178000000000001</v>
      </c>
      <c r="G7" s="12" t="s">
        <v>52</v>
      </c>
      <c r="H7" s="14">
        <v>-90</v>
      </c>
      <c r="I7" s="13">
        <f>F7/(L4)</f>
        <v>0.13561547849121827</v>
      </c>
      <c r="J7" s="15">
        <f>-PI()/2*K1</f>
        <v>-90</v>
      </c>
      <c r="K7" s="26"/>
      <c r="L7" s="9" t="s">
        <v>26</v>
      </c>
      <c r="M7" s="9">
        <f>M6+O6</f>
        <v>0.20490195286593663</v>
      </c>
      <c r="N7" s="9" t="s">
        <v>27</v>
      </c>
      <c r="O7" s="9">
        <f>S6-Q6</f>
        <v>4.7058838376365819E-2</v>
      </c>
      <c r="P7" s="9" t="s">
        <v>28</v>
      </c>
      <c r="Q7" s="9">
        <f>SQRT(M7*M7+O7*O7)</f>
        <v>0.21023640159974066</v>
      </c>
      <c r="R7" s="9"/>
      <c r="S7" s="9"/>
      <c r="T7" s="9"/>
      <c r="U7" s="9" t="s">
        <v>51</v>
      </c>
      <c r="V7" s="9">
        <v>0</v>
      </c>
      <c r="W7" s="9">
        <f>69.113-67.543</f>
        <v>1.5699999999999932</v>
      </c>
      <c r="X7" s="9">
        <f>69.12-67.862</f>
        <v>1.2580000000000098</v>
      </c>
      <c r="Y7" s="9">
        <f>69.124-69.35</f>
        <v>-0.22599999999999909</v>
      </c>
      <c r="Z7" s="9">
        <f>62.832-62.603</f>
        <v>0.2289999999999992</v>
      </c>
      <c r="AA7" s="17">
        <f>62.832-61.793</f>
        <v>1.0390000000000015</v>
      </c>
      <c r="AB7" s="17">
        <f>62.328-62.826</f>
        <v>-0.49799999999999756</v>
      </c>
      <c r="AC7" s="17">
        <f>63.062-62.838</f>
        <v>0.22399999999999665</v>
      </c>
      <c r="AD7" s="17">
        <f>62.837-62.824</f>
        <v>1.300000000000523E-2</v>
      </c>
      <c r="AH7">
        <v>0</v>
      </c>
      <c r="AI7">
        <f t="shared" si="0"/>
        <v>2.8805885455738749</v>
      </c>
      <c r="AJ7">
        <f t="shared" si="1"/>
        <v>0.329459189406755</v>
      </c>
    </row>
    <row r="8" spans="1:36" ht="13.8" x14ac:dyDescent="0.25">
      <c r="A8" s="10">
        <v>3</v>
      </c>
      <c r="B8" s="12">
        <v>60</v>
      </c>
      <c r="C8" s="12">
        <v>5</v>
      </c>
      <c r="D8" s="12">
        <v>1.25</v>
      </c>
      <c r="E8" s="12">
        <v>8.9350000000000005</v>
      </c>
      <c r="F8" s="12">
        <v>15.21</v>
      </c>
      <c r="G8" s="12" t="s">
        <v>54</v>
      </c>
      <c r="H8" s="14">
        <v>-61.713999999999999</v>
      </c>
      <c r="I8" s="13">
        <f>F8/(SQRT(B8*B8+L4*L4))</f>
        <v>0.11977511532404268</v>
      </c>
      <c r="J8" s="13">
        <f>ATAN(-L4/B9)*K1</f>
        <v>-61.804232417520957</v>
      </c>
      <c r="K8" s="28" t="s">
        <v>29</v>
      </c>
      <c r="L8" s="9" t="s">
        <v>22</v>
      </c>
      <c r="M8" s="9">
        <f>B14/(B11*B13+L4*L4)</f>
        <v>3.7207116803638536E-3</v>
      </c>
      <c r="N8" s="9" t="s">
        <v>23</v>
      </c>
      <c r="O8" s="9">
        <f>C11/(C10*C12+K4*K4)</f>
        <v>0.18823528619926996</v>
      </c>
      <c r="P8" s="9" t="s">
        <v>24</v>
      </c>
      <c r="Q8" s="9">
        <f>L4/(B9*B10+L4*L4)</f>
        <v>6.9403289497689908E-3</v>
      </c>
      <c r="R8" s="9" t="s">
        <v>25</v>
      </c>
      <c r="S8" s="9">
        <f>K4/(C9*C12+K4*K4)</f>
        <v>4.7058838376365819E-2</v>
      </c>
      <c r="T8" s="9"/>
      <c r="U8" s="9" t="s">
        <v>53</v>
      </c>
      <c r="V8" s="9">
        <f t="shared" ref="V8:AD8" si="2">180*(V7/V6)</f>
        <v>0</v>
      </c>
      <c r="W8" s="9">
        <f t="shared" si="2"/>
        <v>89.999999999999588</v>
      </c>
      <c r="X8" s="9">
        <f t="shared" si="2"/>
        <v>72.045816099268762</v>
      </c>
      <c r="Y8" s="9">
        <f t="shared" si="2"/>
        <v>-13.00095877277078</v>
      </c>
      <c r="Z8" s="9">
        <f t="shared" si="2"/>
        <v>13.106518282988812</v>
      </c>
      <c r="AA8" s="9">
        <f t="shared" si="2"/>
        <v>59.712643678161044</v>
      </c>
      <c r="AB8" s="9">
        <f t="shared" si="2"/>
        <v>-28.511450381679328</v>
      </c>
      <c r="AC8" s="9">
        <f t="shared" si="2"/>
        <v>12.828507795100027</v>
      </c>
      <c r="AD8" s="9">
        <f t="shared" si="2"/>
        <v>0.74832107451261431</v>
      </c>
      <c r="AH8">
        <v>0</v>
      </c>
      <c r="AI8">
        <f t="shared" si="0"/>
        <v>-0.21926766352570934</v>
      </c>
      <c r="AJ8">
        <f t="shared" si="1"/>
        <v>-7.2546294982281587E-2</v>
      </c>
    </row>
    <row r="9" spans="1:36" ht="13.8" x14ac:dyDescent="0.25">
      <c r="A9" s="10">
        <v>4</v>
      </c>
      <c r="B9" s="12">
        <v>60</v>
      </c>
      <c r="C9" s="12">
        <v>5</v>
      </c>
      <c r="D9" s="12">
        <v>1.25</v>
      </c>
      <c r="E9" s="12">
        <v>8.9350000000000005</v>
      </c>
      <c r="F9" s="12">
        <v>14.943</v>
      </c>
      <c r="G9" s="12">
        <v>2.9253</v>
      </c>
      <c r="H9" s="14">
        <v>13.000999999999999</v>
      </c>
      <c r="I9" s="13">
        <f>F9/(SQRT(C9*C9+K4*K4))</f>
        <v>2.8993678149513848</v>
      </c>
      <c r="J9" s="13">
        <f>ATAN(K4/C9)*K1</f>
        <v>14.036248288377598</v>
      </c>
      <c r="K9" s="26"/>
      <c r="L9" s="9" t="s">
        <v>26</v>
      </c>
      <c r="M9" s="9">
        <f>M8+O8</f>
        <v>0.19195599787963383</v>
      </c>
      <c r="N9" s="9" t="s">
        <v>27</v>
      </c>
      <c r="O9" s="9">
        <f>S8-Q8</f>
        <v>4.0118509426596831E-2</v>
      </c>
      <c r="P9" s="9" t="s">
        <v>28</v>
      </c>
      <c r="Q9" s="9">
        <f>SQRT(M9*M9+O9*O9)</f>
        <v>0.19610354387562179</v>
      </c>
      <c r="R9" s="9"/>
      <c r="S9" s="9"/>
      <c r="T9" s="9"/>
      <c r="U9" s="9"/>
      <c r="V9" s="9"/>
      <c r="W9" s="9"/>
      <c r="X9" s="9"/>
      <c r="Y9" s="9"/>
      <c r="Z9" s="9"/>
      <c r="AA9" s="17"/>
      <c r="AB9" s="17"/>
      <c r="AC9" s="17"/>
      <c r="AD9" s="17"/>
      <c r="AH9">
        <v>0</v>
      </c>
      <c r="AI9">
        <f t="shared" si="0"/>
        <v>2.6393617198505651E-2</v>
      </c>
      <c r="AJ9">
        <f t="shared" si="1"/>
        <v>0.11339629597980064</v>
      </c>
    </row>
    <row r="10" spans="1:36" ht="13.8" x14ac:dyDescent="0.25">
      <c r="A10" s="10">
        <v>5</v>
      </c>
      <c r="B10" s="12">
        <v>60</v>
      </c>
      <c r="C10" s="12">
        <v>5</v>
      </c>
      <c r="D10" s="12">
        <v>1.25</v>
      </c>
      <c r="E10" s="12">
        <v>8.9350000000000005</v>
      </c>
      <c r="F10" s="12">
        <v>15.015000000000001</v>
      </c>
      <c r="G10" s="12" t="s">
        <v>55</v>
      </c>
      <c r="H10" s="14">
        <v>0</v>
      </c>
      <c r="I10" s="13">
        <f>F10/(SQRT((B10+C10)*(B10+C10)+K4*K4))</f>
        <v>0.23095729731636519</v>
      </c>
      <c r="J10" s="13">
        <f>ATAN(K4/(B10+C10))*K1</f>
        <v>1.1017065090399123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17"/>
      <c r="AB10" s="17"/>
      <c r="AC10" s="17"/>
      <c r="AD10" s="17"/>
      <c r="AH10">
        <v>0</v>
      </c>
      <c r="AI10">
        <f t="shared" si="0"/>
        <v>0.23440035090836425</v>
      </c>
      <c r="AJ10">
        <f t="shared" si="1"/>
        <v>-0.16558519871036684</v>
      </c>
    </row>
    <row r="11" spans="1:36" ht="13.8" x14ac:dyDescent="0.25">
      <c r="A11" s="10">
        <v>6</v>
      </c>
      <c r="B11" s="12">
        <v>60</v>
      </c>
      <c r="C11" s="12">
        <v>5</v>
      </c>
      <c r="D11" s="12">
        <v>1.25</v>
      </c>
      <c r="E11" s="12">
        <v>8.9350000000000005</v>
      </c>
      <c r="F11" s="12">
        <v>14.943</v>
      </c>
      <c r="G11" s="12" t="s">
        <v>56</v>
      </c>
      <c r="H11" s="14">
        <f>AA8</f>
        <v>59.712643678161044</v>
      </c>
      <c r="I11" s="13">
        <f>F11/(SQRT((B11+C11)*(B11+C11)+(K4-L4)*(K4-L4)))</f>
        <v>0.11642741503082427</v>
      </c>
      <c r="J11" s="13">
        <f>ATAN((K4-L4)/(B11+C11))*$K$1</f>
        <v>-59.572792350145249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17"/>
      <c r="AB11" s="17"/>
      <c r="AC11" s="17"/>
      <c r="AD11" s="17"/>
      <c r="AH11">
        <v>0</v>
      </c>
      <c r="AI11">
        <f t="shared" si="0"/>
        <v>-3.13731724896199</v>
      </c>
      <c r="AJ11">
        <f>SIN(J13*PI())*I13</f>
        <v>0.65441856572572277</v>
      </c>
    </row>
    <row r="12" spans="1:36" ht="13.8" x14ac:dyDescent="0.25">
      <c r="A12" s="10">
        <v>7</v>
      </c>
      <c r="B12" s="12">
        <v>60</v>
      </c>
      <c r="C12" s="12">
        <v>5</v>
      </c>
      <c r="D12" s="12">
        <v>1.25</v>
      </c>
      <c r="E12" s="12">
        <v>8.9350000000000005</v>
      </c>
      <c r="F12" s="12">
        <v>15.176</v>
      </c>
      <c r="G12" s="12" t="s">
        <v>57</v>
      </c>
      <c r="H12" s="14">
        <f>AB8</f>
        <v>-28.511450381679328</v>
      </c>
      <c r="I12" s="13">
        <f>F12*(SQRT(1/(B12*B12)+1/(L4*L4)))</f>
        <v>0.28698777419589838</v>
      </c>
      <c r="J12" s="13">
        <f>ATAN(B10/-L4)*$K$1</f>
        <v>-28.19576758247905</v>
      </c>
      <c r="K12" s="9"/>
      <c r="L12" s="9"/>
      <c r="M12" s="9">
        <f>1.134/3.307*180</f>
        <v>61.723616570910181</v>
      </c>
      <c r="N12" s="9"/>
      <c r="O12" s="9"/>
      <c r="P12" s="9">
        <f>180*3/48</f>
        <v>11.25</v>
      </c>
      <c r="Q12" s="9"/>
      <c r="R12" s="9"/>
      <c r="S12" s="9"/>
      <c r="T12" s="9"/>
      <c r="U12" s="9"/>
      <c r="V12" s="9"/>
      <c r="W12" s="9"/>
      <c r="X12" s="9"/>
      <c r="Y12" s="9"/>
      <c r="Z12" s="9"/>
      <c r="AA12" s="17"/>
      <c r="AB12" s="17"/>
      <c r="AC12" s="17"/>
      <c r="AD12" s="17"/>
      <c r="AH12">
        <v>0</v>
      </c>
      <c r="AI12">
        <f t="shared" si="0"/>
        <v>2.3964700658634022</v>
      </c>
      <c r="AJ12">
        <f t="shared" si="1"/>
        <v>-1.6864253215543361</v>
      </c>
    </row>
    <row r="13" spans="1:36" ht="13.8" x14ac:dyDescent="0.25">
      <c r="A13" s="10">
        <v>8</v>
      </c>
      <c r="B13" s="12">
        <v>60</v>
      </c>
      <c r="C13" s="12">
        <v>5</v>
      </c>
      <c r="D13" s="12">
        <v>1.25</v>
      </c>
      <c r="E13" s="12">
        <v>8.9350000000000005</v>
      </c>
      <c r="F13" s="12">
        <v>15.244</v>
      </c>
      <c r="G13" s="12">
        <v>3.1863999999999999</v>
      </c>
      <c r="H13" s="14">
        <f>AC8</f>
        <v>12.828507795100027</v>
      </c>
      <c r="I13" s="13">
        <f>F13*Q7</f>
        <v>3.2048437059864465</v>
      </c>
      <c r="J13" s="13">
        <f>ATAN(O7/M7)*$K$1</f>
        <v>12.934541779337684</v>
      </c>
      <c r="K13" s="17"/>
      <c r="L13" s="17"/>
      <c r="M13" s="17"/>
      <c r="N13" s="17"/>
      <c r="O13" s="17"/>
      <c r="P13" s="17"/>
      <c r="Q13" s="17"/>
      <c r="R13" s="9"/>
      <c r="S13" s="9"/>
      <c r="T13" s="9"/>
      <c r="U13" s="9"/>
      <c r="V13" s="9"/>
      <c r="W13" s="9"/>
      <c r="X13" s="9"/>
      <c r="Y13" s="9"/>
      <c r="Z13" s="9"/>
      <c r="AA13" s="17"/>
      <c r="AB13" s="17"/>
      <c r="AC13" s="17"/>
      <c r="AD13" s="17"/>
    </row>
    <row r="14" spans="1:36" ht="13.8" x14ac:dyDescent="0.25">
      <c r="A14" s="10">
        <v>9</v>
      </c>
      <c r="B14" s="12">
        <v>60</v>
      </c>
      <c r="C14" s="12">
        <v>5</v>
      </c>
      <c r="D14" s="12">
        <v>1.25</v>
      </c>
      <c r="E14" s="12">
        <v>8.9350000000000005</v>
      </c>
      <c r="F14" s="12">
        <v>14.943</v>
      </c>
      <c r="G14" s="12">
        <v>2.9525000000000001</v>
      </c>
      <c r="H14" s="14">
        <v>11.25</v>
      </c>
      <c r="I14" s="13">
        <f>F14*Q9</f>
        <v>2.9303752561334164</v>
      </c>
      <c r="J14" s="13">
        <f>ATAN(O9/M9)*$K$1</f>
        <v>11.804808221001892</v>
      </c>
      <c r="K14" s="9"/>
      <c r="L14" s="17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17"/>
      <c r="AB14" s="17"/>
      <c r="AC14" s="17"/>
      <c r="AD14" s="17"/>
    </row>
    <row r="15" spans="1:36" ht="13.8" x14ac:dyDescent="0.25">
      <c r="A15" s="17"/>
      <c r="B15" s="19"/>
      <c r="C15" s="19"/>
      <c r="D15" s="19"/>
      <c r="E15" s="19"/>
      <c r="F15" s="19"/>
      <c r="G15" s="19"/>
      <c r="H15" s="20"/>
      <c r="I15" s="21"/>
      <c r="J15" s="21"/>
      <c r="K15" s="9"/>
      <c r="L15" s="9"/>
      <c r="M15" s="9"/>
      <c r="N15" s="9" t="s">
        <v>30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17"/>
      <c r="AB15" s="17"/>
      <c r="AC15" s="17"/>
      <c r="AD15" s="17"/>
    </row>
    <row r="16" spans="1:36" ht="13.8" x14ac:dyDescent="0.25">
      <c r="A16" s="9" t="s">
        <v>31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12">
        <f>Q22</f>
        <v>16</v>
      </c>
      <c r="O16" s="9"/>
      <c r="P16" s="9" t="s">
        <v>146</v>
      </c>
      <c r="Q16" s="9"/>
      <c r="R16" s="9"/>
      <c r="S16" s="9"/>
      <c r="T16" s="9"/>
      <c r="U16" s="9"/>
      <c r="V16" s="9"/>
      <c r="W16" s="9"/>
      <c r="X16" s="9"/>
      <c r="Y16" s="9"/>
      <c r="Z16" s="9"/>
      <c r="AA16" s="17"/>
      <c r="AB16" s="17"/>
      <c r="AC16" s="17"/>
      <c r="AD16" s="17"/>
    </row>
    <row r="17" spans="1:30" ht="13.8" x14ac:dyDescent="0.25">
      <c r="A17" s="25" t="s">
        <v>32</v>
      </c>
      <c r="B17" s="25" t="s">
        <v>63</v>
      </c>
      <c r="C17" s="26"/>
      <c r="D17" s="26"/>
      <c r="E17" s="26"/>
      <c r="F17" s="26"/>
      <c r="G17" s="26"/>
      <c r="H17" s="26"/>
      <c r="I17" s="26"/>
      <c r="J17" s="26"/>
      <c r="K17" s="26"/>
      <c r="L17" s="9"/>
      <c r="M17" s="9" t="s">
        <v>34</v>
      </c>
      <c r="N17" s="9" t="s">
        <v>35</v>
      </c>
      <c r="O17" s="9" t="s">
        <v>36</v>
      </c>
      <c r="P17" s="9">
        <v>11</v>
      </c>
      <c r="Q17" s="9"/>
      <c r="R17" s="9"/>
      <c r="S17" s="9"/>
      <c r="T17" s="9"/>
      <c r="U17" s="9">
        <f>1/SQRT(D6*E6*G1*F1)</f>
        <v>9462.3218300383887</v>
      </c>
      <c r="V17" s="9"/>
      <c r="W17" s="9"/>
      <c r="X17" s="9"/>
      <c r="Y17" s="9"/>
      <c r="Z17" s="9"/>
      <c r="AA17" s="17"/>
      <c r="AB17" s="17"/>
      <c r="AC17" s="17"/>
      <c r="AD17" s="17"/>
    </row>
    <row r="18" spans="1:30" ht="13.8" x14ac:dyDescent="0.25">
      <c r="A18" s="26"/>
      <c r="B18" s="30" t="s">
        <v>37</v>
      </c>
      <c r="C18" s="26"/>
      <c r="D18" s="26"/>
      <c r="E18" s="26"/>
      <c r="F18" s="26"/>
      <c r="G18" s="27" t="s">
        <v>38</v>
      </c>
      <c r="H18" s="26"/>
      <c r="I18" s="26"/>
      <c r="J18" s="26"/>
      <c r="K18" s="26"/>
      <c r="L18" s="9"/>
      <c r="M18" s="9">
        <f>SQRT(D6*F1/E6/G1)</f>
        <v>11.827902287547985</v>
      </c>
      <c r="N18" s="9">
        <f>M18/(N16)</f>
        <v>0.73924389297174908</v>
      </c>
      <c r="O18" s="9">
        <f>K31/15</f>
        <v>0.73633333333333328</v>
      </c>
      <c r="P18" s="9"/>
      <c r="Q18" s="9"/>
      <c r="R18" s="9"/>
      <c r="S18" s="9"/>
      <c r="T18" s="9"/>
      <c r="U18" s="9">
        <f>U17/(2*PI())</f>
        <v>1505.9752923769588</v>
      </c>
      <c r="V18" s="9"/>
      <c r="W18" s="9"/>
      <c r="X18" s="9"/>
      <c r="Y18" s="9"/>
      <c r="Z18" s="9"/>
      <c r="AA18" s="17"/>
      <c r="AB18" s="17"/>
      <c r="AC18" s="17"/>
      <c r="AD18" s="17"/>
    </row>
    <row r="19" spans="1:30" ht="13.8" x14ac:dyDescent="0.25">
      <c r="A19" s="26"/>
      <c r="B19" s="30" t="s">
        <v>159</v>
      </c>
      <c r="C19" s="26"/>
      <c r="D19" s="26"/>
      <c r="E19" s="26"/>
      <c r="F19" s="26"/>
      <c r="G19" s="27" t="s">
        <v>160</v>
      </c>
      <c r="H19" s="26"/>
      <c r="I19" s="26"/>
      <c r="J19" s="26"/>
      <c r="K19" s="26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17"/>
      <c r="AB19" s="17"/>
      <c r="AC19" s="17"/>
      <c r="AD19" s="17"/>
    </row>
    <row r="20" spans="1:30" ht="13.8" x14ac:dyDescent="0.25">
      <c r="A20" s="26"/>
      <c r="B20" s="22" t="s">
        <v>14</v>
      </c>
      <c r="C20" s="16" t="s">
        <v>13</v>
      </c>
      <c r="D20" s="22" t="s">
        <v>39</v>
      </c>
      <c r="E20" s="22" t="s">
        <v>40</v>
      </c>
      <c r="F20" s="22" t="s">
        <v>41</v>
      </c>
      <c r="G20" s="22" t="s">
        <v>14</v>
      </c>
      <c r="H20" s="16" t="s">
        <v>13</v>
      </c>
      <c r="I20" s="22" t="s">
        <v>42</v>
      </c>
      <c r="J20" s="22" t="s">
        <v>40</v>
      </c>
      <c r="K20" s="16" t="s">
        <v>43</v>
      </c>
      <c r="L20" s="9"/>
      <c r="M20" s="9" t="s">
        <v>82</v>
      </c>
      <c r="N20" s="9"/>
      <c r="O20" s="9"/>
      <c r="P20" s="9"/>
      <c r="Q20" s="9"/>
      <c r="R20" s="9"/>
      <c r="S20" s="9"/>
      <c r="T20" s="9" t="s">
        <v>68</v>
      </c>
      <c r="U20" s="9"/>
      <c r="V20" s="9"/>
      <c r="W20" s="9"/>
      <c r="X20" s="9"/>
      <c r="Y20" s="9"/>
      <c r="Z20" s="9"/>
      <c r="AA20" s="17"/>
      <c r="AB20" s="17"/>
      <c r="AC20" s="17"/>
      <c r="AD20" s="17"/>
    </row>
    <row r="21" spans="1:30" ht="13.8" x14ac:dyDescent="0.25">
      <c r="A21" s="10" t="s">
        <v>44</v>
      </c>
      <c r="B21" s="22" t="s">
        <v>20</v>
      </c>
      <c r="C21" s="16" t="s">
        <v>19</v>
      </c>
      <c r="D21" s="29" t="s">
        <v>18</v>
      </c>
      <c r="E21" s="26"/>
      <c r="F21" s="26"/>
      <c r="G21" s="22" t="s">
        <v>20</v>
      </c>
      <c r="H21" s="16" t="s">
        <v>19</v>
      </c>
      <c r="I21" s="29" t="s">
        <v>18</v>
      </c>
      <c r="J21" s="26"/>
      <c r="K21" s="26"/>
      <c r="L21" s="9" t="s">
        <v>53</v>
      </c>
      <c r="M21" s="9" t="s">
        <v>58</v>
      </c>
      <c r="N21" s="9" t="s">
        <v>50</v>
      </c>
      <c r="O21" s="9"/>
      <c r="P21" s="9" t="s">
        <v>13</v>
      </c>
      <c r="Q21" s="9" t="s">
        <v>60</v>
      </c>
      <c r="R21" s="9" t="s">
        <v>61</v>
      </c>
      <c r="S21" s="9" t="s">
        <v>62</v>
      </c>
      <c r="T21" s="9" t="s">
        <v>12</v>
      </c>
      <c r="U21" s="9" t="s">
        <v>5</v>
      </c>
      <c r="V21" s="9" t="s">
        <v>6</v>
      </c>
      <c r="W21" s="9" t="s">
        <v>64</v>
      </c>
      <c r="X21" s="9"/>
      <c r="Y21" s="9"/>
      <c r="Z21" s="9"/>
      <c r="AA21" s="17"/>
      <c r="AB21" s="17"/>
      <c r="AC21" s="17"/>
      <c r="AD21" s="17"/>
    </row>
    <row r="22" spans="1:30" ht="13.8" x14ac:dyDescent="0.25">
      <c r="A22" s="10">
        <f>0.1*$U$18</f>
        <v>150.59752923769588</v>
      </c>
      <c r="B22" s="9">
        <f>ATAN(R22/Q22)*180/PI()</f>
        <v>-82.219303194207868</v>
      </c>
      <c r="C22" s="9">
        <f>P22</f>
        <v>0.12438200811088689</v>
      </c>
      <c r="D22" s="9">
        <f>C22*$P$17</f>
        <v>1.3682020892197557</v>
      </c>
      <c r="E22" s="9">
        <f>C22*W22</f>
        <v>0.63907413703720695</v>
      </c>
      <c r="F22" s="9">
        <f>V22*C22</f>
        <v>14.71178238264571</v>
      </c>
      <c r="G22" s="9">
        <f>L22</f>
        <v>-82.263922518159816</v>
      </c>
      <c r="H22" s="9" t="s">
        <v>59</v>
      </c>
      <c r="I22" s="9" t="s">
        <v>65</v>
      </c>
      <c r="J22" s="9" t="s">
        <v>67</v>
      </c>
      <c r="K22" s="9" t="s">
        <v>66</v>
      </c>
      <c r="L22" s="9">
        <f>-180*M22/N22</f>
        <v>-82.263922518159816</v>
      </c>
      <c r="M22" s="9">
        <v>1.51</v>
      </c>
      <c r="N22" s="9">
        <v>3.3039999999999998</v>
      </c>
      <c r="O22" s="9"/>
      <c r="P22" s="9">
        <f>T22/S22</f>
        <v>0.12438200811088689</v>
      </c>
      <c r="Q22" s="12">
        <f>$P$17+$C$6</f>
        <v>16</v>
      </c>
      <c r="R22" s="9">
        <f>U22-V22</f>
        <v>-117.09623264672506</v>
      </c>
      <c r="S22" s="9">
        <f>SQRT(Q22*Q22+R22*R22)</f>
        <v>118.18429548825833</v>
      </c>
      <c r="T22" s="9">
        <v>14.7</v>
      </c>
      <c r="U22" s="9">
        <f>A22*2*PI()*$D$6*$F$1</f>
        <v>1.1827902287547987</v>
      </c>
      <c r="V22" s="9">
        <f>1/(A22*2*PI()*$E$7*$G$1)</f>
        <v>118.27902287547985</v>
      </c>
      <c r="W22" s="9">
        <f>SQRT($C$6*$C$6+U22*U22)</f>
        <v>5.1379950102387051</v>
      </c>
      <c r="X22" s="9"/>
      <c r="Y22" s="9"/>
      <c r="Z22" s="9"/>
      <c r="AA22" s="17"/>
      <c r="AB22" s="17"/>
      <c r="AC22" s="17"/>
      <c r="AD22" s="17"/>
    </row>
    <row r="23" spans="1:30" ht="13.8" x14ac:dyDescent="0.25">
      <c r="A23" s="10">
        <f>0.2*U18</f>
        <v>301.19505847539176</v>
      </c>
      <c r="B23" s="9">
        <f>ATAN(R23/Q23)*180/PI()</f>
        <v>-74.261129380485059</v>
      </c>
      <c r="C23" s="9">
        <f>P23</f>
        <v>0.25426624325377567</v>
      </c>
      <c r="D23" s="9">
        <f>C23*$P$17</f>
        <v>2.7969286757915324</v>
      </c>
      <c r="E23" s="9">
        <f>C23*W23</f>
        <v>1.4064387582276259</v>
      </c>
      <c r="F23" s="9">
        <f>V23*C23</f>
        <v>15.037181401137829</v>
      </c>
      <c r="G23" s="9">
        <f>L23</f>
        <v>-73.823884197828718</v>
      </c>
      <c r="H23" s="9" t="s">
        <v>72</v>
      </c>
      <c r="I23" s="9" t="s">
        <v>69</v>
      </c>
      <c r="J23" s="9" t="s">
        <v>71</v>
      </c>
      <c r="K23" s="9" t="s">
        <v>70</v>
      </c>
      <c r="L23" s="9">
        <f>-180*M23/N23</f>
        <v>-73.823884197828718</v>
      </c>
      <c r="M23" s="9">
        <v>0.68</v>
      </c>
      <c r="N23" s="9">
        <v>1.6579999999999999</v>
      </c>
      <c r="O23" s="9"/>
      <c r="P23" s="9">
        <f>T23/S23</f>
        <v>0.25426624325377567</v>
      </c>
      <c r="Q23" s="12">
        <f>$P$17+$C$6</f>
        <v>16</v>
      </c>
      <c r="R23" s="9">
        <f>U23-V23</f>
        <v>-56.773930980230332</v>
      </c>
      <c r="S23" s="9">
        <f>SQRT(Q23*Q23+R23*R23)</f>
        <v>58.985415476607074</v>
      </c>
      <c r="T23" s="9">
        <v>14.997999999999999</v>
      </c>
      <c r="U23" s="9">
        <f>A23*2*PI()*$D$6*$F$1</f>
        <v>2.3655804575095973</v>
      </c>
      <c r="V23" s="9">
        <f>1/(A23*2*PI()*$E$7*$G$1)</f>
        <v>59.139511437739927</v>
      </c>
      <c r="W23" s="9">
        <f>SQRT($C$6*$C$6+U23*U23)</f>
        <v>5.5313624814281805</v>
      </c>
      <c r="X23" s="9"/>
      <c r="Y23" s="9"/>
      <c r="Z23" s="9"/>
      <c r="AA23" s="17"/>
      <c r="AB23" s="17"/>
      <c r="AC23" s="17"/>
      <c r="AD23" s="17"/>
    </row>
    <row r="24" spans="1:30" ht="13.8" x14ac:dyDescent="0.25">
      <c r="A24" s="10">
        <f>0.3*U18</f>
        <v>451.79258771308764</v>
      </c>
      <c r="B24" s="9">
        <f>ATAN(R24/Q24)*180/PI()</f>
        <v>-65.965226162569124</v>
      </c>
      <c r="C24" s="9">
        <f>P24</f>
        <v>0.38147894718071879</v>
      </c>
      <c r="D24" s="9">
        <f>C24*$P$17</f>
        <v>4.1962684189879065</v>
      </c>
      <c r="E24" s="9">
        <f>C24*W24</f>
        <v>2.338902600119003</v>
      </c>
      <c r="F24" s="9">
        <f>V24*C24</f>
        <v>15.040319040034069</v>
      </c>
      <c r="G24" s="9">
        <f>L24</f>
        <v>-66.702997275204353</v>
      </c>
      <c r="H24" s="9" t="s">
        <v>73</v>
      </c>
      <c r="I24" s="9" t="s">
        <v>74</v>
      </c>
      <c r="J24" s="9" t="s">
        <v>76</v>
      </c>
      <c r="K24" s="9" t="s">
        <v>75</v>
      </c>
      <c r="L24" s="9">
        <f>-180*M24/N24</f>
        <v>-66.702997275204353</v>
      </c>
      <c r="M24" s="9">
        <v>0.40799999999999997</v>
      </c>
      <c r="N24" s="9">
        <v>1.101</v>
      </c>
      <c r="O24" s="9"/>
      <c r="P24" s="9">
        <f>T24/S24</f>
        <v>0.38147894718071879</v>
      </c>
      <c r="Q24" s="12">
        <f>$P$17+$C$6</f>
        <v>16</v>
      </c>
      <c r="R24" s="9">
        <f>U24-V24</f>
        <v>-35.877970272228886</v>
      </c>
      <c r="S24" s="9">
        <f>SQRT(Q24*Q24+R24*R24)</f>
        <v>39.283950295953431</v>
      </c>
      <c r="T24" s="9">
        <v>14.986000000000001</v>
      </c>
      <c r="U24" s="9">
        <f>A24*2*PI()*$D$6*$F$1</f>
        <v>3.5483706862643958</v>
      </c>
      <c r="V24" s="9">
        <f>1/(A24*2*PI()*$E$7*$G$1)</f>
        <v>39.426340958493284</v>
      </c>
      <c r="W24" s="9">
        <f>SQRT($C$6*$C$6+U24*U24)</f>
        <v>6.131144634335457</v>
      </c>
      <c r="X24" s="9"/>
      <c r="Y24" s="9"/>
      <c r="Z24" s="9"/>
      <c r="AA24" s="17"/>
      <c r="AB24" s="17"/>
      <c r="AC24" s="17"/>
      <c r="AD24" s="17"/>
    </row>
    <row r="25" spans="1:30" ht="13.8" x14ac:dyDescent="0.25">
      <c r="A25" s="10">
        <f>0.4*U18</f>
        <v>602.39011695078352</v>
      </c>
      <c r="B25" s="9">
        <f t="shared" ref="B25:B40" si="3">ATAN(R25/Q25)*180/PI()</f>
        <v>-57.212033001736721</v>
      </c>
      <c r="C25" s="9">
        <f t="shared" ref="C25:C40" si="4">P25</f>
        <v>0.50687363967810439</v>
      </c>
      <c r="D25" s="9">
        <f t="shared" ref="D25:D40" si="5">C25*$P$17</f>
        <v>5.5756100364591479</v>
      </c>
      <c r="E25" s="9">
        <f t="shared" ref="E25:E40" si="6">C25*W25</f>
        <v>3.4891129798368392</v>
      </c>
      <c r="F25" s="9">
        <f t="shared" ref="F25:F40" si="7">V25*C25</f>
        <v>14.988129705616061</v>
      </c>
      <c r="G25" s="9">
        <f t="shared" ref="G25:G41" si="8">L25</f>
        <v>-57.243047158403876</v>
      </c>
      <c r="H25" s="9" t="s">
        <v>80</v>
      </c>
      <c r="I25" s="9" t="s">
        <v>77</v>
      </c>
      <c r="J25" s="9" t="s">
        <v>79</v>
      </c>
      <c r="K25" s="9" t="s">
        <v>78</v>
      </c>
      <c r="L25" s="9">
        <f t="shared" ref="L25:L31" si="9">-180*M25/N25</f>
        <v>-57.243047158403876</v>
      </c>
      <c r="M25" s="9">
        <v>0.26300000000000001</v>
      </c>
      <c r="N25" s="9">
        <v>0.82699999999999996</v>
      </c>
      <c r="O25" s="9"/>
      <c r="P25" s="9">
        <f t="shared" ref="P25:P40" si="10">T25/S25</f>
        <v>0.50687363967810439</v>
      </c>
      <c r="Q25" s="12">
        <f t="shared" ref="Q25:Q40" si="11">$P$17+$C$6</f>
        <v>16</v>
      </c>
      <c r="R25" s="9">
        <f t="shared" ref="R25:R40" si="12">U25-V25</f>
        <v>-24.838594803850768</v>
      </c>
      <c r="S25" s="9">
        <f t="shared" ref="S25:S40" si="13">SQRT(Q25*Q25+R25*R25)</f>
        <v>29.545825285983845</v>
      </c>
      <c r="T25" s="9">
        <v>14.976000000000001</v>
      </c>
      <c r="U25" s="9">
        <f t="shared" ref="U25:U40" si="14">A25*2*PI()*$D$6*$F$1</f>
        <v>4.7311609150191947</v>
      </c>
      <c r="V25" s="9">
        <f t="shared" ref="V25:V40" si="15">1/(A25*2*PI()*$E$7*$G$1)</f>
        <v>29.569755718869963</v>
      </c>
      <c r="W25" s="9">
        <f t="shared" ref="W25:W40" si="16">SQRT($C$6*$C$6+U25*U25)</f>
        <v>6.883595252758929</v>
      </c>
      <c r="X25" s="9"/>
      <c r="Y25" s="9"/>
      <c r="Z25" s="9"/>
      <c r="AA25" s="17"/>
      <c r="AB25" s="17"/>
      <c r="AC25" s="17"/>
      <c r="AD25" s="17"/>
    </row>
    <row r="26" spans="1:30" ht="13.8" x14ac:dyDescent="0.25">
      <c r="A26" s="10">
        <f>0.5*U18</f>
        <v>752.9876461884794</v>
      </c>
      <c r="B26" s="9">
        <f t="shared" si="3"/>
        <v>-47.955152947748843</v>
      </c>
      <c r="C26" s="9">
        <f t="shared" si="4"/>
        <v>0.62685050886664029</v>
      </c>
      <c r="D26" s="9">
        <f t="shared" si="5"/>
        <v>6.8953555975330429</v>
      </c>
      <c r="E26" s="9">
        <f t="shared" si="6"/>
        <v>4.8545441212394289</v>
      </c>
      <c r="F26" s="9">
        <f t="shared" si="7"/>
        <v>14.828653135548707</v>
      </c>
      <c r="G26" s="9">
        <f t="shared" si="8"/>
        <v>-47.496251874062963</v>
      </c>
      <c r="H26" s="9" t="s">
        <v>81</v>
      </c>
      <c r="I26" s="9" t="s">
        <v>83</v>
      </c>
      <c r="J26" s="9" t="s">
        <v>85</v>
      </c>
      <c r="K26" s="9" t="s">
        <v>84</v>
      </c>
      <c r="L26" s="9">
        <f t="shared" si="9"/>
        <v>-47.496251874062963</v>
      </c>
      <c r="M26" s="9">
        <v>0.17599999999999999</v>
      </c>
      <c r="N26" s="9">
        <v>0.66700000000000004</v>
      </c>
      <c r="O26" s="9"/>
      <c r="P26" s="9">
        <f t="shared" si="10"/>
        <v>0.62685050886664029</v>
      </c>
      <c r="Q26" s="12">
        <f t="shared" si="11"/>
        <v>16</v>
      </c>
      <c r="R26" s="9">
        <f t="shared" si="12"/>
        <v>-17.741853431321978</v>
      </c>
      <c r="S26" s="9">
        <f t="shared" si="13"/>
        <v>23.890863592145667</v>
      </c>
      <c r="T26" s="9">
        <v>14.976000000000001</v>
      </c>
      <c r="U26" s="9">
        <f t="shared" si="14"/>
        <v>5.9139511437739927</v>
      </c>
      <c r="V26" s="9">
        <f t="shared" si="15"/>
        <v>23.655804575095971</v>
      </c>
      <c r="W26" s="9">
        <f t="shared" si="16"/>
        <v>7.7443410391682592</v>
      </c>
      <c r="X26" s="9"/>
      <c r="Y26" s="9"/>
      <c r="Z26" s="9"/>
      <c r="AA26" s="17"/>
      <c r="AB26" s="17"/>
      <c r="AC26" s="17"/>
      <c r="AD26" s="17"/>
    </row>
    <row r="27" spans="1:30" ht="13.8" x14ac:dyDescent="0.25">
      <c r="A27" s="10">
        <f>0.6*U18</f>
        <v>903.58517542617528</v>
      </c>
      <c r="B27" s="9">
        <f t="shared" si="3"/>
        <v>-38.256726732157674</v>
      </c>
      <c r="C27" s="9">
        <f t="shared" si="4"/>
        <v>0.73528307672387705</v>
      </c>
      <c r="D27" s="9">
        <f t="shared" si="5"/>
        <v>8.0881138439626472</v>
      </c>
      <c r="E27" s="9">
        <f t="shared" si="6"/>
        <v>6.383160817909828</v>
      </c>
      <c r="F27" s="9">
        <f t="shared" si="7"/>
        <v>14.494760641962777</v>
      </c>
      <c r="G27" s="9">
        <f t="shared" si="8"/>
        <v>-37.230215827338128</v>
      </c>
      <c r="H27" s="9" t="s">
        <v>89</v>
      </c>
      <c r="I27" s="9" t="s">
        <v>86</v>
      </c>
      <c r="J27" s="9" t="s">
        <v>88</v>
      </c>
      <c r="K27" s="9" t="s">
        <v>87</v>
      </c>
      <c r="L27" s="9">
        <f t="shared" si="9"/>
        <v>-37.230215827338128</v>
      </c>
      <c r="M27" s="9">
        <v>0.115</v>
      </c>
      <c r="N27" s="9">
        <v>0.55600000000000005</v>
      </c>
      <c r="O27" s="9"/>
      <c r="P27" s="9">
        <f t="shared" si="10"/>
        <v>0.73528307672387705</v>
      </c>
      <c r="Q27" s="12">
        <f t="shared" si="11"/>
        <v>16</v>
      </c>
      <c r="R27" s="9">
        <f t="shared" si="12"/>
        <v>-12.616429106717851</v>
      </c>
      <c r="S27" s="9">
        <f t="shared" si="13"/>
        <v>20.375825956383643</v>
      </c>
      <c r="T27" s="9">
        <v>14.981999999999999</v>
      </c>
      <c r="U27" s="9">
        <f t="shared" si="14"/>
        <v>7.0967413725287916</v>
      </c>
      <c r="V27" s="9">
        <f t="shared" si="15"/>
        <v>19.713170479246642</v>
      </c>
      <c r="W27" s="9">
        <f t="shared" si="16"/>
        <v>8.6812290667025849</v>
      </c>
      <c r="X27" s="9"/>
      <c r="Y27" s="9"/>
      <c r="Z27" s="9"/>
      <c r="AA27" s="17"/>
      <c r="AB27" s="17"/>
      <c r="AC27" s="17"/>
      <c r="AD27" s="17"/>
    </row>
    <row r="28" spans="1:30" ht="13.8" x14ac:dyDescent="0.25">
      <c r="A28" s="10">
        <f>0.7*U18</f>
        <v>1054.1827046638712</v>
      </c>
      <c r="B28" s="9">
        <f t="shared" si="3"/>
        <v>-28.306549283570543</v>
      </c>
      <c r="C28" s="9">
        <f t="shared" si="4"/>
        <v>0.82429618014568939</v>
      </c>
      <c r="D28" s="9">
        <f t="shared" si="5"/>
        <v>9.0672579816025838</v>
      </c>
      <c r="E28" s="9">
        <f t="shared" si="6"/>
        <v>7.9727230278056407</v>
      </c>
      <c r="F28" s="9">
        <f t="shared" si="7"/>
        <v>13.928135249660381</v>
      </c>
      <c r="G28" s="9">
        <f t="shared" si="8"/>
        <v>-27.983193277310921</v>
      </c>
      <c r="H28" s="17" t="s">
        <v>90</v>
      </c>
      <c r="I28" s="17" t="s">
        <v>91</v>
      </c>
      <c r="J28" s="17" t="s">
        <v>93</v>
      </c>
      <c r="K28" s="9" t="s">
        <v>92</v>
      </c>
      <c r="L28" s="9">
        <f t="shared" si="9"/>
        <v>-27.983193277310921</v>
      </c>
      <c r="M28" s="9">
        <v>7.3999999999999996E-2</v>
      </c>
      <c r="N28" s="9">
        <v>0.47599999999999998</v>
      </c>
      <c r="O28" s="9"/>
      <c r="P28" s="9">
        <f t="shared" si="10"/>
        <v>0.82429618014568939</v>
      </c>
      <c r="Q28" s="12">
        <f t="shared" si="11"/>
        <v>16</v>
      </c>
      <c r="R28" s="9">
        <f t="shared" si="12"/>
        <v>-8.6174716666421034</v>
      </c>
      <c r="S28" s="9">
        <f t="shared" si="13"/>
        <v>18.173079483823855</v>
      </c>
      <c r="T28" s="9">
        <v>14.98</v>
      </c>
      <c r="U28" s="9">
        <f t="shared" si="14"/>
        <v>8.2795316012835904</v>
      </c>
      <c r="V28" s="9">
        <f t="shared" si="15"/>
        <v>16.897003267925694</v>
      </c>
      <c r="W28" s="9">
        <f t="shared" si="16"/>
        <v>9.6721581633394322</v>
      </c>
      <c r="X28" s="9"/>
      <c r="Y28" s="9"/>
      <c r="Z28" s="9"/>
      <c r="AA28" s="17"/>
      <c r="AB28" s="17"/>
      <c r="AC28" s="17"/>
      <c r="AD28" s="17"/>
    </row>
    <row r="29" spans="1:30" ht="13.8" x14ac:dyDescent="0.25">
      <c r="A29" s="10">
        <f>0.8*U18</f>
        <v>1204.780233901567</v>
      </c>
      <c r="B29" s="9">
        <f t="shared" si="3"/>
        <v>-18.400207767705737</v>
      </c>
      <c r="C29" s="9">
        <f t="shared" si="4"/>
        <v>0.88921435975806562</v>
      </c>
      <c r="D29" s="9">
        <f t="shared" si="5"/>
        <v>9.7813579573387219</v>
      </c>
      <c r="E29" s="9">
        <f t="shared" si="6"/>
        <v>9.5164855106645803</v>
      </c>
      <c r="F29" s="9">
        <f t="shared" si="7"/>
        <v>13.146925699878677</v>
      </c>
      <c r="G29" s="9">
        <f t="shared" si="8"/>
        <v>-18.216867469879521</v>
      </c>
      <c r="H29" s="17" t="s">
        <v>97</v>
      </c>
      <c r="I29" s="17" t="s">
        <v>94</v>
      </c>
      <c r="J29" s="17" t="s">
        <v>96</v>
      </c>
      <c r="K29" s="9" t="s">
        <v>95</v>
      </c>
      <c r="L29" s="9">
        <f t="shared" si="9"/>
        <v>-18.216867469879521</v>
      </c>
      <c r="M29" s="9">
        <v>4.2000000000000003E-2</v>
      </c>
      <c r="N29" s="9">
        <v>0.41499999999999998</v>
      </c>
      <c r="O29" s="9"/>
      <c r="P29" s="9">
        <f t="shared" si="10"/>
        <v>0.88921435975806562</v>
      </c>
      <c r="Q29" s="12">
        <f t="shared" si="11"/>
        <v>16</v>
      </c>
      <c r="R29" s="9">
        <f t="shared" si="12"/>
        <v>-5.3225560293965923</v>
      </c>
      <c r="S29" s="9">
        <f t="shared" si="13"/>
        <v>16.862075871198837</v>
      </c>
      <c r="T29" s="9">
        <v>14.994</v>
      </c>
      <c r="U29" s="9">
        <f t="shared" si="14"/>
        <v>9.4623218300383893</v>
      </c>
      <c r="V29" s="9">
        <f t="shared" si="15"/>
        <v>14.784877859434982</v>
      </c>
      <c r="W29" s="9">
        <f t="shared" si="16"/>
        <v>10.702127564891994</v>
      </c>
      <c r="X29" s="9"/>
      <c r="Y29" s="9"/>
      <c r="Z29" s="9"/>
      <c r="AA29" s="17"/>
      <c r="AB29" s="17"/>
      <c r="AC29" s="17"/>
      <c r="AD29" s="17"/>
    </row>
    <row r="30" spans="1:30" ht="13.8" x14ac:dyDescent="0.25">
      <c r="A30" s="10">
        <f>0.9*U18</f>
        <v>1355.3777631392629</v>
      </c>
      <c r="B30" s="9">
        <f t="shared" si="3"/>
        <v>-8.8701774931310595</v>
      </c>
      <c r="C30" s="9">
        <f t="shared" si="4"/>
        <v>0.92560846498173255</v>
      </c>
      <c r="D30" s="9">
        <f t="shared" si="5"/>
        <v>10.181693114799058</v>
      </c>
      <c r="E30" s="9">
        <f t="shared" si="6"/>
        <v>10.8859745055176</v>
      </c>
      <c r="F30" s="9">
        <f t="shared" si="7"/>
        <v>12.164451644812459</v>
      </c>
      <c r="G30" s="9">
        <f t="shared" si="8"/>
        <v>-8.337874659400546</v>
      </c>
      <c r="H30" s="17" t="s">
        <v>98</v>
      </c>
      <c r="I30" s="17" t="s">
        <v>99</v>
      </c>
      <c r="J30" s="17" t="s">
        <v>101</v>
      </c>
      <c r="K30" s="9" t="s">
        <v>100</v>
      </c>
      <c r="L30" s="9">
        <f t="shared" si="9"/>
        <v>-8.337874659400546</v>
      </c>
      <c r="M30" s="9">
        <v>1.7000000000000001E-2</v>
      </c>
      <c r="N30" s="9">
        <v>0.36699999999999999</v>
      </c>
      <c r="O30" s="9"/>
      <c r="P30" s="9">
        <f t="shared" si="10"/>
        <v>0.92560846498173255</v>
      </c>
      <c r="Q30" s="12">
        <f t="shared" si="11"/>
        <v>16</v>
      </c>
      <c r="R30" s="9">
        <f t="shared" si="12"/>
        <v>-2.497001594037906</v>
      </c>
      <c r="S30" s="9">
        <f t="shared" si="13"/>
        <v>16.193672127118909</v>
      </c>
      <c r="T30" s="9">
        <v>14.989000000000001</v>
      </c>
      <c r="U30" s="9">
        <f t="shared" si="14"/>
        <v>10.645112058793188</v>
      </c>
      <c r="V30" s="9">
        <f t="shared" si="15"/>
        <v>13.142113652831094</v>
      </c>
      <c r="W30" s="9">
        <f t="shared" si="16"/>
        <v>11.760884777271826</v>
      </c>
      <c r="X30" s="9"/>
      <c r="Y30" s="9"/>
      <c r="Z30" s="9"/>
      <c r="AA30" s="17"/>
      <c r="AB30" s="17"/>
      <c r="AC30" s="17"/>
      <c r="AD30" s="17"/>
    </row>
    <row r="31" spans="1:30" ht="13.8" x14ac:dyDescent="0.25">
      <c r="A31" s="10">
        <f>1*U18</f>
        <v>1505.9752923769588</v>
      </c>
      <c r="B31" s="9">
        <f t="shared" si="3"/>
        <v>0</v>
      </c>
      <c r="C31" s="9">
        <f t="shared" si="4"/>
        <v>0.93668750000000001</v>
      </c>
      <c r="D31" s="9">
        <f t="shared" si="5"/>
        <v>10.3035625</v>
      </c>
      <c r="E31" s="9">
        <f t="shared" si="6"/>
        <v>12.028295655054624</v>
      </c>
      <c r="F31" s="9">
        <f t="shared" si="7"/>
        <v>11.079048223967604</v>
      </c>
      <c r="G31" s="9">
        <f t="shared" si="8"/>
        <v>0</v>
      </c>
      <c r="H31" s="17" t="s">
        <v>104</v>
      </c>
      <c r="I31" s="17" t="s">
        <v>102</v>
      </c>
      <c r="J31" s="17" t="s">
        <v>103</v>
      </c>
      <c r="K31" s="17">
        <v>11.045</v>
      </c>
      <c r="L31" s="9">
        <f t="shared" si="9"/>
        <v>0</v>
      </c>
      <c r="M31" s="9">
        <v>0</v>
      </c>
      <c r="N31" s="9">
        <v>0.33</v>
      </c>
      <c r="O31" s="9"/>
      <c r="P31" s="9">
        <f t="shared" si="10"/>
        <v>0.93668750000000001</v>
      </c>
      <c r="Q31" s="12">
        <f t="shared" si="11"/>
        <v>16</v>
      </c>
      <c r="R31" s="9">
        <f t="shared" si="12"/>
        <v>0</v>
      </c>
      <c r="S31" s="9">
        <f t="shared" si="13"/>
        <v>16</v>
      </c>
      <c r="T31" s="9">
        <v>14.987</v>
      </c>
      <c r="U31" s="9">
        <f t="shared" si="14"/>
        <v>11.827902287547985</v>
      </c>
      <c r="V31" s="9">
        <f t="shared" si="15"/>
        <v>11.827902287547985</v>
      </c>
      <c r="W31" s="9">
        <f t="shared" si="16"/>
        <v>12.841311168404216</v>
      </c>
      <c r="X31" s="9"/>
      <c r="Y31" s="9"/>
      <c r="Z31" s="9"/>
      <c r="AA31" s="17"/>
      <c r="AB31" s="17"/>
      <c r="AC31" s="17"/>
      <c r="AD31" s="17"/>
    </row>
    <row r="32" spans="1:30" ht="13.8" x14ac:dyDescent="0.25">
      <c r="A32" s="10">
        <f>1.1*U18</f>
        <v>1656.5728216146549</v>
      </c>
      <c r="B32" s="9">
        <f t="shared" si="3"/>
        <v>8.0330091244259894</v>
      </c>
      <c r="C32" s="9">
        <f t="shared" si="4"/>
        <v>0.9275583507285482</v>
      </c>
      <c r="D32" s="9">
        <f t="shared" si="5"/>
        <v>10.20314185801403</v>
      </c>
      <c r="E32" s="9">
        <f t="shared" si="6"/>
        <v>12.928650207908291</v>
      </c>
      <c r="F32" s="9">
        <f t="shared" si="7"/>
        <v>9.9736995803785735</v>
      </c>
      <c r="G32" s="9">
        <f t="shared" si="8"/>
        <v>7.7483443708609272</v>
      </c>
      <c r="H32" s="17" t="s">
        <v>105</v>
      </c>
      <c r="I32" s="17" t="s">
        <v>106</v>
      </c>
      <c r="J32" s="17" t="s">
        <v>108</v>
      </c>
      <c r="K32" s="9" t="s">
        <v>107</v>
      </c>
      <c r="L32" s="9">
        <f>180*M32/N32</f>
        <v>7.7483443708609272</v>
      </c>
      <c r="M32" s="9">
        <v>1.2999999999999999E-2</v>
      </c>
      <c r="N32" s="9">
        <v>0.30199999999999999</v>
      </c>
      <c r="O32" s="9"/>
      <c r="P32" s="9">
        <f t="shared" si="10"/>
        <v>0.9275583507285482</v>
      </c>
      <c r="Q32" s="12">
        <f t="shared" si="11"/>
        <v>16</v>
      </c>
      <c r="R32" s="9">
        <f t="shared" si="12"/>
        <v>2.2580540730773464</v>
      </c>
      <c r="S32" s="9">
        <f t="shared" si="13"/>
        <v>16.158552168958121</v>
      </c>
      <c r="T32" s="9">
        <v>14.988</v>
      </c>
      <c r="U32" s="9">
        <f t="shared" si="14"/>
        <v>13.010692516302786</v>
      </c>
      <c r="V32" s="9">
        <f t="shared" si="15"/>
        <v>10.75263844322544</v>
      </c>
      <c r="W32" s="9">
        <f t="shared" si="16"/>
        <v>13.938368618808205</v>
      </c>
      <c r="X32" s="9"/>
      <c r="Y32" s="9"/>
      <c r="Z32" s="9"/>
      <c r="AA32" s="17"/>
      <c r="AB32" s="17"/>
      <c r="AC32" s="17"/>
      <c r="AD32" s="17"/>
    </row>
    <row r="33" spans="1:32" ht="13.8" x14ac:dyDescent="0.25">
      <c r="A33" s="10">
        <f>1.2*U18</f>
        <v>1807.1703508523506</v>
      </c>
      <c r="B33" s="9">
        <f t="shared" si="3"/>
        <v>15.165958417274899</v>
      </c>
      <c r="C33" s="9">
        <f t="shared" si="4"/>
        <v>0.90394399548110438</v>
      </c>
      <c r="D33" s="9">
        <f t="shared" si="5"/>
        <v>9.9433839502921479</v>
      </c>
      <c r="E33" s="9">
        <f t="shared" si="6"/>
        <v>13.602929138887154</v>
      </c>
      <c r="F33" s="9">
        <f t="shared" si="7"/>
        <v>8.9098010433051833</v>
      </c>
      <c r="G33" s="9">
        <f t="shared" si="8"/>
        <v>15.054545454545453</v>
      </c>
      <c r="H33" s="17" t="s">
        <v>111</v>
      </c>
      <c r="I33" s="17" t="s">
        <v>109</v>
      </c>
      <c r="J33" s="17" t="s">
        <v>110</v>
      </c>
      <c r="K33" s="9" t="s">
        <v>120</v>
      </c>
      <c r="L33" s="9">
        <f t="shared" ref="L33:L41" si="17">180*M33/N33</f>
        <v>15.054545454545453</v>
      </c>
      <c r="M33" s="9">
        <v>2.3E-2</v>
      </c>
      <c r="N33" s="9">
        <v>0.27500000000000002</v>
      </c>
      <c r="O33" s="9"/>
      <c r="P33" s="9">
        <f t="shared" si="10"/>
        <v>0.90394399548110438</v>
      </c>
      <c r="Q33" s="12">
        <f t="shared" si="11"/>
        <v>16</v>
      </c>
      <c r="R33" s="9">
        <f t="shared" si="12"/>
        <v>4.336897505434262</v>
      </c>
      <c r="S33" s="9">
        <f t="shared" si="13"/>
        <v>16.577354432256129</v>
      </c>
      <c r="T33" s="9">
        <v>14.984999999999999</v>
      </c>
      <c r="U33" s="9">
        <f t="shared" si="14"/>
        <v>14.193482745057583</v>
      </c>
      <c r="V33" s="9">
        <f t="shared" si="15"/>
        <v>9.8565852396233211</v>
      </c>
      <c r="W33" s="9">
        <f t="shared" si="16"/>
        <v>15.048420263743544</v>
      </c>
      <c r="X33" s="9"/>
      <c r="Y33" s="9"/>
      <c r="Z33" s="9"/>
      <c r="AA33" s="17"/>
      <c r="AB33" s="17"/>
      <c r="AC33" s="17"/>
      <c r="AD33" s="17"/>
    </row>
    <row r="34" spans="1:32" ht="13.8" x14ac:dyDescent="0.25">
      <c r="A34" s="10">
        <f>1.3*U18</f>
        <v>1957.7678800900464</v>
      </c>
      <c r="B34" s="9">
        <f t="shared" si="3"/>
        <v>21.423449215326098</v>
      </c>
      <c r="C34" s="9">
        <f t="shared" si="4"/>
        <v>0.87156112282731502</v>
      </c>
      <c r="D34" s="9">
        <f t="shared" si="5"/>
        <v>9.587172351100465</v>
      </c>
      <c r="E34" s="9">
        <f t="shared" si="6"/>
        <v>14.092088780664502</v>
      </c>
      <c r="F34" s="9">
        <f t="shared" si="7"/>
        <v>7.9297998449439167</v>
      </c>
      <c r="G34" s="9">
        <f t="shared" si="8"/>
        <v>21.17647058823529</v>
      </c>
      <c r="H34" s="17" t="s">
        <v>112</v>
      </c>
      <c r="I34" s="17" t="s">
        <v>113</v>
      </c>
      <c r="J34" s="17" t="s">
        <v>114</v>
      </c>
      <c r="K34" s="9" t="s">
        <v>119</v>
      </c>
      <c r="L34" s="9">
        <f t="shared" si="17"/>
        <v>21.17647058823529</v>
      </c>
      <c r="M34" s="9">
        <v>0.03</v>
      </c>
      <c r="N34" s="9">
        <v>0.255</v>
      </c>
      <c r="O34" s="9"/>
      <c r="P34" s="9">
        <f t="shared" si="10"/>
        <v>0.87156112282731502</v>
      </c>
      <c r="Q34" s="12">
        <f t="shared" si="11"/>
        <v>16</v>
      </c>
      <c r="R34" s="9">
        <f t="shared" si="12"/>
        <v>6.2778865987754688</v>
      </c>
      <c r="S34" s="9">
        <f t="shared" si="13"/>
        <v>17.187549567843714</v>
      </c>
      <c r="T34" s="9">
        <v>14.98</v>
      </c>
      <c r="U34" s="9">
        <f t="shared" si="14"/>
        <v>15.376272973812382</v>
      </c>
      <c r="V34" s="9">
        <f t="shared" si="15"/>
        <v>9.0983863750369132</v>
      </c>
      <c r="W34" s="9">
        <f t="shared" si="16"/>
        <v>16.168790015495688</v>
      </c>
      <c r="X34" s="9"/>
      <c r="Y34" s="9"/>
      <c r="Z34" s="9"/>
      <c r="AA34" s="17"/>
      <c r="AB34" s="17"/>
      <c r="AC34" s="17"/>
      <c r="AD34" s="17"/>
    </row>
    <row r="35" spans="1:32" ht="13.8" x14ac:dyDescent="0.25">
      <c r="A35" s="10">
        <f>1.4*U18</f>
        <v>2108.3654093277423</v>
      </c>
      <c r="B35" s="9">
        <f t="shared" si="3"/>
        <v>26.880910483814525</v>
      </c>
      <c r="C35" s="9">
        <f t="shared" si="4"/>
        <v>0.83491928068260723</v>
      </c>
      <c r="D35" s="9">
        <f t="shared" si="5"/>
        <v>9.1841120875086801</v>
      </c>
      <c r="E35" s="9">
        <f t="shared" si="6"/>
        <v>14.441993762111105</v>
      </c>
      <c r="F35" s="9">
        <f t="shared" si="7"/>
        <v>7.0538169070740917</v>
      </c>
      <c r="G35" s="9">
        <f t="shared" si="8"/>
        <v>27.341772151898734</v>
      </c>
      <c r="H35" s="17" t="s">
        <v>117</v>
      </c>
      <c r="I35" s="17" t="s">
        <v>115</v>
      </c>
      <c r="J35" s="17" t="s">
        <v>116</v>
      </c>
      <c r="K35" s="9" t="s">
        <v>118</v>
      </c>
      <c r="L35" s="9">
        <f t="shared" si="17"/>
        <v>27.341772151898734</v>
      </c>
      <c r="M35" s="9">
        <v>3.5999999999999997E-2</v>
      </c>
      <c r="N35" s="9">
        <v>0.23699999999999999</v>
      </c>
      <c r="O35" s="9"/>
      <c r="P35" s="9">
        <f t="shared" si="10"/>
        <v>0.83491928068260723</v>
      </c>
      <c r="Q35" s="12">
        <f t="shared" si="11"/>
        <v>16</v>
      </c>
      <c r="R35" s="9">
        <f t="shared" si="12"/>
        <v>8.110561568604334</v>
      </c>
      <c r="S35" s="9">
        <f t="shared" si="13"/>
        <v>17.938261034953239</v>
      </c>
      <c r="T35" s="9">
        <v>14.977</v>
      </c>
      <c r="U35" s="9">
        <f t="shared" si="14"/>
        <v>16.559063202567181</v>
      </c>
      <c r="V35" s="9">
        <f t="shared" si="15"/>
        <v>8.4485016339628469</v>
      </c>
      <c r="W35" s="9">
        <f t="shared" si="16"/>
        <v>17.29747305668127</v>
      </c>
      <c r="X35" s="9"/>
      <c r="Y35" s="9"/>
      <c r="Z35" s="9"/>
      <c r="AA35" s="17"/>
      <c r="AB35" s="17"/>
      <c r="AC35" s="17"/>
      <c r="AD35" s="17"/>
    </row>
    <row r="36" spans="1:32" ht="13.8" x14ac:dyDescent="0.25">
      <c r="A36" s="10">
        <f>1.5*U18</f>
        <v>2258.962938565438</v>
      </c>
      <c r="B36" s="9">
        <f t="shared" si="3"/>
        <v>31.634588526329665</v>
      </c>
      <c r="C36" s="9">
        <f t="shared" si="4"/>
        <v>0.79692018796683572</v>
      </c>
      <c r="D36" s="9">
        <f t="shared" si="5"/>
        <v>8.7661220676351927</v>
      </c>
      <c r="E36" s="9">
        <f t="shared" si="6"/>
        <v>14.689583871537376</v>
      </c>
      <c r="F36" s="9">
        <f t="shared" si="7"/>
        <v>6.2839294094974054</v>
      </c>
      <c r="G36" s="9">
        <f t="shared" si="8"/>
        <v>31.621621621621621</v>
      </c>
      <c r="H36" s="17" t="s">
        <v>121</v>
      </c>
      <c r="I36" s="17" t="s">
        <v>122</v>
      </c>
      <c r="J36" s="17" t="s">
        <v>124</v>
      </c>
      <c r="K36" s="9" t="s">
        <v>123</v>
      </c>
      <c r="L36" s="9">
        <f t="shared" si="17"/>
        <v>31.621621621621621</v>
      </c>
      <c r="M36" s="9">
        <v>3.9E-2</v>
      </c>
      <c r="N36" s="9">
        <v>0.222</v>
      </c>
      <c r="O36" s="9"/>
      <c r="P36" s="9">
        <f t="shared" si="10"/>
        <v>0.79692018796683572</v>
      </c>
      <c r="Q36" s="12">
        <f t="shared" si="11"/>
        <v>16</v>
      </c>
      <c r="R36" s="9">
        <f t="shared" si="12"/>
        <v>9.8565852396233211</v>
      </c>
      <c r="S36" s="9">
        <f t="shared" si="13"/>
        <v>18.792346117128652</v>
      </c>
      <c r="T36" s="9">
        <v>14.976000000000001</v>
      </c>
      <c r="U36" s="9">
        <f t="shared" si="14"/>
        <v>17.741853431321978</v>
      </c>
      <c r="V36" s="9">
        <f t="shared" si="15"/>
        <v>7.8852681916986578</v>
      </c>
      <c r="W36" s="9">
        <f t="shared" si="16"/>
        <v>18.432942336439709</v>
      </c>
      <c r="X36" s="9"/>
      <c r="Y36" s="9"/>
      <c r="Z36" s="9"/>
      <c r="AA36" s="17"/>
      <c r="AB36" s="17"/>
      <c r="AC36" s="17"/>
      <c r="AD36" s="17"/>
    </row>
    <row r="37" spans="1:32" ht="13.8" x14ac:dyDescent="0.25">
      <c r="A37" s="10">
        <f>1.6*U18</f>
        <v>2409.5604678031341</v>
      </c>
      <c r="B37" s="9">
        <f t="shared" si="3"/>
        <v>35.782660413661532</v>
      </c>
      <c r="C37" s="9">
        <f t="shared" si="4"/>
        <v>0.75916928982199594</v>
      </c>
      <c r="D37" s="9">
        <f t="shared" si="5"/>
        <v>8.3508621880419547</v>
      </c>
      <c r="E37" s="9">
        <f t="shared" si="6"/>
        <v>14.85999251008862</v>
      </c>
      <c r="F37" s="9">
        <f t="shared" si="7"/>
        <v>5.6121126123261034</v>
      </c>
      <c r="G37" s="9">
        <f t="shared" si="8"/>
        <v>35.480769230769234</v>
      </c>
      <c r="H37" s="17" t="s">
        <v>128</v>
      </c>
      <c r="I37" s="17" t="s">
        <v>125</v>
      </c>
      <c r="J37" s="17" t="s">
        <v>127</v>
      </c>
      <c r="K37" s="9" t="s">
        <v>126</v>
      </c>
      <c r="L37" s="9">
        <f t="shared" si="17"/>
        <v>35.480769230769234</v>
      </c>
      <c r="M37" s="9">
        <v>4.1000000000000002E-2</v>
      </c>
      <c r="N37" s="9">
        <v>0.20799999999999999</v>
      </c>
      <c r="O37" s="9"/>
      <c r="P37" s="9">
        <f t="shared" si="10"/>
        <v>0.75916928982199594</v>
      </c>
      <c r="Q37" s="12">
        <f t="shared" si="11"/>
        <v>16</v>
      </c>
      <c r="R37" s="9">
        <f t="shared" si="12"/>
        <v>11.532204730359288</v>
      </c>
      <c r="S37" s="9">
        <f t="shared" si="13"/>
        <v>19.722873673552776</v>
      </c>
      <c r="T37" s="9">
        <v>14.973000000000001</v>
      </c>
      <c r="U37" s="9">
        <f t="shared" si="14"/>
        <v>18.924643660076779</v>
      </c>
      <c r="V37" s="9">
        <f t="shared" si="15"/>
        <v>7.3924389297174908</v>
      </c>
      <c r="W37" s="9">
        <f t="shared" si="16"/>
        <v>19.574016901517282</v>
      </c>
      <c r="X37" s="9"/>
      <c r="Y37" s="9"/>
      <c r="Z37" s="9"/>
      <c r="AA37" s="17"/>
      <c r="AB37" s="17"/>
      <c r="AC37" s="17"/>
      <c r="AD37" s="17"/>
    </row>
    <row r="38" spans="1:32" ht="13.8" x14ac:dyDescent="0.25">
      <c r="A38" s="10">
        <f>1.7*U18</f>
        <v>2560.1579970408297</v>
      </c>
      <c r="B38" s="9">
        <f t="shared" si="3"/>
        <v>39.415597614860353</v>
      </c>
      <c r="C38" s="9">
        <f t="shared" si="4"/>
        <v>0.72277886886760101</v>
      </c>
      <c r="D38" s="9">
        <f t="shared" si="5"/>
        <v>7.9505675575436108</v>
      </c>
      <c r="E38" s="9">
        <f t="shared" si="6"/>
        <v>14.975812425087796</v>
      </c>
      <c r="F38" s="9">
        <f t="shared" si="7"/>
        <v>5.0287987273355554</v>
      </c>
      <c r="G38" s="9">
        <f t="shared" si="8"/>
        <v>39.489795918367342</v>
      </c>
      <c r="H38" s="17" t="s">
        <v>129</v>
      </c>
      <c r="I38" s="17" t="s">
        <v>130</v>
      </c>
      <c r="J38" s="17" t="s">
        <v>132</v>
      </c>
      <c r="K38" s="9" t="s">
        <v>131</v>
      </c>
      <c r="L38" s="9">
        <f t="shared" si="17"/>
        <v>39.489795918367342</v>
      </c>
      <c r="M38" s="9">
        <v>4.2999999999999997E-2</v>
      </c>
      <c r="N38" s="9">
        <v>0.19600000000000001</v>
      </c>
      <c r="O38" s="9"/>
      <c r="P38" s="9">
        <f t="shared" si="10"/>
        <v>0.72277886886760101</v>
      </c>
      <c r="Q38" s="12">
        <f t="shared" si="11"/>
        <v>16</v>
      </c>
      <c r="R38" s="9">
        <f t="shared" si="12"/>
        <v>13.149844307920995</v>
      </c>
      <c r="S38" s="9">
        <f t="shared" si="13"/>
        <v>20.710345369466008</v>
      </c>
      <c r="T38" s="9">
        <v>14.968999999999999</v>
      </c>
      <c r="U38" s="9">
        <f t="shared" si="14"/>
        <v>20.107433888831576</v>
      </c>
      <c r="V38" s="9">
        <f t="shared" si="15"/>
        <v>6.9575895809105806</v>
      </c>
      <c r="W38" s="9">
        <f t="shared" si="16"/>
        <v>20.719770693560594</v>
      </c>
      <c r="X38" s="9"/>
      <c r="Y38" s="9"/>
      <c r="Z38" s="9"/>
      <c r="AA38" s="17"/>
      <c r="AB38" s="17"/>
      <c r="AC38" s="17"/>
      <c r="AD38" s="17"/>
    </row>
    <row r="39" spans="1:32" ht="13.8" x14ac:dyDescent="0.25">
      <c r="A39" s="10">
        <f>1.8*U18</f>
        <v>2710.7555262785258</v>
      </c>
      <c r="B39" s="9">
        <f t="shared" si="3"/>
        <v>42.612440937023251</v>
      </c>
      <c r="C39" s="9">
        <f t="shared" si="4"/>
        <v>0.67146246892251449</v>
      </c>
      <c r="D39" s="9">
        <f t="shared" si="5"/>
        <v>7.3860871581476593</v>
      </c>
      <c r="E39" s="9">
        <f t="shared" si="6"/>
        <v>14.684527167263072</v>
      </c>
      <c r="F39" s="9">
        <f t="shared" si="7"/>
        <v>4.4122180400951256</v>
      </c>
      <c r="G39" s="9">
        <f t="shared" si="8"/>
        <v>42.810810810810814</v>
      </c>
      <c r="H39" s="9" t="s">
        <v>136</v>
      </c>
      <c r="I39" s="9" t="s">
        <v>133</v>
      </c>
      <c r="J39" s="9" t="s">
        <v>135</v>
      </c>
      <c r="K39" s="9" t="s">
        <v>134</v>
      </c>
      <c r="L39" s="9">
        <f t="shared" si="17"/>
        <v>42.810810810810814</v>
      </c>
      <c r="M39" s="9">
        <v>4.3999999999999997E-2</v>
      </c>
      <c r="N39" s="9">
        <v>0.185</v>
      </c>
      <c r="O39" s="9"/>
      <c r="P39" s="9">
        <f t="shared" si="10"/>
        <v>0.67146246892251449</v>
      </c>
      <c r="Q39" s="12">
        <f t="shared" si="11"/>
        <v>16</v>
      </c>
      <c r="R39" s="9">
        <f t="shared" si="12"/>
        <v>14.71916729117083</v>
      </c>
      <c r="S39" s="9">
        <f t="shared" si="13"/>
        <v>21.740604539558536</v>
      </c>
      <c r="T39" s="9">
        <v>14.598000000000001</v>
      </c>
      <c r="U39" s="9">
        <f t="shared" si="14"/>
        <v>21.290224117586376</v>
      </c>
      <c r="V39" s="9">
        <f t="shared" si="15"/>
        <v>6.5710568264155471</v>
      </c>
      <c r="W39" s="9">
        <f t="shared" si="16"/>
        <v>21.869468282906574</v>
      </c>
      <c r="X39" s="9"/>
      <c r="Y39" s="9"/>
      <c r="Z39" s="9"/>
      <c r="AA39" s="17"/>
      <c r="AB39" s="17"/>
      <c r="AC39" s="17"/>
      <c r="AD39" s="17"/>
    </row>
    <row r="40" spans="1:32" ht="13.8" x14ac:dyDescent="0.25">
      <c r="A40" s="10">
        <f>1.9*U18</f>
        <v>2861.3530555162215</v>
      </c>
      <c r="B40" s="9">
        <f t="shared" si="3"/>
        <v>45.440270761131394</v>
      </c>
      <c r="C40" s="9">
        <f t="shared" si="4"/>
        <v>0.65626428548315174</v>
      </c>
      <c r="D40" s="9">
        <f t="shared" si="5"/>
        <v>7.218907140314669</v>
      </c>
      <c r="E40" s="9">
        <f t="shared" si="6"/>
        <v>15.108856877591187</v>
      </c>
      <c r="F40" s="9">
        <f t="shared" si="7"/>
        <v>4.0853841281590606</v>
      </c>
      <c r="G40" s="9">
        <f t="shared" si="8"/>
        <v>45.25714285714286</v>
      </c>
      <c r="H40" s="9" t="s">
        <v>137</v>
      </c>
      <c r="I40" s="9" t="s">
        <v>138</v>
      </c>
      <c r="J40" s="9" t="s">
        <v>140</v>
      </c>
      <c r="K40" s="9" t="s">
        <v>139</v>
      </c>
      <c r="L40" s="9">
        <f t="shared" si="17"/>
        <v>45.25714285714286</v>
      </c>
      <c r="M40" s="9">
        <v>4.3999999999999997E-2</v>
      </c>
      <c r="N40" s="9">
        <v>0.17499999999999999</v>
      </c>
      <c r="O40" s="9"/>
      <c r="P40" s="9">
        <f t="shared" si="10"/>
        <v>0.65626428548315174</v>
      </c>
      <c r="Q40" s="12">
        <f t="shared" si="11"/>
        <v>16</v>
      </c>
      <c r="R40" s="9">
        <f t="shared" si="12"/>
        <v>16.247802616052759</v>
      </c>
      <c r="S40" s="9">
        <f t="shared" si="13"/>
        <v>22.803313133187704</v>
      </c>
      <c r="T40" s="9">
        <v>14.965</v>
      </c>
      <c r="U40" s="9">
        <f t="shared" si="14"/>
        <v>22.473014346341174</v>
      </c>
      <c r="V40" s="9">
        <f t="shared" si="15"/>
        <v>6.2252117302884136</v>
      </c>
      <c r="W40" s="9">
        <f t="shared" si="16"/>
        <v>23.022518841578918</v>
      </c>
      <c r="X40" s="9"/>
      <c r="Y40" s="9"/>
      <c r="Z40" s="9"/>
      <c r="AA40" s="17"/>
      <c r="AB40" s="17"/>
      <c r="AC40" s="17"/>
      <c r="AD40" s="17"/>
    </row>
    <row r="41" spans="1:32" ht="13.8" x14ac:dyDescent="0.25">
      <c r="A41" s="10">
        <f>2*U18</f>
        <v>3011.9505847539176</v>
      </c>
      <c r="B41" s="9">
        <f>ATAN(R41/Q41)*180/PI()</f>
        <v>47.955152947748843</v>
      </c>
      <c r="C41" s="9">
        <f>P41</f>
        <v>0.62630636779991566</v>
      </c>
      <c r="D41" s="9">
        <f>C41*$P$17</f>
        <v>6.8893700457990725</v>
      </c>
      <c r="E41" s="9">
        <f>C41*W41</f>
        <v>15.143112609631533</v>
      </c>
      <c r="F41" s="9">
        <f>V41*C41</f>
        <v>3.7039452602032461</v>
      </c>
      <c r="G41" s="9">
        <f t="shared" si="8"/>
        <v>47.710843373493972</v>
      </c>
      <c r="H41" s="9" t="s">
        <v>144</v>
      </c>
      <c r="I41" s="9" t="s">
        <v>141</v>
      </c>
      <c r="J41" s="9" t="s">
        <v>143</v>
      </c>
      <c r="K41" s="9" t="s">
        <v>142</v>
      </c>
      <c r="L41" s="9">
        <f t="shared" si="17"/>
        <v>47.710843373493972</v>
      </c>
      <c r="M41" s="9">
        <v>4.3999999999999997E-2</v>
      </c>
      <c r="N41" s="9">
        <v>0.16600000000000001</v>
      </c>
      <c r="O41" s="9"/>
      <c r="P41" s="9">
        <f>T41/S41</f>
        <v>0.62630636779991566</v>
      </c>
      <c r="Q41" s="12">
        <f>$P$17+$C$6</f>
        <v>16</v>
      </c>
      <c r="R41" s="9">
        <f>U41-V41</f>
        <v>17.741853431321978</v>
      </c>
      <c r="S41" s="9">
        <f>SQRT(Q41*Q41+R41*R41)</f>
        <v>23.890863592145667</v>
      </c>
      <c r="T41" s="9">
        <v>14.962999999999999</v>
      </c>
      <c r="U41" s="9">
        <f>A41*2*PI()*$D$6*$F$1</f>
        <v>23.655804575095971</v>
      </c>
      <c r="V41" s="9">
        <f>1/(A41*2*PI()*$E$7*$G$1)</f>
        <v>5.9139511437739927</v>
      </c>
      <c r="W41" s="9">
        <f>SQRT($C$6*$C$6+U41*U41)</f>
        <v>24.178442673074116</v>
      </c>
      <c r="X41" s="9"/>
      <c r="Y41" s="9"/>
      <c r="Z41" s="9"/>
      <c r="AA41" s="17"/>
      <c r="AB41" s="17"/>
      <c r="AC41" s="17"/>
      <c r="AD41" s="17"/>
    </row>
    <row r="42" spans="1:32" ht="13.8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32" ht="13.8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32" ht="13.8" x14ac:dyDescent="0.25">
      <c r="A44" s="6" t="s">
        <v>45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1"/>
      <c r="Y44" s="1"/>
      <c r="Z44" s="1"/>
    </row>
    <row r="45" spans="1:32" ht="13.8" x14ac:dyDescent="0.25">
      <c r="A45" s="32" t="s">
        <v>32</v>
      </c>
      <c r="B45" s="32" t="s">
        <v>33</v>
      </c>
      <c r="C45" s="33"/>
      <c r="D45" s="33"/>
      <c r="E45" s="33"/>
      <c r="F45" s="33"/>
      <c r="G45" s="33"/>
      <c r="H45" s="33"/>
      <c r="I45" s="33"/>
      <c r="J45" s="6"/>
      <c r="K45" s="6" t="s">
        <v>145</v>
      </c>
      <c r="L45" s="6">
        <f>U18*SQRT((M18*M18-C6*C6)/(M18*M18-P17*P17))</f>
        <v>3713.2478858842405</v>
      </c>
      <c r="M45" s="23"/>
      <c r="N45" s="6"/>
      <c r="O45" s="6"/>
      <c r="P45" s="23"/>
      <c r="Q45" s="23"/>
      <c r="R45" s="23"/>
      <c r="S45" s="23"/>
      <c r="T45" s="23"/>
      <c r="U45" s="23"/>
      <c r="V45" s="23"/>
      <c r="W45" s="23"/>
      <c r="Z45" s="1"/>
    </row>
    <row r="46" spans="1:32" ht="13.8" x14ac:dyDescent="0.25">
      <c r="A46" s="33"/>
      <c r="B46" s="36" t="s">
        <v>37</v>
      </c>
      <c r="C46" s="33"/>
      <c r="D46" s="33"/>
      <c r="E46" s="33"/>
      <c r="F46" s="37" t="s">
        <v>38</v>
      </c>
      <c r="G46" s="33"/>
      <c r="H46" s="33"/>
      <c r="I46" s="33"/>
      <c r="J46" s="23"/>
      <c r="K46" s="6"/>
      <c r="L46" s="6"/>
      <c r="M46" s="6"/>
      <c r="N46" s="6"/>
      <c r="O46" s="6"/>
      <c r="P46" s="23"/>
      <c r="Q46" s="23"/>
      <c r="R46" s="23"/>
      <c r="S46" s="23"/>
      <c r="T46" s="23"/>
      <c r="U46" s="23"/>
      <c r="V46" s="23"/>
      <c r="W46" s="23"/>
      <c r="Z46" s="1"/>
    </row>
    <row r="47" spans="1:32" ht="13.8" x14ac:dyDescent="0.25">
      <c r="A47" s="33"/>
      <c r="B47" s="35"/>
      <c r="C47" s="33"/>
      <c r="D47" s="33"/>
      <c r="E47" s="33"/>
      <c r="F47" s="35"/>
      <c r="G47" s="33"/>
      <c r="H47" s="33"/>
      <c r="I47" s="33"/>
      <c r="J47" s="23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1"/>
      <c r="Y47" s="1"/>
      <c r="Z47" s="1"/>
    </row>
    <row r="48" spans="1:32" ht="13.8" x14ac:dyDescent="0.25">
      <c r="A48" s="33"/>
      <c r="B48" s="16" t="s">
        <v>14</v>
      </c>
      <c r="C48" s="8" t="s">
        <v>13</v>
      </c>
      <c r="D48" s="16" t="s">
        <v>46</v>
      </c>
      <c r="E48" s="16" t="s">
        <v>47</v>
      </c>
      <c r="F48" s="16" t="s">
        <v>14</v>
      </c>
      <c r="G48" s="8" t="s">
        <v>13</v>
      </c>
      <c r="H48" s="16" t="s">
        <v>165</v>
      </c>
      <c r="I48" s="16" t="s">
        <v>166</v>
      </c>
      <c r="J48" s="23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1"/>
      <c r="Y48" s="1"/>
      <c r="Z48" s="3" t="s">
        <v>157</v>
      </c>
      <c r="AF48" s="4" t="s">
        <v>158</v>
      </c>
    </row>
    <row r="49" spans="1:35" ht="13.8" x14ac:dyDescent="0.25">
      <c r="A49" s="7" t="s">
        <v>48</v>
      </c>
      <c r="B49" s="16" t="s">
        <v>20</v>
      </c>
      <c r="C49" s="34" t="s">
        <v>19</v>
      </c>
      <c r="D49" s="33"/>
      <c r="E49" s="8"/>
      <c r="F49" s="16" t="s">
        <v>20</v>
      </c>
      <c r="G49" s="34" t="s">
        <v>19</v>
      </c>
      <c r="H49" s="33"/>
      <c r="I49" s="33"/>
      <c r="J49" s="23" t="s">
        <v>58</v>
      </c>
      <c r="K49" s="23" t="s">
        <v>50</v>
      </c>
      <c r="L49" s="6" t="s">
        <v>13</v>
      </c>
      <c r="M49" s="6" t="s">
        <v>12</v>
      </c>
      <c r="N49" s="6" t="s">
        <v>28</v>
      </c>
      <c r="O49" s="6" t="s">
        <v>26</v>
      </c>
      <c r="P49" s="6" t="s">
        <v>147</v>
      </c>
      <c r="Q49" s="6" t="s">
        <v>148</v>
      </c>
      <c r="R49" s="6" t="s">
        <v>27</v>
      </c>
      <c r="S49" s="6" t="s">
        <v>149</v>
      </c>
      <c r="T49" s="6" t="s">
        <v>150</v>
      </c>
      <c r="U49" s="6" t="s">
        <v>151</v>
      </c>
      <c r="V49" s="6" t="s">
        <v>5</v>
      </c>
      <c r="W49" s="6" t="s">
        <v>53</v>
      </c>
      <c r="X49" s="1"/>
      <c r="Y49" s="3" t="s">
        <v>155</v>
      </c>
      <c r="Z49" s="3" t="s">
        <v>12</v>
      </c>
      <c r="AA49" s="4" t="s">
        <v>62</v>
      </c>
      <c r="AB49" s="4" t="s">
        <v>60</v>
      </c>
      <c r="AC49" s="4" t="s">
        <v>61</v>
      </c>
      <c r="AD49" s="4"/>
      <c r="AE49" s="4" t="s">
        <v>156</v>
      </c>
      <c r="AF49" s="4" t="s">
        <v>12</v>
      </c>
      <c r="AG49" s="4" t="s">
        <v>62</v>
      </c>
      <c r="AH49" s="4" t="s">
        <v>60</v>
      </c>
      <c r="AI49" s="4" t="s">
        <v>61</v>
      </c>
    </row>
    <row r="50" spans="1:35" ht="13.8" x14ac:dyDescent="0.25">
      <c r="A50" s="7">
        <f>0.1*L45</f>
        <v>371.3247885884241</v>
      </c>
      <c r="B50" s="6">
        <f>W50</f>
        <v>23.617611689935451</v>
      </c>
      <c r="C50" s="6">
        <f>L50</f>
        <v>2.5176053081345695</v>
      </c>
      <c r="D50" s="6">
        <f>Y50</f>
        <v>2.5914017998923393</v>
      </c>
      <c r="E50" s="6">
        <f>AE50</f>
        <v>0.30478355630605469</v>
      </c>
      <c r="F50" s="6">
        <f>180*J50/K50</f>
        <v>23.208791208791208</v>
      </c>
      <c r="G50" s="6" t="s">
        <v>152</v>
      </c>
      <c r="H50" s="6" t="s">
        <v>154</v>
      </c>
      <c r="I50" s="6" t="s">
        <v>153</v>
      </c>
      <c r="J50" s="6">
        <v>0.17599999999999999</v>
      </c>
      <c r="K50" s="6">
        <v>1.365</v>
      </c>
      <c r="L50" s="6">
        <f>M50*N50</f>
        <v>2.5176053081345695</v>
      </c>
      <c r="M50" s="6">
        <v>15.000999999999999</v>
      </c>
      <c r="N50" s="6">
        <f>SQRT(O50*O50+R50*R50)</f>
        <v>0.16782916526462033</v>
      </c>
      <c r="O50" s="6">
        <f>P50+Q50</f>
        <v>0.15377173164696226</v>
      </c>
      <c r="P50" s="6">
        <f>$P$17/($P$17*$P$17+U50*U50)</f>
        <v>4.5414363472898941E-3</v>
      </c>
      <c r="Q50" s="6">
        <f>$C$6/($C$6*$C$6+V50*V50)</f>
        <v>0.14923029529967236</v>
      </c>
      <c r="R50" s="6">
        <f>T50-S50</f>
        <v>6.7237513782960973E-2</v>
      </c>
      <c r="S50" s="6">
        <f>U50/($P$17*$P$17+U50*U50)</f>
        <v>1.9804878329773727E-2</v>
      </c>
      <c r="T50" s="6">
        <f>V50/($C$6*$C$6+V50*V50)</f>
        <v>8.7042392112734707E-2</v>
      </c>
      <c r="U50" s="6">
        <f>1/(A50*2*PI()*$E$7*$G$1)</f>
        <v>47.97021139743935</v>
      </c>
      <c r="V50" s="6">
        <f>A50*2*PI()*$D$6*$F$1</f>
        <v>2.9163780698129402</v>
      </c>
      <c r="W50" s="6">
        <f>ATAN(R50/O50)*180/PI()</f>
        <v>23.617611689935451</v>
      </c>
      <c r="X50" s="1"/>
      <c r="Y50" s="1">
        <f>Z50/AA50</f>
        <v>2.5914017998923393</v>
      </c>
      <c r="Z50" s="2">
        <v>15</v>
      </c>
      <c r="AA50">
        <f>SQRT(AB50*AB50+AC50*AC50)</f>
        <v>5.7883729187126365</v>
      </c>
      <c r="AB50" s="5">
        <f>$C$6</f>
        <v>5</v>
      </c>
      <c r="AC50">
        <f>A50*2*PI()*$D$6*$F$1</f>
        <v>2.9163780698129402</v>
      </c>
      <c r="AE50">
        <f>AF50/AG50</f>
        <v>0.30478355630605469</v>
      </c>
      <c r="AF50">
        <v>15</v>
      </c>
      <c r="AG50">
        <f>SQRT(AH50*AH50+AI50*AI50)</f>
        <v>49.215253545166462</v>
      </c>
      <c r="AH50">
        <f>$P$17</f>
        <v>11</v>
      </c>
      <c r="AI50" s="4">
        <f>1/(A50*2*PI()*$E$7*$G$1)</f>
        <v>47.97021139743935</v>
      </c>
    </row>
    <row r="51" spans="1:35" ht="13.8" x14ac:dyDescent="0.25">
      <c r="A51" s="7">
        <f>0.2*L45</f>
        <v>742.6495771768482</v>
      </c>
      <c r="B51" s="6">
        <f t="shared" ref="B51:B68" si="18">W51</f>
        <v>32.639069325625222</v>
      </c>
      <c r="C51" s="6">
        <f t="shared" ref="C51:C68" si="19">L51</f>
        <v>1.7875784720142907</v>
      </c>
      <c r="D51" s="6">
        <f t="shared" ref="D51:D68" si="20">Y51</f>
        <v>1.9524854884299001</v>
      </c>
      <c r="E51" s="6">
        <f t="shared" ref="E51:E68" si="21">AE51</f>
        <v>0.56845703731803143</v>
      </c>
      <c r="F51" s="6">
        <f t="shared" ref="F51:F69" si="22">180*J51/K51</f>
        <v>32.630014858841008</v>
      </c>
      <c r="G51" s="6" t="s">
        <v>161</v>
      </c>
      <c r="H51" s="6" t="s">
        <v>162</v>
      </c>
      <c r="I51" s="6" t="s">
        <v>163</v>
      </c>
      <c r="J51" s="6">
        <v>0.122</v>
      </c>
      <c r="K51" s="23">
        <v>0.67300000000000004</v>
      </c>
      <c r="L51" s="6">
        <f t="shared" ref="L51:L69" si="23">M51*N51</f>
        <v>1.7875784720142907</v>
      </c>
      <c r="M51" s="6">
        <v>14.976000000000001</v>
      </c>
      <c r="N51" s="6">
        <f t="shared" ref="N51:N69" si="24">SQRT(O51*O51+R51*R51)</f>
        <v>0.11936287874027048</v>
      </c>
      <c r="O51" s="6">
        <f t="shared" ref="O51:O69" si="25">P51+Q51</f>
        <v>0.10051366821638694</v>
      </c>
      <c r="P51" s="6">
        <f t="shared" ref="P51:P69" si="26">$P$17/($P$17*$P$17+U51*U51)</f>
        <v>1.579812193795703E-2</v>
      </c>
      <c r="Q51" s="6">
        <f t="shared" ref="Q51:Q69" si="27">$C$6/($C$6*$C$6+V51*V51)</f>
        <v>8.4715546278429907E-2</v>
      </c>
      <c r="R51" s="6">
        <f t="shared" ref="R51:R69" si="28">T51-S51</f>
        <v>6.4377785942439814E-2</v>
      </c>
      <c r="S51" s="6">
        <f t="shared" ref="S51:S69" si="29">U51/($P$17*$P$17+U51*U51)</f>
        <v>3.4447238593014677E-2</v>
      </c>
      <c r="T51" s="6">
        <f t="shared" ref="T51:T69" si="30">V51/($C$6*$C$6+V51*V51)</f>
        <v>9.8825024535454498E-2</v>
      </c>
      <c r="U51" s="6">
        <f t="shared" ref="U51:U69" si="31">1/(A51*2*PI()*$E$7*$G$1)</f>
        <v>23.985105698719675</v>
      </c>
      <c r="V51" s="6">
        <f t="shared" ref="V51:V69" si="32">A51*2*PI()*$D$6*$F$1</f>
        <v>5.8327561396258805</v>
      </c>
      <c r="W51" s="6">
        <f t="shared" ref="W51:W69" si="33">ATAN(R51/O51)*180/PI()</f>
        <v>32.639069325625222</v>
      </c>
      <c r="X51" s="1"/>
      <c r="Y51" s="1">
        <f t="shared" ref="Y51:Y69" si="34">Z51/AA51</f>
        <v>1.9524854884299001</v>
      </c>
      <c r="Z51" s="2">
        <v>15</v>
      </c>
      <c r="AA51">
        <f t="shared" ref="AA51:AA69" si="35">SQRT(AB51*AB51+AC51*AC51)</f>
        <v>7.682515485460697</v>
      </c>
      <c r="AB51" s="5">
        <f t="shared" ref="AB51:AB69" si="36">$C$6</f>
        <v>5</v>
      </c>
      <c r="AC51">
        <f t="shared" ref="AC51:AC69" si="37">A51*2*PI()*$D$6*$F$1</f>
        <v>5.8327561396258805</v>
      </c>
      <c r="AE51">
        <f t="shared" ref="AE51:AE69" si="38">AF51/AG51</f>
        <v>0.56845703731803143</v>
      </c>
      <c r="AF51">
        <v>15</v>
      </c>
      <c r="AG51">
        <f t="shared" ref="AG51:AG69" si="39">SQRT(AH51*AH51+AI51*AI51)</f>
        <v>26.387218409274499</v>
      </c>
      <c r="AH51">
        <f t="shared" ref="AH51:AH69" si="40">$P$17</f>
        <v>11</v>
      </c>
      <c r="AI51" s="4">
        <f t="shared" ref="AI51:AI69" si="41">1/(A51*2*PI()*$E$7*$G$1)</f>
        <v>23.985105698719675</v>
      </c>
    </row>
    <row r="52" spans="1:35" ht="13.8" x14ac:dyDescent="0.25">
      <c r="A52" s="7">
        <f>0.3*L45</f>
        <v>1113.9743657652721</v>
      </c>
      <c r="B52" s="6">
        <f t="shared" si="18"/>
        <v>29.127340854925638</v>
      </c>
      <c r="C52" s="6">
        <f t="shared" si="19"/>
        <v>1.3448753028704183</v>
      </c>
      <c r="D52" s="6">
        <f t="shared" si="20"/>
        <v>1.488527844776788</v>
      </c>
      <c r="E52" s="6">
        <f t="shared" si="21"/>
        <v>0.77286496651513614</v>
      </c>
      <c r="F52" s="6">
        <f t="shared" si="22"/>
        <v>29.199999999999996</v>
      </c>
      <c r="G52" s="6" t="s">
        <v>164</v>
      </c>
      <c r="H52" s="6" t="s">
        <v>168</v>
      </c>
      <c r="I52" s="6" t="s">
        <v>167</v>
      </c>
      <c r="J52" s="6">
        <v>7.2999999999999995E-2</v>
      </c>
      <c r="K52" s="6">
        <v>0.45</v>
      </c>
      <c r="L52" s="6">
        <f t="shared" si="23"/>
        <v>1.3448753028704183</v>
      </c>
      <c r="M52" s="6">
        <v>14.977</v>
      </c>
      <c r="N52" s="6">
        <f t="shared" si="24"/>
        <v>8.9796040787234979E-2</v>
      </c>
      <c r="O52" s="6">
        <f t="shared" si="25"/>
        <v>7.8440437975600075E-2</v>
      </c>
      <c r="P52" s="6">
        <f t="shared" si="26"/>
        <v>2.9202323649470518E-2</v>
      </c>
      <c r="Q52" s="6">
        <f t="shared" si="27"/>
        <v>4.9238114326129553E-2</v>
      </c>
      <c r="R52" s="6">
        <f t="shared" si="28"/>
        <v>4.370842746266225E-2</v>
      </c>
      <c r="S52" s="6">
        <f t="shared" si="29"/>
        <v>4.2449746629137683E-2</v>
      </c>
      <c r="T52" s="6">
        <f t="shared" si="30"/>
        <v>8.6158174091799933E-2</v>
      </c>
      <c r="U52" s="6">
        <f t="shared" si="31"/>
        <v>15.990070465813117</v>
      </c>
      <c r="V52" s="6">
        <f t="shared" si="32"/>
        <v>8.7491342094388198</v>
      </c>
      <c r="W52" s="6">
        <f t="shared" si="33"/>
        <v>29.127340854925638</v>
      </c>
      <c r="X52" s="1"/>
      <c r="Y52" s="1">
        <f t="shared" si="34"/>
        <v>1.488527844776788</v>
      </c>
      <c r="Z52" s="2">
        <v>15</v>
      </c>
      <c r="AA52">
        <f t="shared" si="35"/>
        <v>10.07707047781113</v>
      </c>
      <c r="AB52" s="5">
        <f t="shared" si="36"/>
        <v>5</v>
      </c>
      <c r="AC52">
        <f t="shared" si="37"/>
        <v>8.7491342094388198</v>
      </c>
      <c r="AE52">
        <f t="shared" si="38"/>
        <v>0.77286496651513614</v>
      </c>
      <c r="AF52">
        <v>15</v>
      </c>
      <c r="AG52">
        <f t="shared" si="39"/>
        <v>19.408306301727333</v>
      </c>
      <c r="AH52">
        <f t="shared" si="40"/>
        <v>11</v>
      </c>
      <c r="AI52" s="4">
        <f t="shared" si="41"/>
        <v>15.990070465813117</v>
      </c>
    </row>
    <row r="53" spans="1:35" ht="13.8" x14ac:dyDescent="0.25">
      <c r="A53" s="7">
        <f>0.4*L45</f>
        <v>1485.2991543536964</v>
      </c>
      <c r="B53" s="6">
        <f t="shared" si="18"/>
        <v>20.498486090436842</v>
      </c>
      <c r="C53" s="6">
        <f t="shared" si="19"/>
        <v>1.1613187931458806</v>
      </c>
      <c r="D53" s="6">
        <f t="shared" si="20"/>
        <v>1.1818566906006684</v>
      </c>
      <c r="E53" s="6">
        <f t="shared" si="21"/>
        <v>0.92175347362380022</v>
      </c>
      <c r="F53" s="6">
        <f t="shared" si="22"/>
        <v>20.830860534124625</v>
      </c>
      <c r="G53" s="6" t="s">
        <v>172</v>
      </c>
      <c r="H53" s="6" t="s">
        <v>173</v>
      </c>
      <c r="I53" s="6" t="s">
        <v>174</v>
      </c>
      <c r="J53" s="6">
        <v>3.9E-2</v>
      </c>
      <c r="K53" s="6">
        <v>0.33700000000000002</v>
      </c>
      <c r="L53" s="6">
        <f t="shared" si="23"/>
        <v>1.1613187931458806</v>
      </c>
      <c r="M53" s="6">
        <v>14.988</v>
      </c>
      <c r="N53" s="6">
        <f t="shared" si="24"/>
        <v>7.7483239467966411E-2</v>
      </c>
      <c r="O53" s="6">
        <f t="shared" si="25"/>
        <v>7.2577112502670127E-2</v>
      </c>
      <c r="P53" s="6">
        <f t="shared" si="26"/>
        <v>4.1537440566724267E-2</v>
      </c>
      <c r="Q53" s="6">
        <f t="shared" si="27"/>
        <v>3.1039671935945867E-2</v>
      </c>
      <c r="R53" s="6">
        <f t="shared" si="28"/>
        <v>2.7133284711309651E-2</v>
      </c>
      <c r="S53" s="6">
        <f t="shared" si="29"/>
        <v>4.5285450111234908E-2</v>
      </c>
      <c r="T53" s="6">
        <f t="shared" si="30"/>
        <v>7.2418734822544559E-2</v>
      </c>
      <c r="U53" s="6">
        <f t="shared" si="31"/>
        <v>11.992552849359837</v>
      </c>
      <c r="V53" s="6">
        <f t="shared" si="32"/>
        <v>11.665512279251761</v>
      </c>
      <c r="W53" s="6">
        <f t="shared" si="33"/>
        <v>20.498486090436842</v>
      </c>
      <c r="X53" s="1"/>
      <c r="Y53" s="1">
        <f t="shared" si="34"/>
        <v>1.1818566906006684</v>
      </c>
      <c r="Z53" s="2">
        <v>15</v>
      </c>
      <c r="AA53">
        <f t="shared" si="35"/>
        <v>12.691894135131037</v>
      </c>
      <c r="AB53" s="5">
        <f t="shared" si="36"/>
        <v>5</v>
      </c>
      <c r="AC53">
        <f t="shared" si="37"/>
        <v>11.665512279251761</v>
      </c>
      <c r="AE53">
        <f t="shared" si="38"/>
        <v>0.92175347362380022</v>
      </c>
      <c r="AF53">
        <v>15</v>
      </c>
      <c r="AG53">
        <f t="shared" si="39"/>
        <v>16.273331676233013</v>
      </c>
      <c r="AH53">
        <f t="shared" si="40"/>
        <v>11</v>
      </c>
      <c r="AI53" s="4">
        <f t="shared" si="41"/>
        <v>11.992552849359837</v>
      </c>
    </row>
    <row r="54" spans="1:35" ht="13.8" x14ac:dyDescent="0.25">
      <c r="A54" s="7">
        <f>0.5*L45</f>
        <v>1856.6239429421203</v>
      </c>
      <c r="B54" s="6">
        <f t="shared" si="18"/>
        <v>12.664774016070655</v>
      </c>
      <c r="C54" s="6">
        <f t="shared" si="19"/>
        <v>1.1160888020997175</v>
      </c>
      <c r="D54" s="6">
        <f t="shared" si="20"/>
        <v>0.97305912676640105</v>
      </c>
      <c r="E54" s="6">
        <f t="shared" si="21"/>
        <v>1.027672952201325</v>
      </c>
      <c r="F54" s="6">
        <f t="shared" si="22"/>
        <v>12.666666666666666</v>
      </c>
      <c r="G54" s="6" t="s">
        <v>171</v>
      </c>
      <c r="H54" s="6" t="s">
        <v>170</v>
      </c>
      <c r="I54" s="6" t="s">
        <v>169</v>
      </c>
      <c r="J54" s="6">
        <v>1.9E-2</v>
      </c>
      <c r="K54" s="6">
        <v>0.27</v>
      </c>
      <c r="L54" s="6">
        <f t="shared" si="23"/>
        <v>1.1160888020997175</v>
      </c>
      <c r="M54" s="6">
        <v>14.984</v>
      </c>
      <c r="N54" s="6">
        <f t="shared" si="24"/>
        <v>7.4485371202597267E-2</v>
      </c>
      <c r="O54" s="6">
        <f t="shared" si="25"/>
        <v>7.2673106597622272E-2</v>
      </c>
      <c r="P54" s="6">
        <f t="shared" si="26"/>
        <v>5.1632127393546917E-2</v>
      </c>
      <c r="Q54" s="6">
        <f t="shared" si="27"/>
        <v>2.1040979204075359E-2</v>
      </c>
      <c r="R54" s="6">
        <f t="shared" si="28"/>
        <v>1.6330649118737967E-2</v>
      </c>
      <c r="S54" s="6">
        <f t="shared" si="29"/>
        <v>4.5032801199417542E-2</v>
      </c>
      <c r="T54" s="6">
        <f t="shared" si="30"/>
        <v>6.1363450318155509E-2</v>
      </c>
      <c r="U54" s="6">
        <f t="shared" si="31"/>
        <v>9.5940422794878693</v>
      </c>
      <c r="V54" s="6">
        <f t="shared" si="32"/>
        <v>14.581890349064702</v>
      </c>
      <c r="W54" s="6">
        <f t="shared" si="33"/>
        <v>12.664774016070655</v>
      </c>
      <c r="X54" s="1"/>
      <c r="Y54" s="1">
        <f t="shared" si="34"/>
        <v>0.97305912676640105</v>
      </c>
      <c r="Z54" s="2">
        <v>15</v>
      </c>
      <c r="AA54">
        <f t="shared" si="35"/>
        <v>15.415301688651647</v>
      </c>
      <c r="AB54" s="5">
        <f t="shared" si="36"/>
        <v>5</v>
      </c>
      <c r="AC54">
        <f t="shared" si="37"/>
        <v>14.581890349064702</v>
      </c>
      <c r="AE54">
        <f t="shared" si="38"/>
        <v>1.027672952201325</v>
      </c>
      <c r="AF54">
        <v>15</v>
      </c>
      <c r="AG54">
        <f t="shared" si="39"/>
        <v>14.596083284929584</v>
      </c>
      <c r="AH54">
        <f t="shared" si="40"/>
        <v>11</v>
      </c>
      <c r="AI54" s="4">
        <f t="shared" si="41"/>
        <v>9.5940422794878693</v>
      </c>
    </row>
    <row r="55" spans="1:35" ht="13.8" x14ac:dyDescent="0.25">
      <c r="A55" s="7">
        <f>0.6*L45</f>
        <v>2227.9487315305441</v>
      </c>
      <c r="B55" s="6">
        <f t="shared" si="18"/>
        <v>7.3343685305901989</v>
      </c>
      <c r="C55" s="6">
        <f t="shared" si="19"/>
        <v>1.1261556113913942</v>
      </c>
      <c r="D55" s="6">
        <f t="shared" si="20"/>
        <v>0.8242387845746294</v>
      </c>
      <c r="E55" s="6">
        <f t="shared" si="21"/>
        <v>1.1030587036429838</v>
      </c>
      <c r="F55" s="6">
        <f t="shared" si="22"/>
        <v>7.2645739910313898</v>
      </c>
      <c r="G55" s="23" t="s">
        <v>177</v>
      </c>
      <c r="H55" s="23" t="s">
        <v>175</v>
      </c>
      <c r="I55" s="23" t="s">
        <v>176</v>
      </c>
      <c r="J55" s="6">
        <v>8.9999999999999993E-3</v>
      </c>
      <c r="K55" s="6">
        <v>0.223</v>
      </c>
      <c r="L55" s="6">
        <f t="shared" si="23"/>
        <v>1.1261556113913942</v>
      </c>
      <c r="M55" s="6">
        <v>14.976000000000001</v>
      </c>
      <c r="N55" s="6">
        <f t="shared" si="24"/>
        <v>7.5197356529874068E-2</v>
      </c>
      <c r="O55" s="6">
        <f t="shared" si="25"/>
        <v>7.458209515774776E-2</v>
      </c>
      <c r="P55" s="6">
        <f t="shared" si="26"/>
        <v>5.9484993513368604E-2</v>
      </c>
      <c r="Q55" s="6">
        <f t="shared" si="27"/>
        <v>1.5097101644379161E-2</v>
      </c>
      <c r="R55" s="6">
        <f t="shared" si="28"/>
        <v>9.5996620233032848E-3</v>
      </c>
      <c r="S55" s="6">
        <f t="shared" si="29"/>
        <v>4.3234965360781828E-2</v>
      </c>
      <c r="T55" s="6">
        <f t="shared" si="30"/>
        <v>5.2834627384085113E-2</v>
      </c>
      <c r="U55" s="6">
        <f t="shared" si="31"/>
        <v>7.9950352329065586</v>
      </c>
      <c r="V55" s="6">
        <f t="shared" si="32"/>
        <v>17.49826841887764</v>
      </c>
      <c r="W55" s="6">
        <f t="shared" si="33"/>
        <v>7.3343685305901989</v>
      </c>
      <c r="X55" s="1"/>
      <c r="Y55" s="1">
        <f t="shared" si="34"/>
        <v>0.8242387845746294</v>
      </c>
      <c r="Z55" s="2">
        <v>15</v>
      </c>
      <c r="AA55">
        <f t="shared" si="35"/>
        <v>18.198609772702159</v>
      </c>
      <c r="AB55" s="5">
        <f t="shared" si="36"/>
        <v>5</v>
      </c>
      <c r="AC55">
        <f t="shared" si="37"/>
        <v>17.49826841887764</v>
      </c>
      <c r="AE55">
        <f t="shared" si="38"/>
        <v>1.1030587036429838</v>
      </c>
      <c r="AF55">
        <v>15</v>
      </c>
      <c r="AG55">
        <f t="shared" si="39"/>
        <v>13.598550966019035</v>
      </c>
      <c r="AH55">
        <f t="shared" si="40"/>
        <v>11</v>
      </c>
      <c r="AI55" s="4">
        <f t="shared" si="41"/>
        <v>7.9950352329065586</v>
      </c>
    </row>
    <row r="56" spans="1:35" ht="13.8" x14ac:dyDescent="0.25">
      <c r="A56" s="7">
        <f>0.7*L45</f>
        <v>2599.273520118968</v>
      </c>
      <c r="B56" s="6">
        <f t="shared" si="18"/>
        <v>4.0304794089256939</v>
      </c>
      <c r="C56" s="6">
        <f t="shared" si="19"/>
        <v>1.1527645150084647</v>
      </c>
      <c r="D56" s="6">
        <f t="shared" si="20"/>
        <v>0.71367280851715031</v>
      </c>
      <c r="E56" s="6">
        <f t="shared" si="21"/>
        <v>1.1574058055203982</v>
      </c>
      <c r="F56" s="6">
        <f t="shared" si="22"/>
        <v>3.7113402061855667</v>
      </c>
      <c r="G56" s="23" t="s">
        <v>178</v>
      </c>
      <c r="H56" s="23" t="s">
        <v>179</v>
      </c>
      <c r="I56" s="23" t="s">
        <v>180</v>
      </c>
      <c r="J56" s="6">
        <v>4.0000000000000001E-3</v>
      </c>
      <c r="K56" s="6">
        <v>0.19400000000000001</v>
      </c>
      <c r="L56" s="6">
        <f t="shared" si="23"/>
        <v>1.1527645150084647</v>
      </c>
      <c r="M56" s="6">
        <v>14.971</v>
      </c>
      <c r="N56" s="6">
        <f t="shared" si="24"/>
        <v>7.6999834012989418E-2</v>
      </c>
      <c r="O56" s="6">
        <f t="shared" si="25"/>
        <v>7.6809398103374796E-2</v>
      </c>
      <c r="P56" s="6">
        <f t="shared" si="26"/>
        <v>6.5490978600780195E-2</v>
      </c>
      <c r="Q56" s="6">
        <f t="shared" si="27"/>
        <v>1.1318419502594601E-2</v>
      </c>
      <c r="R56" s="6">
        <f t="shared" si="28"/>
        <v>5.4120976548105576E-3</v>
      </c>
      <c r="S56" s="6">
        <f t="shared" si="29"/>
        <v>4.0800208936423409E-2</v>
      </c>
      <c r="T56" s="6">
        <f t="shared" si="30"/>
        <v>4.6212306591233966E-2</v>
      </c>
      <c r="U56" s="6">
        <f t="shared" si="31"/>
        <v>6.8528873424913357</v>
      </c>
      <c r="V56" s="6">
        <f t="shared" si="32"/>
        <v>20.414646488690579</v>
      </c>
      <c r="W56" s="6">
        <f t="shared" si="33"/>
        <v>4.0304794089256939</v>
      </c>
      <c r="X56" s="1"/>
      <c r="Y56" s="1">
        <f t="shared" si="34"/>
        <v>0.71367280851715031</v>
      </c>
      <c r="Z56" s="2">
        <v>15</v>
      </c>
      <c r="AA56">
        <f t="shared" si="35"/>
        <v>21.01803490477182</v>
      </c>
      <c r="AB56" s="5">
        <f t="shared" si="36"/>
        <v>5</v>
      </c>
      <c r="AC56">
        <f t="shared" si="37"/>
        <v>20.414646488690579</v>
      </c>
      <c r="AE56">
        <f t="shared" si="38"/>
        <v>1.1574058055203982</v>
      </c>
      <c r="AF56">
        <v>15</v>
      </c>
      <c r="AG56">
        <f t="shared" si="39"/>
        <v>12.960017937058497</v>
      </c>
      <c r="AH56">
        <f t="shared" si="40"/>
        <v>11</v>
      </c>
      <c r="AI56" s="4">
        <f t="shared" si="41"/>
        <v>6.8528873424913357</v>
      </c>
    </row>
    <row r="57" spans="1:35" ht="13.8" x14ac:dyDescent="0.25">
      <c r="A57" s="7">
        <f>0.8*L45</f>
        <v>2970.5983087073928</v>
      </c>
      <c r="B57" s="6">
        <f t="shared" si="18"/>
        <v>2.0156307149178381</v>
      </c>
      <c r="C57" s="6">
        <f t="shared" si="19"/>
        <v>1.1807204019663511</v>
      </c>
      <c r="D57" s="6">
        <f t="shared" si="20"/>
        <v>0.6286467382177493</v>
      </c>
      <c r="E57" s="6">
        <f t="shared" si="21"/>
        <v>1.19730066451849</v>
      </c>
      <c r="F57" s="6">
        <f t="shared" si="22"/>
        <v>2.1301775147928992</v>
      </c>
      <c r="G57" s="23" t="s">
        <v>183</v>
      </c>
      <c r="H57" s="23" t="s">
        <v>181</v>
      </c>
      <c r="I57" s="23" t="s">
        <v>182</v>
      </c>
      <c r="J57" s="6">
        <v>2E-3</v>
      </c>
      <c r="K57" s="6">
        <v>0.16900000000000001</v>
      </c>
      <c r="L57" s="6">
        <f t="shared" si="23"/>
        <v>1.1807204019663511</v>
      </c>
      <c r="M57" s="6">
        <v>14.962</v>
      </c>
      <c r="N57" s="6">
        <f t="shared" si="24"/>
        <v>7.8914610477633415E-2</v>
      </c>
      <c r="O57" s="6">
        <f t="shared" si="25"/>
        <v>7.8865783560798555E-2</v>
      </c>
      <c r="P57" s="6">
        <f t="shared" si="26"/>
        <v>7.0083634194758215E-2</v>
      </c>
      <c r="Q57" s="6">
        <f t="shared" si="27"/>
        <v>8.7821493660403451E-3</v>
      </c>
      <c r="R57" s="6">
        <f t="shared" si="28"/>
        <v>2.7755954636594013E-3</v>
      </c>
      <c r="S57" s="6">
        <f t="shared" si="29"/>
        <v>3.8203713043447281E-2</v>
      </c>
      <c r="T57" s="6">
        <f t="shared" si="30"/>
        <v>4.0979308507106682E-2</v>
      </c>
      <c r="U57" s="6">
        <f t="shared" si="31"/>
        <v>5.9962764246799187</v>
      </c>
      <c r="V57" s="6">
        <f t="shared" si="32"/>
        <v>23.331024558503522</v>
      </c>
      <c r="W57" s="6">
        <f t="shared" si="33"/>
        <v>2.0156307149178381</v>
      </c>
      <c r="X57" s="1"/>
      <c r="Y57" s="1">
        <f t="shared" si="34"/>
        <v>0.6286467382177493</v>
      </c>
      <c r="Z57" s="2">
        <v>15</v>
      </c>
      <c r="AA57">
        <f t="shared" si="35"/>
        <v>23.860777584762289</v>
      </c>
      <c r="AB57" s="5">
        <f t="shared" si="36"/>
        <v>5</v>
      </c>
      <c r="AC57">
        <f t="shared" si="37"/>
        <v>23.331024558503522</v>
      </c>
      <c r="AE57">
        <f t="shared" si="38"/>
        <v>1.19730066451849</v>
      </c>
      <c r="AF57">
        <v>15</v>
      </c>
      <c r="AG57">
        <f t="shared" si="39"/>
        <v>12.528181470635401</v>
      </c>
      <c r="AH57">
        <f t="shared" si="40"/>
        <v>11</v>
      </c>
      <c r="AI57" s="4">
        <f t="shared" si="41"/>
        <v>5.9962764246799187</v>
      </c>
    </row>
    <row r="58" spans="1:35" ht="13.8" x14ac:dyDescent="0.25">
      <c r="A58" s="7">
        <f>0.9*L45</f>
        <v>3341.9230972958167</v>
      </c>
      <c r="B58" s="6">
        <f t="shared" si="18"/>
        <v>0.77515027019527405</v>
      </c>
      <c r="C58" s="6">
        <f t="shared" si="19"/>
        <v>1.2091104320908026</v>
      </c>
      <c r="D58" s="6">
        <f t="shared" si="20"/>
        <v>0.56138992691068046</v>
      </c>
      <c r="E58" s="6">
        <f t="shared" si="21"/>
        <v>1.2271641543400358</v>
      </c>
      <c r="F58" s="6">
        <f t="shared" si="22"/>
        <v>1.044</v>
      </c>
      <c r="G58" s="23" t="s">
        <v>184</v>
      </c>
      <c r="H58" s="23" t="s">
        <v>185</v>
      </c>
      <c r="I58" s="23" t="s">
        <v>186</v>
      </c>
      <c r="J58" s="6">
        <v>8.7000000000000001E-4</v>
      </c>
      <c r="K58" s="6">
        <v>0.15</v>
      </c>
      <c r="L58" s="6">
        <f t="shared" si="23"/>
        <v>1.2091104320908026</v>
      </c>
      <c r="M58" s="6">
        <v>14.994999999999999</v>
      </c>
      <c r="N58" s="6">
        <f t="shared" si="24"/>
        <v>8.0634240219460002E-2</v>
      </c>
      <c r="O58" s="6">
        <f t="shared" si="25"/>
        <v>8.0626861017119758E-2</v>
      </c>
      <c r="P58" s="6">
        <f t="shared" si="26"/>
        <v>7.3623335460746883E-2</v>
      </c>
      <c r="Q58" s="6">
        <f t="shared" si="27"/>
        <v>7.0035255563728697E-3</v>
      </c>
      <c r="R58" s="6">
        <f t="shared" si="28"/>
        <v>1.0908612632390957E-3</v>
      </c>
      <c r="S58" s="6">
        <f t="shared" si="29"/>
        <v>3.5674009755925461E-2</v>
      </c>
      <c r="T58" s="6">
        <f t="shared" si="30"/>
        <v>3.6764871019164556E-2</v>
      </c>
      <c r="U58" s="6">
        <f t="shared" si="31"/>
        <v>5.3300234886043727</v>
      </c>
      <c r="V58" s="6">
        <f t="shared" si="32"/>
        <v>26.247402628316465</v>
      </c>
      <c r="W58" s="6">
        <f t="shared" si="33"/>
        <v>0.77515027019527405</v>
      </c>
      <c r="X58" s="1"/>
      <c r="Y58" s="1">
        <f t="shared" si="34"/>
        <v>0.56138992691068046</v>
      </c>
      <c r="Z58" s="2">
        <v>15</v>
      </c>
      <c r="AA58">
        <f t="shared" si="35"/>
        <v>26.719396414083796</v>
      </c>
      <c r="AB58" s="5">
        <f t="shared" si="36"/>
        <v>5</v>
      </c>
      <c r="AC58">
        <f t="shared" si="37"/>
        <v>26.247402628316465</v>
      </c>
      <c r="AE58">
        <f t="shared" si="38"/>
        <v>1.2271641543400358</v>
      </c>
      <c r="AF58">
        <v>15</v>
      </c>
      <c r="AG58">
        <f t="shared" si="39"/>
        <v>12.223303579191443</v>
      </c>
      <c r="AH58">
        <f t="shared" si="40"/>
        <v>11</v>
      </c>
      <c r="AI58" s="4">
        <f t="shared" si="41"/>
        <v>5.3300234886043727</v>
      </c>
    </row>
    <row r="59" spans="1:35" ht="13.8" x14ac:dyDescent="0.25">
      <c r="A59" s="7">
        <f>1*L45</f>
        <v>3713.2478858842405</v>
      </c>
      <c r="B59" s="6">
        <f t="shared" si="18"/>
        <v>0</v>
      </c>
      <c r="C59" s="6">
        <f t="shared" si="19"/>
        <v>1.2269722554804254</v>
      </c>
      <c r="D59" s="6">
        <f t="shared" si="20"/>
        <v>0.50694017370339373</v>
      </c>
      <c r="E59" s="6">
        <f t="shared" si="21"/>
        <v>1.2499504724960233</v>
      </c>
      <c r="F59" s="6">
        <f t="shared" si="22"/>
        <v>0</v>
      </c>
      <c r="G59" s="23" t="s">
        <v>189</v>
      </c>
      <c r="H59" s="23" t="s">
        <v>187</v>
      </c>
      <c r="I59" s="23" t="s">
        <v>188</v>
      </c>
      <c r="J59" s="6">
        <v>0</v>
      </c>
      <c r="K59" s="6">
        <v>0.13400000000000001</v>
      </c>
      <c r="L59" s="6">
        <f t="shared" si="23"/>
        <v>1.2269722554804254</v>
      </c>
      <c r="M59" s="6">
        <v>14.946</v>
      </c>
      <c r="N59" s="6">
        <f t="shared" si="24"/>
        <v>8.2093687640868829E-2</v>
      </c>
      <c r="O59" s="6">
        <f t="shared" si="25"/>
        <v>8.2093687640868829E-2</v>
      </c>
      <c r="P59" s="6">
        <f t="shared" si="26"/>
        <v>7.6382835647214903E-2</v>
      </c>
      <c r="Q59" s="6">
        <f t="shared" si="27"/>
        <v>5.710851993653932E-3</v>
      </c>
      <c r="R59" s="6">
        <f t="shared" si="28"/>
        <v>0</v>
      </c>
      <c r="S59" s="6">
        <f t="shared" si="29"/>
        <v>3.331000702847968E-2</v>
      </c>
      <c r="T59" s="6">
        <f t="shared" si="30"/>
        <v>3.3310007028479673E-2</v>
      </c>
      <c r="U59" s="6">
        <f t="shared" si="31"/>
        <v>4.7970211397439346</v>
      </c>
      <c r="V59" s="6">
        <f t="shared" si="32"/>
        <v>29.163780698129404</v>
      </c>
      <c r="W59" s="6">
        <f t="shared" si="33"/>
        <v>0</v>
      </c>
      <c r="X59" s="1"/>
      <c r="Y59" s="1">
        <f t="shared" si="34"/>
        <v>0.50694017370339373</v>
      </c>
      <c r="Z59" s="2">
        <v>15</v>
      </c>
      <c r="AA59">
        <f t="shared" si="35"/>
        <v>29.58929037014212</v>
      </c>
      <c r="AB59" s="5">
        <f t="shared" si="36"/>
        <v>5</v>
      </c>
      <c r="AC59">
        <f t="shared" si="37"/>
        <v>29.163780698129404</v>
      </c>
      <c r="AE59">
        <f t="shared" si="38"/>
        <v>1.2499504724960233</v>
      </c>
      <c r="AF59">
        <v>15</v>
      </c>
      <c r="AG59">
        <f t="shared" si="39"/>
        <v>12.000475482877761</v>
      </c>
      <c r="AH59">
        <f t="shared" si="40"/>
        <v>11</v>
      </c>
      <c r="AI59" s="4">
        <f t="shared" si="41"/>
        <v>4.7970211397439346</v>
      </c>
    </row>
    <row r="60" spans="1:35" ht="13.8" x14ac:dyDescent="0.25">
      <c r="A60" s="7">
        <f>1.1*L45</f>
        <v>4084.5726744726649</v>
      </c>
      <c r="B60" s="6">
        <f t="shared" si="18"/>
        <v>-0.49031834848399342</v>
      </c>
      <c r="C60" s="6">
        <f t="shared" si="19"/>
        <v>1.2447013520791623</v>
      </c>
      <c r="D60" s="6">
        <f t="shared" si="20"/>
        <v>0.46200089362844327</v>
      </c>
      <c r="E60" s="6">
        <f t="shared" si="21"/>
        <v>1.2676512703541858</v>
      </c>
      <c r="F60" s="6">
        <f t="shared" si="22"/>
        <v>0.49756097560975615</v>
      </c>
      <c r="G60" s="23" t="s">
        <v>190</v>
      </c>
      <c r="H60" s="23" t="s">
        <v>191</v>
      </c>
      <c r="I60" s="23" t="s">
        <v>192</v>
      </c>
      <c r="J60" s="6">
        <v>3.4000000000000002E-4</v>
      </c>
      <c r="K60" s="6">
        <v>0.123</v>
      </c>
      <c r="L60" s="6">
        <f t="shared" si="23"/>
        <v>1.2447013520791623</v>
      </c>
      <c r="M60" s="6">
        <v>14.941000000000001</v>
      </c>
      <c r="N60" s="6">
        <f t="shared" si="24"/>
        <v>8.3307767356881224E-2</v>
      </c>
      <c r="O60" s="6">
        <f t="shared" si="25"/>
        <v>8.3304716907127971E-2</v>
      </c>
      <c r="P60" s="6">
        <f t="shared" si="26"/>
        <v>7.8561498557939521E-2</v>
      </c>
      <c r="Q60" s="6">
        <f t="shared" si="27"/>
        <v>4.7432183491884477E-3</v>
      </c>
      <c r="R60" s="6">
        <f t="shared" si="28"/>
        <v>-7.1291164355208325E-4</v>
      </c>
      <c r="S60" s="6">
        <f t="shared" si="29"/>
        <v>3.1145551186148639E-2</v>
      </c>
      <c r="T60" s="6">
        <f t="shared" si="30"/>
        <v>3.0432639542596555E-2</v>
      </c>
      <c r="U60" s="6">
        <f t="shared" si="31"/>
        <v>4.3609283088581225</v>
      </c>
      <c r="V60" s="6">
        <f t="shared" si="32"/>
        <v>32.080158767942343</v>
      </c>
      <c r="W60" s="6">
        <f>ATAN(R60/O60)*180/PI()</f>
        <v>-0.49031834848399342</v>
      </c>
      <c r="X60" s="1"/>
      <c r="Y60" s="1">
        <f t="shared" si="34"/>
        <v>0.46200089362844327</v>
      </c>
      <c r="Z60" s="2">
        <v>15</v>
      </c>
      <c r="AA60">
        <f t="shared" si="35"/>
        <v>32.46746966698187</v>
      </c>
      <c r="AB60" s="5">
        <f t="shared" si="36"/>
        <v>5</v>
      </c>
      <c r="AC60">
        <f t="shared" si="37"/>
        <v>32.080158767942343</v>
      </c>
      <c r="AE60">
        <f t="shared" si="38"/>
        <v>1.2676512703541858</v>
      </c>
      <c r="AF60">
        <v>15</v>
      </c>
      <c r="AG60">
        <f t="shared" si="39"/>
        <v>11.832907323012387</v>
      </c>
      <c r="AH60">
        <f t="shared" si="40"/>
        <v>11</v>
      </c>
      <c r="AI60" s="4">
        <f t="shared" si="41"/>
        <v>4.3609283088581225</v>
      </c>
    </row>
    <row r="61" spans="1:35" ht="13.8" x14ac:dyDescent="0.25">
      <c r="A61" s="7">
        <f>1.2*L45</f>
        <v>4455.8974630610883</v>
      </c>
      <c r="B61" s="6">
        <f t="shared" si="18"/>
        <v>-0.80227086539350312</v>
      </c>
      <c r="C61" s="6">
        <f t="shared" si="19"/>
        <v>1.2591250968733538</v>
      </c>
      <c r="D61" s="6">
        <f t="shared" si="20"/>
        <v>0.42430521292943574</v>
      </c>
      <c r="E61" s="6">
        <f t="shared" si="21"/>
        <v>1.2816293514987969</v>
      </c>
      <c r="F61" s="6">
        <f t="shared" si="22"/>
        <v>0.74389380530973459</v>
      </c>
      <c r="G61" s="23" t="s">
        <v>195</v>
      </c>
      <c r="H61" s="23" t="s">
        <v>193</v>
      </c>
      <c r="I61" s="23" t="s">
        <v>194</v>
      </c>
      <c r="J61" s="6">
        <v>4.6700000000000002E-4</v>
      </c>
      <c r="K61" s="6">
        <v>0.113</v>
      </c>
      <c r="L61" s="6">
        <f t="shared" si="23"/>
        <v>1.2591250968733538</v>
      </c>
      <c r="M61" s="6">
        <v>14.933999999999999</v>
      </c>
      <c r="N61" s="6">
        <f t="shared" si="24"/>
        <v>8.4312648779520147E-2</v>
      </c>
      <c r="O61" s="6">
        <f t="shared" si="25"/>
        <v>8.4304383597559818E-2</v>
      </c>
      <c r="P61" s="6">
        <f t="shared" si="26"/>
        <v>8.0303607737135518E-2</v>
      </c>
      <c r="Q61" s="6">
        <f t="shared" si="27"/>
        <v>4.0007758604243063E-3</v>
      </c>
      <c r="R61" s="6">
        <f t="shared" si="28"/>
        <v>-1.1805297345711119E-3</v>
      </c>
      <c r="S61" s="6">
        <f t="shared" si="29"/>
        <v>2.9183189690359372E-2</v>
      </c>
      <c r="T61" s="6">
        <f t="shared" si="30"/>
        <v>2.800265995578826E-2</v>
      </c>
      <c r="U61" s="6">
        <f t="shared" si="31"/>
        <v>3.9975176164532793</v>
      </c>
      <c r="V61" s="6">
        <f t="shared" si="32"/>
        <v>34.996536837755279</v>
      </c>
      <c r="W61" s="6">
        <f>ATAN(R61/O61)*180/PI()</f>
        <v>-0.80227086539350312</v>
      </c>
      <c r="X61" s="1"/>
      <c r="Y61" s="1">
        <f t="shared" si="34"/>
        <v>0.42430521292943574</v>
      </c>
      <c r="Z61" s="2">
        <v>15</v>
      </c>
      <c r="AA61">
        <f t="shared" si="35"/>
        <v>35.351910707009345</v>
      </c>
      <c r="AB61" s="5">
        <f t="shared" si="36"/>
        <v>5</v>
      </c>
      <c r="AC61">
        <f t="shared" si="37"/>
        <v>34.996536837755279</v>
      </c>
      <c r="AE61">
        <f t="shared" si="38"/>
        <v>1.2816293514987969</v>
      </c>
      <c r="AF61">
        <v>15</v>
      </c>
      <c r="AG61">
        <f t="shared" si="39"/>
        <v>11.703851805873752</v>
      </c>
      <c r="AH61">
        <f t="shared" si="40"/>
        <v>11</v>
      </c>
      <c r="AI61" s="4">
        <f t="shared" si="41"/>
        <v>3.9975176164532793</v>
      </c>
    </row>
    <row r="62" spans="1:35" ht="13.8" x14ac:dyDescent="0.25">
      <c r="A62" s="7">
        <f>1.3*L45</f>
        <v>4827.2222516495131</v>
      </c>
      <c r="B62" s="6">
        <f t="shared" si="18"/>
        <v>-1.0000361791846359</v>
      </c>
      <c r="C62" s="6">
        <f t="shared" si="19"/>
        <v>1.270801218996314</v>
      </c>
      <c r="D62" s="6">
        <f t="shared" si="20"/>
        <v>0.39224714017278761</v>
      </c>
      <c r="E62" s="6">
        <f t="shared" si="21"/>
        <v>1.2928333995428296</v>
      </c>
      <c r="F62" s="6">
        <f t="shared" si="22"/>
        <v>1.5888461538461538</v>
      </c>
      <c r="G62" s="23" t="s">
        <v>196</v>
      </c>
      <c r="H62" s="23" t="s">
        <v>197</v>
      </c>
      <c r="I62" s="23" t="s">
        <v>198</v>
      </c>
      <c r="J62" s="6">
        <v>9.1799999999999998E-4</v>
      </c>
      <c r="K62" s="6">
        <v>0.104</v>
      </c>
      <c r="L62" s="6">
        <f t="shared" si="23"/>
        <v>1.270801218996314</v>
      </c>
      <c r="M62" s="6">
        <v>14.925000000000001</v>
      </c>
      <c r="N62" s="6">
        <f t="shared" si="24"/>
        <v>8.5145810318010981E-2</v>
      </c>
      <c r="O62" s="6">
        <f t="shared" si="25"/>
        <v>8.513284126034143E-2</v>
      </c>
      <c r="P62" s="6">
        <f t="shared" si="26"/>
        <v>8.1713778616480756E-2</v>
      </c>
      <c r="Q62" s="6">
        <f t="shared" si="27"/>
        <v>3.4190626438606775E-3</v>
      </c>
      <c r="R62" s="6">
        <f t="shared" si="28"/>
        <v>-1.48605304488501E-3</v>
      </c>
      <c r="S62" s="6">
        <f t="shared" si="29"/>
        <v>2.741137926095203E-2</v>
      </c>
      <c r="T62" s="6">
        <f t="shared" si="30"/>
        <v>2.592532621606702E-2</v>
      </c>
      <c r="U62" s="6">
        <f t="shared" si="31"/>
        <v>3.690016261341488</v>
      </c>
      <c r="V62" s="6">
        <f t="shared" si="32"/>
        <v>37.912914907568222</v>
      </c>
      <c r="W62" s="6">
        <f t="shared" si="33"/>
        <v>-1.0000361791846359</v>
      </c>
      <c r="X62" s="1"/>
      <c r="Y62" s="1">
        <f t="shared" si="34"/>
        <v>0.39224714017278761</v>
      </c>
      <c r="Z62" s="2">
        <v>15</v>
      </c>
      <c r="AA62">
        <f t="shared" si="35"/>
        <v>38.241196592006752</v>
      </c>
      <c r="AB62" s="5">
        <f t="shared" si="36"/>
        <v>5</v>
      </c>
      <c r="AC62">
        <f t="shared" si="37"/>
        <v>37.912914907568222</v>
      </c>
      <c r="AE62">
        <f t="shared" si="38"/>
        <v>1.2928333995428296</v>
      </c>
      <c r="AF62">
        <v>15</v>
      </c>
      <c r="AG62">
        <f t="shared" si="39"/>
        <v>11.602423023186347</v>
      </c>
      <c r="AH62">
        <f t="shared" si="40"/>
        <v>11</v>
      </c>
      <c r="AI62" s="4">
        <f t="shared" si="41"/>
        <v>3.690016261341488</v>
      </c>
    </row>
    <row r="63" spans="1:35" ht="13.8" x14ac:dyDescent="0.25">
      <c r="A63" s="7">
        <f>1.4*L45</f>
        <v>5198.547040237936</v>
      </c>
      <c r="B63" s="6">
        <f t="shared" si="18"/>
        <v>-1.1232622318831889</v>
      </c>
      <c r="C63" s="6">
        <f t="shared" si="19"/>
        <v>1.2805606342200329</v>
      </c>
      <c r="D63" s="6">
        <f t="shared" si="20"/>
        <v>0.36465912042289023</v>
      </c>
      <c r="E63" s="6">
        <f t="shared" si="21"/>
        <v>1.3019356163076081</v>
      </c>
      <c r="F63" s="6">
        <f t="shared" si="22"/>
        <v>1.0424999999999998</v>
      </c>
      <c r="G63" s="23" t="s">
        <v>201</v>
      </c>
      <c r="H63" s="23" t="s">
        <v>199</v>
      </c>
      <c r="I63" s="23" t="s">
        <v>200</v>
      </c>
      <c r="J63" s="6">
        <v>5.5599999999999996E-4</v>
      </c>
      <c r="K63" s="6">
        <v>9.6000000000000002E-2</v>
      </c>
      <c r="L63" s="6">
        <f t="shared" si="23"/>
        <v>1.2805606342200329</v>
      </c>
      <c r="M63" s="6">
        <v>14.917999999999999</v>
      </c>
      <c r="N63" s="6">
        <f t="shared" si="24"/>
        <v>8.5839967436655909E-2</v>
      </c>
      <c r="O63" s="6">
        <f t="shared" si="25"/>
        <v>8.5823472042893187E-2</v>
      </c>
      <c r="P63" s="6">
        <f t="shared" si="26"/>
        <v>8.2868443729391061E-2</v>
      </c>
      <c r="Q63" s="6">
        <f t="shared" si="27"/>
        <v>2.955028313502132E-3</v>
      </c>
      <c r="R63" s="6">
        <f t="shared" si="28"/>
        <v>-1.6827525156356861E-3</v>
      </c>
      <c r="S63" s="6">
        <f t="shared" si="29"/>
        <v>2.5813095869322702E-2</v>
      </c>
      <c r="T63" s="6">
        <f t="shared" si="30"/>
        <v>2.4130343353687016E-2</v>
      </c>
      <c r="U63" s="6">
        <f t="shared" si="31"/>
        <v>3.4264436712456678</v>
      </c>
      <c r="V63" s="6">
        <f t="shared" si="32"/>
        <v>40.829292977381158</v>
      </c>
      <c r="W63" s="6">
        <f t="shared" si="33"/>
        <v>-1.1232622318831889</v>
      </c>
      <c r="X63" s="1"/>
      <c r="Y63" s="1">
        <f t="shared" si="34"/>
        <v>0.36465912042289023</v>
      </c>
      <c r="Z63" s="2">
        <v>15</v>
      </c>
      <c r="AA63">
        <f t="shared" si="35"/>
        <v>41.134306424599238</v>
      </c>
      <c r="AB63" s="5">
        <f t="shared" si="36"/>
        <v>5</v>
      </c>
      <c r="AC63">
        <f t="shared" si="37"/>
        <v>40.829292977381158</v>
      </c>
      <c r="AE63">
        <f t="shared" si="38"/>
        <v>1.3019356163076081</v>
      </c>
      <c r="AF63">
        <v>15</v>
      </c>
      <c r="AG63">
        <f t="shared" si="39"/>
        <v>11.52130705398565</v>
      </c>
      <c r="AH63">
        <f t="shared" si="40"/>
        <v>11</v>
      </c>
      <c r="AI63" s="4">
        <f t="shared" si="41"/>
        <v>3.4264436712456678</v>
      </c>
    </row>
    <row r="64" spans="1:35" ht="13.8" x14ac:dyDescent="0.25">
      <c r="A64" s="7">
        <f>1.5*L45</f>
        <v>5569.8718288263608</v>
      </c>
      <c r="B64" s="6">
        <f t="shared" si="18"/>
        <v>-1.1970344954067391</v>
      </c>
      <c r="C64" s="6">
        <f t="shared" si="19"/>
        <v>1.2890698773811033</v>
      </c>
      <c r="D64" s="6">
        <f t="shared" si="20"/>
        <v>0.34067304760381312</v>
      </c>
      <c r="E64" s="6">
        <f t="shared" si="21"/>
        <v>1.3094206092518583</v>
      </c>
      <c r="F64" s="6">
        <f t="shared" si="22"/>
        <v>1.468</v>
      </c>
      <c r="G64" s="23" t="s">
        <v>202</v>
      </c>
      <c r="H64" s="23" t="s">
        <v>203</v>
      </c>
      <c r="I64" s="23" t="s">
        <v>204</v>
      </c>
      <c r="J64" s="6">
        <v>7.3399999999999995E-4</v>
      </c>
      <c r="K64" s="6">
        <v>0.09</v>
      </c>
      <c r="L64" s="6">
        <f t="shared" si="23"/>
        <v>1.2890698773811033</v>
      </c>
      <c r="M64" s="6">
        <v>14.916</v>
      </c>
      <c r="N64" s="6">
        <f t="shared" si="24"/>
        <v>8.6421954772130827E-2</v>
      </c>
      <c r="O64" s="6">
        <f t="shared" si="25"/>
        <v>8.6403094569275266E-2</v>
      </c>
      <c r="P64" s="6">
        <f t="shared" si="26"/>
        <v>8.3824025116749273E-2</v>
      </c>
      <c r="Q64" s="6">
        <f t="shared" si="27"/>
        <v>2.5790694525259978E-3</v>
      </c>
      <c r="R64" s="6">
        <f t="shared" si="28"/>
        <v>-1.8054128306572229E-3</v>
      </c>
      <c r="S64" s="6">
        <f t="shared" si="29"/>
        <v>2.4370037606271083E-2</v>
      </c>
      <c r="T64" s="6">
        <f t="shared" si="30"/>
        <v>2.256462477561386E-2</v>
      </c>
      <c r="U64" s="6">
        <f t="shared" si="31"/>
        <v>3.198014093162624</v>
      </c>
      <c r="V64" s="6">
        <f t="shared" si="32"/>
        <v>43.745671047194108</v>
      </c>
      <c r="W64" s="6">
        <f t="shared" si="33"/>
        <v>-1.1970344954067391</v>
      </c>
      <c r="X64" s="1"/>
      <c r="Y64" s="1">
        <f t="shared" si="34"/>
        <v>0.34067304760381312</v>
      </c>
      <c r="Z64" s="2">
        <v>15</v>
      </c>
      <c r="AA64">
        <f t="shared" si="35"/>
        <v>44.030486431213959</v>
      </c>
      <c r="AB64" s="5">
        <f t="shared" si="36"/>
        <v>5</v>
      </c>
      <c r="AC64">
        <f t="shared" si="37"/>
        <v>43.745671047194108</v>
      </c>
      <c r="AE64">
        <f t="shared" si="38"/>
        <v>1.3094206092518583</v>
      </c>
      <c r="AF64">
        <v>15</v>
      </c>
      <c r="AG64">
        <f t="shared" si="39"/>
        <v>11.455448229557268</v>
      </c>
      <c r="AH64">
        <f t="shared" si="40"/>
        <v>11</v>
      </c>
      <c r="AI64" s="4">
        <f t="shared" si="41"/>
        <v>3.198014093162624</v>
      </c>
    </row>
    <row r="65" spans="1:35" ht="13.8" x14ac:dyDescent="0.25">
      <c r="A65" s="7">
        <f>1.6*L45</f>
        <v>5941.1966174147856</v>
      </c>
      <c r="B65" s="6">
        <f t="shared" si="18"/>
        <v>-1.2375771054359404</v>
      </c>
      <c r="C65" s="6">
        <f t="shared" si="19"/>
        <v>1.2953548285682377</v>
      </c>
      <c r="D65" s="6">
        <f t="shared" si="20"/>
        <v>0.31963063859497304</v>
      </c>
      <c r="E65" s="6">
        <f t="shared" si="21"/>
        <v>1.3156435383782719</v>
      </c>
      <c r="F65" s="6">
        <f t="shared" si="22"/>
        <v>1.2057831325301203</v>
      </c>
      <c r="G65" s="6" t="s">
        <v>207</v>
      </c>
      <c r="H65" s="6" t="s">
        <v>205</v>
      </c>
      <c r="I65" s="6" t="s">
        <v>206</v>
      </c>
      <c r="J65" s="6">
        <v>5.5599999999999996E-4</v>
      </c>
      <c r="K65" s="6">
        <v>8.3000000000000004E-2</v>
      </c>
      <c r="L65" s="6">
        <f t="shared" si="23"/>
        <v>1.2953548285682377</v>
      </c>
      <c r="M65" s="6">
        <v>14.904</v>
      </c>
      <c r="N65" s="6">
        <f t="shared" si="24"/>
        <v>8.6913233264106132E-2</v>
      </c>
      <c r="O65" s="6">
        <f t="shared" si="25"/>
        <v>8.6892959317709517E-2</v>
      </c>
      <c r="P65" s="6">
        <f t="shared" si="26"/>
        <v>8.4622653870406628E-2</v>
      </c>
      <c r="Q65" s="6">
        <f t="shared" si="27"/>
        <v>2.2703054473028951E-3</v>
      </c>
      <c r="R65" s="6">
        <f t="shared" si="28"/>
        <v>-1.8771620686036487E-3</v>
      </c>
      <c r="S65" s="6">
        <f t="shared" si="29"/>
        <v>2.3064582927134918E-2</v>
      </c>
      <c r="T65" s="6">
        <f t="shared" si="30"/>
        <v>2.1187420858531269E-2</v>
      </c>
      <c r="U65" s="6">
        <f t="shared" si="31"/>
        <v>2.9981382123399594</v>
      </c>
      <c r="V65" s="6">
        <f t="shared" si="32"/>
        <v>46.662049117007044</v>
      </c>
      <c r="W65" s="6">
        <f t="shared" si="33"/>
        <v>-1.2375771054359404</v>
      </c>
      <c r="X65" s="1"/>
      <c r="Y65" s="1">
        <f t="shared" si="34"/>
        <v>0.31963063859497304</v>
      </c>
      <c r="Z65" s="2">
        <v>15</v>
      </c>
      <c r="AA65">
        <f t="shared" si="35"/>
        <v>46.929168198445389</v>
      </c>
      <c r="AB65" s="5">
        <f t="shared" si="36"/>
        <v>5</v>
      </c>
      <c r="AC65">
        <f t="shared" si="37"/>
        <v>46.662049117007044</v>
      </c>
      <c r="AE65">
        <f t="shared" si="38"/>
        <v>1.3156435383782719</v>
      </c>
      <c r="AF65">
        <v>15</v>
      </c>
      <c r="AG65">
        <f t="shared" si="39"/>
        <v>11.401264523740034</v>
      </c>
      <c r="AH65">
        <f t="shared" si="40"/>
        <v>11</v>
      </c>
      <c r="AI65" s="4">
        <f t="shared" si="41"/>
        <v>2.9981382123399594</v>
      </c>
    </row>
    <row r="66" spans="1:35" ht="13.8" x14ac:dyDescent="0.25">
      <c r="A66" s="7">
        <f>1.7*L45</f>
        <v>6312.5214060032085</v>
      </c>
      <c r="B66" s="6">
        <f t="shared" si="18"/>
        <v>-1.2555910830893191</v>
      </c>
      <c r="C66" s="6">
        <f t="shared" si="19"/>
        <v>1.301665681678061</v>
      </c>
      <c r="D66" s="6">
        <f t="shared" si="20"/>
        <v>0.30102399250510681</v>
      </c>
      <c r="E66" s="6">
        <f t="shared" si="21"/>
        <v>1.3208687378908981</v>
      </c>
      <c r="F66" s="6">
        <f t="shared" si="22"/>
        <v>1.0412658227848102</v>
      </c>
      <c r="G66" s="6" t="s">
        <v>208</v>
      </c>
      <c r="H66" s="6" t="s">
        <v>209</v>
      </c>
      <c r="I66" s="6" t="s">
        <v>210</v>
      </c>
      <c r="J66" s="6">
        <v>4.57E-4</v>
      </c>
      <c r="K66" s="6">
        <v>7.9000000000000001E-2</v>
      </c>
      <c r="L66" s="6">
        <f t="shared" si="23"/>
        <v>1.301665681678061</v>
      </c>
      <c r="M66" s="6">
        <v>14.904999999999999</v>
      </c>
      <c r="N66" s="6">
        <f t="shared" si="24"/>
        <v>8.7330807224291249E-2</v>
      </c>
      <c r="O66" s="6">
        <f t="shared" si="25"/>
        <v>8.7309838535248901E-2</v>
      </c>
      <c r="P66" s="6">
        <f t="shared" si="26"/>
        <v>8.5296162000499692E-2</v>
      </c>
      <c r="Q66" s="6">
        <f t="shared" si="27"/>
        <v>2.0136765347492126E-3</v>
      </c>
      <c r="R66" s="6">
        <f t="shared" si="28"/>
        <v>-1.9136314679390233E-3</v>
      </c>
      <c r="S66" s="6">
        <f t="shared" si="29"/>
        <v>2.1880614559113387E-2</v>
      </c>
      <c r="T66" s="6">
        <f t="shared" si="30"/>
        <v>1.9966983091174364E-2</v>
      </c>
      <c r="U66" s="6">
        <f t="shared" si="31"/>
        <v>2.8217771410258443</v>
      </c>
      <c r="V66" s="6">
        <f t="shared" si="32"/>
        <v>49.57842718681998</v>
      </c>
      <c r="W66" s="6">
        <f t="shared" si="33"/>
        <v>-1.2555910830893191</v>
      </c>
      <c r="X66" s="1"/>
      <c r="Y66" s="1">
        <f t="shared" si="34"/>
        <v>0.30102399250510681</v>
      </c>
      <c r="Z66" s="2">
        <v>15</v>
      </c>
      <c r="AA66">
        <f t="shared" si="35"/>
        <v>49.829915134573632</v>
      </c>
      <c r="AB66" s="5">
        <f t="shared" si="36"/>
        <v>5</v>
      </c>
      <c r="AC66">
        <f t="shared" si="37"/>
        <v>49.57842718681998</v>
      </c>
      <c r="AE66">
        <f t="shared" si="38"/>
        <v>1.3208687378908981</v>
      </c>
      <c r="AF66">
        <v>15</v>
      </c>
      <c r="AG66">
        <f t="shared" si="39"/>
        <v>11.356162478302958</v>
      </c>
      <c r="AH66">
        <f t="shared" si="40"/>
        <v>11</v>
      </c>
      <c r="AI66" s="4">
        <f t="shared" si="41"/>
        <v>2.8217771410258443</v>
      </c>
    </row>
    <row r="67" spans="1:35" ht="13.8" x14ac:dyDescent="0.25">
      <c r="A67" s="7">
        <f>1.8*L45</f>
        <v>6683.8461945916333</v>
      </c>
      <c r="B67" s="6">
        <f t="shared" si="18"/>
        <v>-1.2582571912455762</v>
      </c>
      <c r="C67" s="6">
        <f t="shared" si="19"/>
        <v>1.3069038853437391</v>
      </c>
      <c r="D67" s="6">
        <f t="shared" si="20"/>
        <v>0.28445517099865342</v>
      </c>
      <c r="E67" s="6">
        <f t="shared" si="21"/>
        <v>1.3252957840617534</v>
      </c>
      <c r="F67" s="6">
        <f t="shared" si="22"/>
        <v>1.4424000000000001</v>
      </c>
      <c r="G67" s="6" t="s">
        <v>213</v>
      </c>
      <c r="H67" s="6" t="s">
        <v>211</v>
      </c>
      <c r="I67" s="6" t="s">
        <v>212</v>
      </c>
      <c r="J67" s="6">
        <v>6.0099999999999997E-4</v>
      </c>
      <c r="K67" s="6">
        <v>7.4999999999999997E-2</v>
      </c>
      <c r="L67" s="6">
        <f t="shared" si="23"/>
        <v>1.3069038853437391</v>
      </c>
      <c r="M67" s="6">
        <v>14.904</v>
      </c>
      <c r="N67" s="6">
        <f t="shared" si="24"/>
        <v>8.768812971978926E-2</v>
      </c>
      <c r="O67" s="6">
        <f t="shared" si="25"/>
        <v>8.7666985730265781E-2</v>
      </c>
      <c r="P67" s="6">
        <f t="shared" si="26"/>
        <v>8.5868880301201933E-2</v>
      </c>
      <c r="Q67" s="6">
        <f t="shared" si="27"/>
        <v>1.798105429063848E-3</v>
      </c>
      <c r="R67" s="6">
        <f t="shared" si="28"/>
        <v>-1.9255406316053998E-3</v>
      </c>
      <c r="S67" s="6">
        <f t="shared" si="29"/>
        <v>2.0803779497525619E-2</v>
      </c>
      <c r="T67" s="6">
        <f t="shared" si="30"/>
        <v>1.887823886592022E-2</v>
      </c>
      <c r="U67" s="6">
        <f t="shared" si="31"/>
        <v>2.6650117443021863</v>
      </c>
      <c r="V67" s="6">
        <f t="shared" si="32"/>
        <v>52.49480525663293</v>
      </c>
      <c r="W67" s="6">
        <f t="shared" si="33"/>
        <v>-1.2582571912455762</v>
      </c>
      <c r="X67" s="1"/>
      <c r="Y67" s="1">
        <f t="shared" si="34"/>
        <v>0.28445517099865342</v>
      </c>
      <c r="Z67" s="2">
        <v>15</v>
      </c>
      <c r="AA67">
        <f t="shared" si="35"/>
        <v>52.732386433119224</v>
      </c>
      <c r="AB67" s="5">
        <f t="shared" si="36"/>
        <v>5</v>
      </c>
      <c r="AC67">
        <f t="shared" si="37"/>
        <v>52.49480525663293</v>
      </c>
      <c r="AE67">
        <f t="shared" si="38"/>
        <v>1.3252957840617534</v>
      </c>
      <c r="AF67">
        <v>15</v>
      </c>
      <c r="AG67">
        <f t="shared" si="39"/>
        <v>11.318228112088418</v>
      </c>
      <c r="AH67">
        <f t="shared" si="40"/>
        <v>11</v>
      </c>
      <c r="AI67" s="4">
        <f t="shared" si="41"/>
        <v>2.6650117443021863</v>
      </c>
    </row>
    <row r="68" spans="1:35" ht="13.8" x14ac:dyDescent="0.25">
      <c r="A68" s="7">
        <f>1.9*L45</f>
        <v>7055.1709831800563</v>
      </c>
      <c r="B68" s="6">
        <f t="shared" si="18"/>
        <v>-1.2504662386386924</v>
      </c>
      <c r="C68" s="6">
        <f t="shared" si="19"/>
        <v>1.3109624947427718</v>
      </c>
      <c r="D68" s="6">
        <f t="shared" si="20"/>
        <v>0.26960809228714011</v>
      </c>
      <c r="E68" s="6">
        <f t="shared" si="21"/>
        <v>1.3290773740879591</v>
      </c>
      <c r="F68" s="6">
        <f t="shared" si="22"/>
        <v>1.0140845070422537</v>
      </c>
      <c r="G68" s="6" t="s">
        <v>214</v>
      </c>
      <c r="H68" s="6" t="s">
        <v>215</v>
      </c>
      <c r="I68" s="6" t="s">
        <v>216</v>
      </c>
      <c r="J68" s="6">
        <v>4.0000000000000002E-4</v>
      </c>
      <c r="K68" s="6">
        <v>7.0999999999999994E-2</v>
      </c>
      <c r="L68" s="6">
        <f t="shared" si="23"/>
        <v>1.3109624947427718</v>
      </c>
      <c r="M68" s="6">
        <v>14.898</v>
      </c>
      <c r="N68" s="6">
        <f t="shared" si="24"/>
        <v>8.7995871576236534E-2</v>
      </c>
      <c r="O68" s="6">
        <f t="shared" si="25"/>
        <v>8.7974915318095787E-2</v>
      </c>
      <c r="P68" s="6">
        <f t="shared" si="26"/>
        <v>8.6359614797502204E-2</v>
      </c>
      <c r="Q68" s="6">
        <f t="shared" si="27"/>
        <v>1.6153005205935789E-3</v>
      </c>
      <c r="R68" s="6">
        <f t="shared" si="28"/>
        <v>-1.9203357090334799E-3</v>
      </c>
      <c r="S68" s="6">
        <f t="shared" si="29"/>
        <v>1.9821478363816328E-2</v>
      </c>
      <c r="T68" s="6">
        <f t="shared" si="30"/>
        <v>1.7901142654782848E-2</v>
      </c>
      <c r="U68" s="6">
        <f t="shared" si="31"/>
        <v>2.5247479682862819</v>
      </c>
      <c r="V68" s="6">
        <f t="shared" si="32"/>
        <v>55.411183326445858</v>
      </c>
      <c r="W68" s="6">
        <f t="shared" si="33"/>
        <v>-1.2504662386386924</v>
      </c>
      <c r="X68" s="1"/>
      <c r="Y68" s="1">
        <f t="shared" si="34"/>
        <v>0.26960809228714011</v>
      </c>
      <c r="Z68" s="2">
        <v>15</v>
      </c>
      <c r="AA68">
        <f t="shared" si="35"/>
        <v>55.636312221758473</v>
      </c>
      <c r="AB68" s="5">
        <f t="shared" si="36"/>
        <v>5</v>
      </c>
      <c r="AC68">
        <f t="shared" si="37"/>
        <v>55.411183326445858</v>
      </c>
      <c r="AE68">
        <f t="shared" si="38"/>
        <v>1.3290773740879591</v>
      </c>
      <c r="AF68">
        <v>15</v>
      </c>
      <c r="AG68">
        <f t="shared" si="39"/>
        <v>11.286024645700794</v>
      </c>
      <c r="AH68">
        <f t="shared" si="40"/>
        <v>11</v>
      </c>
      <c r="AI68" s="4">
        <f t="shared" si="41"/>
        <v>2.5247479682862819</v>
      </c>
    </row>
    <row r="69" spans="1:35" ht="13.8" x14ac:dyDescent="0.25">
      <c r="A69" s="7">
        <f>2*L45</f>
        <v>7426.4957717684811</v>
      </c>
      <c r="B69" s="6">
        <f>W69</f>
        <v>-1.2355916921755903</v>
      </c>
      <c r="C69" s="6">
        <f>L69</f>
        <v>1.3152000606049594</v>
      </c>
      <c r="D69" s="6">
        <f>Y69</f>
        <v>0.2562285922972754</v>
      </c>
      <c r="E69" s="6">
        <f>AE69</f>
        <v>1.3323317807349897</v>
      </c>
      <c r="F69" s="6">
        <f t="shared" si="22"/>
        <v>1.0746268656716418</v>
      </c>
      <c r="G69" s="6" t="s">
        <v>219</v>
      </c>
      <c r="H69" s="6" t="s">
        <v>217</v>
      </c>
      <c r="I69" s="6" t="s">
        <v>218</v>
      </c>
      <c r="J69" s="6">
        <v>4.0000000000000002E-4</v>
      </c>
      <c r="K69" s="6">
        <v>6.7000000000000004E-2</v>
      </c>
      <c r="L69" s="6">
        <f t="shared" si="23"/>
        <v>1.3152000606049594</v>
      </c>
      <c r="M69" s="6">
        <v>14.901</v>
      </c>
      <c r="N69" s="6">
        <f t="shared" si="24"/>
        <v>8.8262536783099088E-2</v>
      </c>
      <c r="O69" s="6">
        <f t="shared" si="25"/>
        <v>8.8242014093663876E-2</v>
      </c>
      <c r="P69" s="6">
        <f t="shared" si="26"/>
        <v>8.6783056504538464E-2</v>
      </c>
      <c r="Q69" s="6">
        <f t="shared" si="27"/>
        <v>1.4589575891254081E-3</v>
      </c>
      <c r="R69" s="6">
        <f t="shared" si="28"/>
        <v>-1.9032467211437913E-3</v>
      </c>
      <c r="S69" s="6">
        <f t="shared" si="29"/>
        <v>1.8922734391993788E-2</v>
      </c>
      <c r="T69" s="6">
        <f t="shared" si="30"/>
        <v>1.7019487670849997E-2</v>
      </c>
      <c r="U69" s="6">
        <f t="shared" si="31"/>
        <v>2.3985105698719673</v>
      </c>
      <c r="V69" s="6">
        <f t="shared" si="32"/>
        <v>58.327561396258808</v>
      </c>
      <c r="W69" s="6">
        <f t="shared" si="33"/>
        <v>-1.2355916921755903</v>
      </c>
      <c r="X69" s="1"/>
      <c r="Y69" s="1">
        <f t="shared" si="34"/>
        <v>0.2562285922972754</v>
      </c>
      <c r="Z69" s="2">
        <v>15</v>
      </c>
      <c r="AA69">
        <f t="shared" si="35"/>
        <v>58.541476052746916</v>
      </c>
      <c r="AB69" s="5">
        <f t="shared" si="36"/>
        <v>5</v>
      </c>
      <c r="AC69">
        <f t="shared" si="37"/>
        <v>58.327561396258808</v>
      </c>
      <c r="AE69">
        <f t="shared" si="38"/>
        <v>1.3323317807349897</v>
      </c>
      <c r="AF69">
        <v>15</v>
      </c>
      <c r="AG69">
        <f t="shared" si="39"/>
        <v>11.25845695261067</v>
      </c>
      <c r="AH69">
        <f t="shared" si="40"/>
        <v>11</v>
      </c>
      <c r="AI69" s="4">
        <f t="shared" si="41"/>
        <v>2.3985105698719673</v>
      </c>
    </row>
    <row r="70" spans="1:35" ht="13.8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35" ht="13.8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35" ht="13.8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35" ht="13.8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35" ht="13.8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35" ht="13.8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35" ht="13.8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35" ht="13.8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35" ht="13.8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35" ht="13.8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35" ht="13.8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8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8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8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8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8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8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8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8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8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8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8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8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8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8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8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8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8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8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8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8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8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8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8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8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8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8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8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8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8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8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8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8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8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8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8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8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8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8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8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8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8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8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8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8" x14ac:dyDescent="0.25">
      <c r="A124" s="1"/>
      <c r="B124" s="1"/>
      <c r="C124" s="24"/>
      <c r="D124" s="24"/>
      <c r="E124" s="24"/>
      <c r="F124" s="24"/>
      <c r="G124" s="24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8" x14ac:dyDescent="0.25">
      <c r="A125" s="1"/>
      <c r="B125" s="1"/>
      <c r="C125" s="24"/>
      <c r="D125" s="24"/>
      <c r="E125" s="24"/>
      <c r="F125" s="24"/>
      <c r="G125" s="24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8" x14ac:dyDescent="0.25">
      <c r="A126" s="1"/>
      <c r="B126" s="1"/>
      <c r="C126" s="24"/>
      <c r="D126" s="24"/>
      <c r="E126" s="24"/>
      <c r="F126" s="24"/>
      <c r="G126" s="24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8" x14ac:dyDescent="0.25">
      <c r="A127" s="1"/>
      <c r="B127" s="1"/>
      <c r="C127" s="24"/>
      <c r="D127" s="24"/>
      <c r="E127" s="24"/>
      <c r="F127" s="24"/>
      <c r="G127" s="2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8" x14ac:dyDescent="0.25">
      <c r="A128" s="1"/>
      <c r="B128" s="1"/>
      <c r="C128" s="24"/>
      <c r="D128" s="24"/>
      <c r="E128" s="24"/>
      <c r="F128" s="24"/>
      <c r="G128" s="2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8" x14ac:dyDescent="0.25">
      <c r="A129" s="1"/>
      <c r="B129" s="1"/>
      <c r="C129" s="24"/>
      <c r="D129" s="24"/>
      <c r="E129" s="24"/>
      <c r="F129" s="24"/>
      <c r="G129" s="2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8" x14ac:dyDescent="0.25">
      <c r="A130" s="1"/>
      <c r="B130" s="1"/>
      <c r="C130" s="24"/>
      <c r="D130" s="24"/>
      <c r="E130" s="24"/>
      <c r="F130" s="24"/>
      <c r="G130" s="24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8" x14ac:dyDescent="0.25">
      <c r="A131" s="1"/>
      <c r="B131" s="1"/>
      <c r="C131" s="24"/>
      <c r="D131" s="24"/>
      <c r="E131" s="24"/>
      <c r="F131" s="24"/>
      <c r="G131" s="24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8" x14ac:dyDescent="0.25">
      <c r="A132" s="1"/>
      <c r="B132" s="1"/>
      <c r="C132" s="24"/>
      <c r="D132" s="24"/>
      <c r="E132" s="24"/>
      <c r="F132" s="24"/>
      <c r="G132" s="24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8" x14ac:dyDescent="0.25">
      <c r="A133" s="1"/>
      <c r="B133" s="1"/>
      <c r="C133" s="24"/>
      <c r="D133" s="24"/>
      <c r="E133" s="24"/>
      <c r="F133" s="24"/>
      <c r="G133" s="24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8" x14ac:dyDescent="0.25">
      <c r="A134" s="1"/>
      <c r="B134" s="1"/>
      <c r="C134" s="24"/>
      <c r="D134" s="24"/>
      <c r="E134" s="24"/>
      <c r="F134" s="24"/>
      <c r="G134" s="24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8" x14ac:dyDescent="0.25">
      <c r="A135" s="1"/>
      <c r="B135" s="1"/>
      <c r="C135" s="24"/>
      <c r="D135" s="24"/>
      <c r="E135" s="24"/>
      <c r="F135" s="24"/>
      <c r="G135" s="24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8" x14ac:dyDescent="0.25">
      <c r="A136" s="1"/>
      <c r="B136" s="1"/>
      <c r="C136" s="24"/>
      <c r="D136" s="24"/>
      <c r="E136" s="24"/>
      <c r="F136" s="24"/>
      <c r="G136" s="24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8" x14ac:dyDescent="0.25">
      <c r="A137" s="1"/>
      <c r="B137" s="1"/>
      <c r="C137" s="24"/>
      <c r="D137" s="24"/>
      <c r="E137" s="24"/>
      <c r="F137" s="24"/>
      <c r="G137" s="24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8" x14ac:dyDescent="0.25">
      <c r="A138" s="1"/>
      <c r="B138" s="1"/>
      <c r="C138" s="24"/>
      <c r="D138" s="24"/>
      <c r="E138" s="24"/>
      <c r="F138" s="24"/>
      <c r="G138" s="24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8" x14ac:dyDescent="0.25">
      <c r="A139" s="1"/>
      <c r="B139" s="1"/>
      <c r="C139" s="24"/>
      <c r="D139" s="24"/>
      <c r="E139" s="24"/>
      <c r="F139" s="24"/>
      <c r="G139" s="24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8" x14ac:dyDescent="0.25">
      <c r="A140" s="1"/>
      <c r="B140" s="1"/>
      <c r="C140" s="24"/>
      <c r="D140" s="24"/>
      <c r="E140" s="24"/>
      <c r="F140" s="24"/>
      <c r="G140" s="24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8" x14ac:dyDescent="0.25">
      <c r="A141" s="1"/>
      <c r="B141" s="1"/>
      <c r="C141" s="24"/>
      <c r="D141" s="24"/>
      <c r="E141" s="24"/>
      <c r="F141" s="24"/>
      <c r="G141" s="24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8" x14ac:dyDescent="0.25">
      <c r="A142" s="1"/>
      <c r="B142" s="1"/>
      <c r="C142" s="24"/>
      <c r="D142" s="24"/>
      <c r="E142" s="24"/>
      <c r="F142" s="24"/>
      <c r="G142" s="24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8" x14ac:dyDescent="0.25">
      <c r="A143" s="1"/>
      <c r="B143" s="1"/>
      <c r="C143" s="24"/>
      <c r="D143" s="24"/>
      <c r="E143" s="24"/>
      <c r="F143" s="24"/>
      <c r="G143" s="24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8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8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8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8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8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8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8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8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8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8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8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8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8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8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8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8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8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8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8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8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8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8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8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8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8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8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8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8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8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8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8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8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8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8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8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8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8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8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8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8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8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8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8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8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8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8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8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8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8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8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8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8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8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8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8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8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8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8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8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8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8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8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8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8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8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8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8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8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8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8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8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8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8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8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8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8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8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8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8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8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8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8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8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8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8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8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8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8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8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8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8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8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8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8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8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8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8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8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8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8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8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8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8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8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8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8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8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8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8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8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8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8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8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8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8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8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8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8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8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8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8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8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8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8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8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8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8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8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8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8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8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8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8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8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8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8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8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8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8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8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8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8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8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8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8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8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8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8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8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8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8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8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8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8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8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8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8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8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8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8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8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8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8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8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8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8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8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8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8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8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8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8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8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8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8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8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8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8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8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8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8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8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8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8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8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8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8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8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8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8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8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8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8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8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8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8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8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8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8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8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8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8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8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8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8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8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8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8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8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8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8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8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8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8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8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8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8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8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8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8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8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8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8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8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8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8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8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8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8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8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8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8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8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8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8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8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8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8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8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8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8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8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8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8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8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8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8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8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8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8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8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8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8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8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8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8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8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8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8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8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8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8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8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8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8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8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8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8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8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8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8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8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8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8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8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8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8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8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8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8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8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8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8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8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8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8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8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8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8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8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8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8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8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8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8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8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8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8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8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8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8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8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8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8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8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8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8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8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8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8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8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8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8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8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8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8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8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8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8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8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8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8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8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8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8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8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8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8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8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8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8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8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8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8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8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8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8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8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8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8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8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8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8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8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8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8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8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8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8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8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8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8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8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8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8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8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8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8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8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8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8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8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8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8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8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8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8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8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8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8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8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8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8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8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8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8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8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8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8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8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8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8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8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8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8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8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8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8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8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8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8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8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8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8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8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8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8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8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8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8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8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8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8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8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8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8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8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8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8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8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8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8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8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8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8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8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8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8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8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8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8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8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8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8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8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8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8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8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8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8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8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8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8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8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8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8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8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8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8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8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8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8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8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8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8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8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8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8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8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8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8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8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8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8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8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8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8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8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8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8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8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8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8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8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8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8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8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8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8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8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8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8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8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8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8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8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8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8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8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8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8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8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8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8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8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8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8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8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8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8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8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8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8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8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8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8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8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8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8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8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8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8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8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8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8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8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8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8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8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8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8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8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8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8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8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8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8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8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8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8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8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8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8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8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8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8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8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8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8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8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8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8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8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8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8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8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8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8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8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8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8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8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8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8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8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8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8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8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8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8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8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8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8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8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8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8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8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8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8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8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8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8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8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8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8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8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8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8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8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8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8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8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8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8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8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8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8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8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8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8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8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8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8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8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8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8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8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8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8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8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8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8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8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8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8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8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8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8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8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8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8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8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8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8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8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8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8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8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8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8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8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8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8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8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8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8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8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8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8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8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8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8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8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8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8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8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8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8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8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8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8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8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8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8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8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8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8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8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8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8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8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8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8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8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8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8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8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8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8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8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8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8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8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8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8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8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8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8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8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8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8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8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8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8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8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8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8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8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8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8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8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8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8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8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8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8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8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8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8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8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8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8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8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8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8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8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8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8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8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8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8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8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8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8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8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8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8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8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8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8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8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8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8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8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8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8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8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8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8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8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8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8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8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8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8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8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8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8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8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8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8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8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8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8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8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8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8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8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8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8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8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8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8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8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8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8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8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8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8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8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8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8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8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8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8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8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8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8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8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8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8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8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8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8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8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8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8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8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8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8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8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8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8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8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8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8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8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8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8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8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8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8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8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8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8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8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8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8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8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8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8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8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8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8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8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8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8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8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8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8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8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8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8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8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8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8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8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8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8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8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8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8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8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8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8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8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8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8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8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8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8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8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8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8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8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8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8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8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8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8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8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8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8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8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8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8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8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8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8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8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8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8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8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8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8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8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8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8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8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8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8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8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8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8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8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8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8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8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8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23">
    <mergeCell ref="D21:F21"/>
    <mergeCell ref="I21:K21"/>
    <mergeCell ref="B17:K17"/>
    <mergeCell ref="A45:A48"/>
    <mergeCell ref="C49:D49"/>
    <mergeCell ref="B47:E47"/>
    <mergeCell ref="B46:E46"/>
    <mergeCell ref="F46:I46"/>
    <mergeCell ref="G49:I49"/>
    <mergeCell ref="F47:I47"/>
    <mergeCell ref="B45:I45"/>
    <mergeCell ref="B18:F18"/>
    <mergeCell ref="B19:F19"/>
    <mergeCell ref="A2:A5"/>
    <mergeCell ref="A17:A20"/>
    <mergeCell ref="G18:K18"/>
    <mergeCell ref="K6:K7"/>
    <mergeCell ref="K8:K9"/>
    <mergeCell ref="G19:K19"/>
    <mergeCell ref="B5:C5"/>
    <mergeCell ref="F2:H3"/>
    <mergeCell ref="I2:J3"/>
    <mergeCell ref="B2:E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D5156-BB61-432D-82D0-C0DFF63FB4E2}">
  <sheetPr>
    <outlinePr summaryBelow="0" summaryRight="0"/>
  </sheetPr>
  <dimension ref="A1:AJ1001"/>
  <sheetViews>
    <sheetView tabSelected="1" topLeftCell="A38" zoomScaleNormal="100" workbookViewId="0">
      <selection activeCell="E59" sqref="E59"/>
    </sheetView>
  </sheetViews>
  <sheetFormatPr defaultColWidth="12.6640625" defaultRowHeight="15.75" customHeight="1" x14ac:dyDescent="0.25"/>
  <cols>
    <col min="1" max="1" width="19.5546875" customWidth="1"/>
    <col min="2" max="2" width="12.44140625" customWidth="1"/>
    <col min="13" max="13" width="13.77734375" bestFit="1" customWidth="1"/>
  </cols>
  <sheetData>
    <row r="1" spans="1:36" ht="13.8" x14ac:dyDescent="0.25">
      <c r="A1" s="9" t="s">
        <v>0</v>
      </c>
      <c r="B1" s="9"/>
      <c r="C1" s="9"/>
      <c r="D1" s="17"/>
      <c r="E1" s="17"/>
      <c r="F1" s="9">
        <v>1E-3</v>
      </c>
      <c r="G1" s="9">
        <v>9.9999999999999995E-7</v>
      </c>
      <c r="H1" s="9"/>
      <c r="I1" s="9"/>
      <c r="J1" s="9"/>
      <c r="K1" s="9">
        <f>180/PI()</f>
        <v>57.295779513082323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17"/>
      <c r="AB1" s="17"/>
      <c r="AC1" s="17"/>
      <c r="AD1" s="17"/>
    </row>
    <row r="2" spans="1:36" ht="13.8" x14ac:dyDescent="0.25">
      <c r="A2" s="25" t="s">
        <v>1</v>
      </c>
      <c r="B2" s="31" t="s">
        <v>2</v>
      </c>
      <c r="C2" s="26"/>
      <c r="D2" s="26"/>
      <c r="E2" s="26"/>
      <c r="F2" s="30" t="s">
        <v>3</v>
      </c>
      <c r="G2" s="26"/>
      <c r="H2" s="26"/>
      <c r="I2" s="27" t="s">
        <v>4</v>
      </c>
      <c r="J2" s="26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17"/>
      <c r="AB2" s="17"/>
      <c r="AC2" s="17"/>
      <c r="AD2" s="17"/>
    </row>
    <row r="3" spans="1:36" ht="13.8" x14ac:dyDescent="0.25">
      <c r="A3" s="26"/>
      <c r="B3" s="26"/>
      <c r="C3" s="26"/>
      <c r="D3" s="26"/>
      <c r="E3" s="26"/>
      <c r="F3" s="26"/>
      <c r="G3" s="26"/>
      <c r="H3" s="26"/>
      <c r="I3" s="26"/>
      <c r="J3" s="26"/>
      <c r="K3" s="9" t="s">
        <v>5</v>
      </c>
      <c r="L3" s="9" t="s">
        <v>6</v>
      </c>
      <c r="M3" s="9" t="s">
        <v>7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17"/>
      <c r="AB3" s="17"/>
      <c r="AC3" s="17"/>
      <c r="AD3" s="17"/>
      <c r="AI3" t="s">
        <v>220</v>
      </c>
      <c r="AJ3" t="s">
        <v>221</v>
      </c>
    </row>
    <row r="4" spans="1:36" ht="13.8" x14ac:dyDescent="0.25">
      <c r="A4" s="26"/>
      <c r="B4" s="11" t="s">
        <v>8</v>
      </c>
      <c r="C4" s="11" t="s">
        <v>9</v>
      </c>
      <c r="D4" s="11" t="s">
        <v>10</v>
      </c>
      <c r="E4" s="11" t="s">
        <v>11</v>
      </c>
      <c r="F4" s="11" t="s">
        <v>12</v>
      </c>
      <c r="G4" s="11" t="s">
        <v>13</v>
      </c>
      <c r="H4" s="11" t="s">
        <v>14</v>
      </c>
      <c r="I4" s="11" t="s">
        <v>13</v>
      </c>
      <c r="J4" s="11" t="s">
        <v>14</v>
      </c>
      <c r="K4" s="9">
        <f>M4*2*PI()*D7*F1</f>
        <v>1.2500004469552088</v>
      </c>
      <c r="L4" s="9">
        <f>1/(M4*2*PI()*E7*G1)</f>
        <v>111.91937800066712</v>
      </c>
      <c r="M4" s="9">
        <v>159.155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17"/>
      <c r="AB4" s="17"/>
      <c r="AC4" s="17"/>
      <c r="AD4" s="17"/>
      <c r="AH4">
        <v>0</v>
      </c>
      <c r="AI4">
        <f>COS(J6*PI())*I6</f>
        <v>0.2505</v>
      </c>
      <c r="AJ4">
        <f>SIN(J6*PI())*I6</f>
        <v>0</v>
      </c>
    </row>
    <row r="5" spans="1:36" ht="13.8" x14ac:dyDescent="0.25">
      <c r="A5" s="26"/>
      <c r="B5" s="29" t="s">
        <v>15</v>
      </c>
      <c r="C5" s="26"/>
      <c r="D5" s="16" t="s">
        <v>16</v>
      </c>
      <c r="E5" s="16" t="s">
        <v>17</v>
      </c>
      <c r="F5" s="16" t="s">
        <v>18</v>
      </c>
      <c r="G5" s="16" t="s">
        <v>19</v>
      </c>
      <c r="H5" s="16" t="s">
        <v>20</v>
      </c>
      <c r="I5" s="16" t="s">
        <v>19</v>
      </c>
      <c r="J5" s="16" t="s">
        <v>20</v>
      </c>
      <c r="K5" s="17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17"/>
      <c r="AB5" s="17"/>
      <c r="AC5" s="17"/>
      <c r="AD5" s="17"/>
      <c r="AH5">
        <v>0</v>
      </c>
      <c r="AI5">
        <f t="shared" ref="AI5:AI12" si="0">COS(J7*PI())*I7</f>
        <v>0.13561547849121827</v>
      </c>
      <c r="AJ5">
        <f>SIN(J7*PI())*I7</f>
        <v>5.3173591443123078E-16</v>
      </c>
    </row>
    <row r="6" spans="1:36" ht="13.8" x14ac:dyDescent="0.25">
      <c r="A6" s="10">
        <v>1</v>
      </c>
      <c r="B6" s="12">
        <v>60</v>
      </c>
      <c r="C6" s="12">
        <v>5</v>
      </c>
      <c r="D6" s="12">
        <v>1.25</v>
      </c>
      <c r="E6" s="12">
        <v>8.9350000000000005</v>
      </c>
      <c r="F6" s="12">
        <v>15.03</v>
      </c>
      <c r="G6" s="12" t="s">
        <v>49</v>
      </c>
      <c r="H6" s="14">
        <v>0</v>
      </c>
      <c r="I6" s="13">
        <f>F6/B6</f>
        <v>0.2505</v>
      </c>
      <c r="J6" s="13">
        <v>0</v>
      </c>
      <c r="K6" s="28" t="s">
        <v>21</v>
      </c>
      <c r="L6" s="9" t="s">
        <v>22</v>
      </c>
      <c r="M6" s="9">
        <f>1/B13</f>
        <v>1.6666666666666666E-2</v>
      </c>
      <c r="N6" s="9" t="s">
        <v>23</v>
      </c>
      <c r="O6" s="18">
        <f>C13/(C13*C13+K4*K4)</f>
        <v>0.18823528619926996</v>
      </c>
      <c r="P6" s="9" t="s">
        <v>24</v>
      </c>
      <c r="Q6" s="9">
        <v>0</v>
      </c>
      <c r="R6" s="9" t="s">
        <v>25</v>
      </c>
      <c r="S6" s="9">
        <f>K4/(C9*C9+K4*K4)</f>
        <v>4.7058838376365819E-2</v>
      </c>
      <c r="T6" s="9"/>
      <c r="U6" s="9" t="s">
        <v>50</v>
      </c>
      <c r="V6" s="9">
        <f>59.696-56.547</f>
        <v>3.1490000000000009</v>
      </c>
      <c r="W6" s="9">
        <f>72.253-69.113</f>
        <v>3.1400000000000006</v>
      </c>
      <c r="X6" s="9">
        <f>72.263-69.12</f>
        <v>3.1430000000000007</v>
      </c>
      <c r="Y6" s="9">
        <f>72.254-69.125</f>
        <v>3.1290000000000049</v>
      </c>
      <c r="Z6" s="9">
        <f>65.977-62.832</f>
        <v>3.1450000000000031</v>
      </c>
      <c r="AA6" s="17">
        <f>65.964-62.832</f>
        <v>3.1319999999999979</v>
      </c>
      <c r="AB6" s="17">
        <f>65.969-62.825</f>
        <v>3.1439999999999912</v>
      </c>
      <c r="AC6" s="17">
        <f>65.98-62.837</f>
        <v>3.1430000000000007</v>
      </c>
      <c r="AD6" s="17">
        <f>65.964-62.837</f>
        <v>3.1269999999999953</v>
      </c>
      <c r="AH6">
        <v>0</v>
      </c>
      <c r="AI6">
        <f t="shared" si="0"/>
        <v>9.7827613530608495E-2</v>
      </c>
      <c r="AJ6">
        <f t="shared" ref="AJ6:AJ12" si="1">SIN(J8*PI())*I8</f>
        <v>6.9107425663192154E-2</v>
      </c>
    </row>
    <row r="7" spans="1:36" ht="13.8" x14ac:dyDescent="0.25">
      <c r="A7" s="10">
        <v>2</v>
      </c>
      <c r="B7" s="12">
        <v>60</v>
      </c>
      <c r="C7" s="12">
        <v>5</v>
      </c>
      <c r="D7" s="12">
        <v>1.25</v>
      </c>
      <c r="E7" s="12">
        <v>8.9350000000000005</v>
      </c>
      <c r="F7" s="19">
        <v>15.178000000000001</v>
      </c>
      <c r="G7" s="12" t="s">
        <v>52</v>
      </c>
      <c r="H7" s="14">
        <v>-90</v>
      </c>
      <c r="I7" s="13">
        <f>F7/(L4)</f>
        <v>0.13561547849121827</v>
      </c>
      <c r="J7" s="15">
        <f>-PI()/2*K1</f>
        <v>-90</v>
      </c>
      <c r="K7" s="26"/>
      <c r="L7" s="9" t="s">
        <v>26</v>
      </c>
      <c r="M7" s="9">
        <f>M6+O6</f>
        <v>0.20490195286593663</v>
      </c>
      <c r="N7" s="9" t="s">
        <v>27</v>
      </c>
      <c r="O7" s="9">
        <f>S6-Q6</f>
        <v>4.7058838376365819E-2</v>
      </c>
      <c r="P7" s="9" t="s">
        <v>28</v>
      </c>
      <c r="Q7" s="9">
        <f>SQRT(M7*M7+O7*O7)</f>
        <v>0.21023640159974066</v>
      </c>
      <c r="R7" s="9"/>
      <c r="S7" s="9"/>
      <c r="T7" s="9"/>
      <c r="U7" s="9" t="s">
        <v>51</v>
      </c>
      <c r="V7" s="9">
        <v>0</v>
      </c>
      <c r="W7" s="9">
        <f>69.113-67.543</f>
        <v>1.5699999999999932</v>
      </c>
      <c r="X7" s="9">
        <f>69.12-67.862</f>
        <v>1.2580000000000098</v>
      </c>
      <c r="Y7" s="9">
        <f>69.124-69.35</f>
        <v>-0.22599999999999909</v>
      </c>
      <c r="Z7" s="9">
        <f>62.832-62.603</f>
        <v>0.2289999999999992</v>
      </c>
      <c r="AA7" s="17">
        <f>62.832-61.793</f>
        <v>1.0390000000000015</v>
      </c>
      <c r="AB7" s="17">
        <f>62.328-62.826</f>
        <v>-0.49799999999999756</v>
      </c>
      <c r="AC7" s="17">
        <f>63.062-62.838</f>
        <v>0.22399999999999665</v>
      </c>
      <c r="AD7" s="17">
        <f>62.837-62.824</f>
        <v>1.300000000000523E-2</v>
      </c>
      <c r="AH7">
        <v>0</v>
      </c>
      <c r="AI7">
        <f t="shared" si="0"/>
        <v>2.8805885455738749</v>
      </c>
      <c r="AJ7">
        <f t="shared" si="1"/>
        <v>0.329459189406755</v>
      </c>
    </row>
    <row r="8" spans="1:36" ht="13.8" x14ac:dyDescent="0.25">
      <c r="A8" s="10">
        <v>3</v>
      </c>
      <c r="B8" s="12">
        <v>60</v>
      </c>
      <c r="C8" s="12">
        <v>5</v>
      </c>
      <c r="D8" s="12">
        <v>1.25</v>
      </c>
      <c r="E8" s="12">
        <v>8.9350000000000005</v>
      </c>
      <c r="F8" s="12">
        <v>15.21</v>
      </c>
      <c r="G8" s="12" t="s">
        <v>54</v>
      </c>
      <c r="H8" s="14">
        <v>-61.713999999999999</v>
      </c>
      <c r="I8" s="13">
        <f>F8/(SQRT(B8*B8+L4*L4))</f>
        <v>0.11977511532404268</v>
      </c>
      <c r="J8" s="13">
        <f>ATAN(-L4/B9)*K1</f>
        <v>-61.804232417520957</v>
      </c>
      <c r="K8" s="28" t="s">
        <v>29</v>
      </c>
      <c r="L8" s="9" t="s">
        <v>22</v>
      </c>
      <c r="M8" s="9">
        <f>B14/(B11*B13+L4*L4)</f>
        <v>3.7207116803638536E-3</v>
      </c>
      <c r="N8" s="9" t="s">
        <v>23</v>
      </c>
      <c r="O8" s="9">
        <f>C11/(C10*C12+K4*K4)</f>
        <v>0.18823528619926996</v>
      </c>
      <c r="P8" s="9" t="s">
        <v>24</v>
      </c>
      <c r="Q8" s="9">
        <f>L4/(B9*B10+L4*L4)</f>
        <v>6.9403289497689908E-3</v>
      </c>
      <c r="R8" s="9" t="s">
        <v>25</v>
      </c>
      <c r="S8" s="9">
        <f>K4/(C9*C12+K4*K4)</f>
        <v>4.7058838376365819E-2</v>
      </c>
      <c r="T8" s="9"/>
      <c r="U8" s="9" t="s">
        <v>53</v>
      </c>
      <c r="V8" s="9">
        <f t="shared" ref="V8:AD8" si="2">180*(V7/V6)</f>
        <v>0</v>
      </c>
      <c r="W8" s="9">
        <f t="shared" si="2"/>
        <v>89.999999999999588</v>
      </c>
      <c r="X8" s="9">
        <f t="shared" si="2"/>
        <v>72.045816099268762</v>
      </c>
      <c r="Y8" s="9">
        <f t="shared" si="2"/>
        <v>-13.00095877277078</v>
      </c>
      <c r="Z8" s="9">
        <f t="shared" si="2"/>
        <v>13.106518282988812</v>
      </c>
      <c r="AA8" s="9">
        <f t="shared" si="2"/>
        <v>59.712643678161044</v>
      </c>
      <c r="AB8" s="9">
        <f t="shared" si="2"/>
        <v>-28.511450381679328</v>
      </c>
      <c r="AC8" s="9">
        <f t="shared" si="2"/>
        <v>12.828507795100027</v>
      </c>
      <c r="AD8" s="9">
        <f t="shared" si="2"/>
        <v>0.74832107451261431</v>
      </c>
      <c r="AH8">
        <v>0</v>
      </c>
      <c r="AI8">
        <f t="shared" si="0"/>
        <v>-0.21926766352570934</v>
      </c>
      <c r="AJ8">
        <f t="shared" si="1"/>
        <v>-7.2546294982281587E-2</v>
      </c>
    </row>
    <row r="9" spans="1:36" ht="13.8" x14ac:dyDescent="0.25">
      <c r="A9" s="10">
        <v>4</v>
      </c>
      <c r="B9" s="12">
        <v>60</v>
      </c>
      <c r="C9" s="12">
        <v>5</v>
      </c>
      <c r="D9" s="12">
        <v>1.25</v>
      </c>
      <c r="E9" s="12">
        <v>8.9350000000000005</v>
      </c>
      <c r="F9" s="12">
        <v>14.943</v>
      </c>
      <c r="G9" s="12">
        <v>2.9253</v>
      </c>
      <c r="H9" s="14">
        <v>13.000999999999999</v>
      </c>
      <c r="I9" s="13">
        <f>F9/(SQRT(C9*C9+K4*K4))</f>
        <v>2.8993678149513848</v>
      </c>
      <c r="J9" s="13">
        <f>ATAN(K4/C9)*K1</f>
        <v>14.036248288377598</v>
      </c>
      <c r="K9" s="26"/>
      <c r="L9" s="9" t="s">
        <v>26</v>
      </c>
      <c r="M9" s="9">
        <f>M8+O8</f>
        <v>0.19195599787963383</v>
      </c>
      <c r="N9" s="9" t="s">
        <v>27</v>
      </c>
      <c r="O9" s="9">
        <f>S8-Q8</f>
        <v>4.0118509426596831E-2</v>
      </c>
      <c r="P9" s="9" t="s">
        <v>28</v>
      </c>
      <c r="Q9" s="9">
        <f>SQRT(M9*M9+O9*O9)</f>
        <v>0.19610354387562179</v>
      </c>
      <c r="R9" s="9"/>
      <c r="S9" s="9"/>
      <c r="T9" s="9"/>
      <c r="U9" s="9"/>
      <c r="V9" s="9"/>
      <c r="W9" s="9"/>
      <c r="X9" s="9"/>
      <c r="Y9" s="9"/>
      <c r="Z9" s="9"/>
      <c r="AA9" s="17"/>
      <c r="AB9" s="17"/>
      <c r="AC9" s="17"/>
      <c r="AD9" s="17"/>
      <c r="AH9">
        <v>0</v>
      </c>
      <c r="AI9">
        <f t="shared" si="0"/>
        <v>2.6393617198505651E-2</v>
      </c>
      <c r="AJ9">
        <f t="shared" si="1"/>
        <v>0.11339629597980064</v>
      </c>
    </row>
    <row r="10" spans="1:36" ht="13.8" x14ac:dyDescent="0.25">
      <c r="A10" s="10">
        <v>5</v>
      </c>
      <c r="B10" s="12">
        <v>60</v>
      </c>
      <c r="C10" s="12">
        <v>5</v>
      </c>
      <c r="D10" s="12">
        <v>1.25</v>
      </c>
      <c r="E10" s="12">
        <v>8.9350000000000005</v>
      </c>
      <c r="F10" s="12">
        <v>15.015000000000001</v>
      </c>
      <c r="G10" s="12" t="s">
        <v>55</v>
      </c>
      <c r="H10" s="14">
        <v>0</v>
      </c>
      <c r="I10" s="13">
        <f>F10/(SQRT((B10+C10)*(B10+C10)+K4*K4))</f>
        <v>0.23095729731636519</v>
      </c>
      <c r="J10" s="13">
        <f>ATAN(K4/(B10+C10))*K1</f>
        <v>1.1017065090399123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17"/>
      <c r="AB10" s="17"/>
      <c r="AC10" s="17"/>
      <c r="AD10" s="17"/>
      <c r="AH10">
        <v>0</v>
      </c>
      <c r="AI10">
        <f t="shared" si="0"/>
        <v>0.23440035090836425</v>
      </c>
      <c r="AJ10">
        <f t="shared" si="1"/>
        <v>-0.16558519871036684</v>
      </c>
    </row>
    <row r="11" spans="1:36" ht="13.8" x14ac:dyDescent="0.25">
      <c r="A11" s="10">
        <v>6</v>
      </c>
      <c r="B11" s="12">
        <v>60</v>
      </c>
      <c r="C11" s="12">
        <v>5</v>
      </c>
      <c r="D11" s="12">
        <v>1.25</v>
      </c>
      <c r="E11" s="12">
        <v>8.9350000000000005</v>
      </c>
      <c r="F11" s="12">
        <v>14.943</v>
      </c>
      <c r="G11" s="12" t="s">
        <v>56</v>
      </c>
      <c r="H11" s="14">
        <f>AA8</f>
        <v>59.712643678161044</v>
      </c>
      <c r="I11" s="13">
        <f>F11/(SQRT((B11+C11)*(B11+C11)+(K4-L4)*(K4-L4)))</f>
        <v>0.11642741503082427</v>
      </c>
      <c r="J11" s="13">
        <f>ATAN((K4-L4)/(B11+C11))*$K$1</f>
        <v>-59.572792350145249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17"/>
      <c r="AB11" s="17"/>
      <c r="AC11" s="17"/>
      <c r="AD11" s="17"/>
      <c r="AH11">
        <v>0</v>
      </c>
      <c r="AI11">
        <f t="shared" si="0"/>
        <v>-3.13731724896199</v>
      </c>
      <c r="AJ11">
        <f>SIN(J13*PI())*I13</f>
        <v>0.65441856572572277</v>
      </c>
    </row>
    <row r="12" spans="1:36" ht="13.8" x14ac:dyDescent="0.25">
      <c r="A12" s="10">
        <v>7</v>
      </c>
      <c r="B12" s="12">
        <v>60</v>
      </c>
      <c r="C12" s="12">
        <v>5</v>
      </c>
      <c r="D12" s="12">
        <v>1.25</v>
      </c>
      <c r="E12" s="12">
        <v>8.9350000000000005</v>
      </c>
      <c r="F12" s="12">
        <v>15.176</v>
      </c>
      <c r="G12" s="12" t="s">
        <v>57</v>
      </c>
      <c r="H12" s="14">
        <f>AB8</f>
        <v>-28.511450381679328</v>
      </c>
      <c r="I12" s="13">
        <f>F12*(SQRT(1/(B12*B12)+1/(L4*L4)))</f>
        <v>0.28698777419589838</v>
      </c>
      <c r="J12" s="13">
        <f>ATAN(B10/-L4)*$K$1</f>
        <v>-28.19576758247905</v>
      </c>
      <c r="K12" s="9"/>
      <c r="L12" s="9"/>
      <c r="M12" s="9">
        <f>1.134/3.307*180</f>
        <v>61.723616570910181</v>
      </c>
      <c r="N12" s="9"/>
      <c r="O12" s="9"/>
      <c r="P12" s="9">
        <f>180*3/48</f>
        <v>11.25</v>
      </c>
      <c r="Q12" s="9"/>
      <c r="R12" s="9"/>
      <c r="S12" s="9"/>
      <c r="T12" s="9"/>
      <c r="U12" s="9"/>
      <c r="V12" s="9"/>
      <c r="W12" s="9"/>
      <c r="X12" s="9"/>
      <c r="Y12" s="9"/>
      <c r="Z12" s="9"/>
      <c r="AA12" s="17"/>
      <c r="AB12" s="17"/>
      <c r="AC12" s="17"/>
      <c r="AD12" s="17"/>
      <c r="AH12">
        <v>0</v>
      </c>
      <c r="AI12">
        <f t="shared" si="0"/>
        <v>2.3964700658634022</v>
      </c>
      <c r="AJ12">
        <f t="shared" si="1"/>
        <v>-1.6864253215543361</v>
      </c>
    </row>
    <row r="13" spans="1:36" ht="13.8" x14ac:dyDescent="0.25">
      <c r="A13" s="10">
        <v>8</v>
      </c>
      <c r="B13" s="12">
        <v>60</v>
      </c>
      <c r="C13" s="12">
        <v>5</v>
      </c>
      <c r="D13" s="12">
        <v>1.25</v>
      </c>
      <c r="E13" s="12">
        <v>8.9350000000000005</v>
      </c>
      <c r="F13" s="12">
        <v>15.244</v>
      </c>
      <c r="G13" s="12">
        <v>3.1863999999999999</v>
      </c>
      <c r="H13" s="14">
        <f>AC8</f>
        <v>12.828507795100027</v>
      </c>
      <c r="I13" s="13">
        <f>F13*Q7</f>
        <v>3.2048437059864465</v>
      </c>
      <c r="J13" s="13">
        <f>ATAN(O7/M7)*$K$1</f>
        <v>12.934541779337684</v>
      </c>
      <c r="K13" s="17"/>
      <c r="L13" s="17"/>
      <c r="M13" s="17"/>
      <c r="N13" s="17"/>
      <c r="O13" s="17"/>
      <c r="P13" s="17"/>
      <c r="Q13" s="17"/>
      <c r="R13" s="9"/>
      <c r="S13" s="9"/>
      <c r="T13" s="9"/>
      <c r="U13" s="9"/>
      <c r="V13" s="9"/>
      <c r="W13" s="9"/>
      <c r="X13" s="9"/>
      <c r="Y13" s="9"/>
      <c r="Z13" s="9"/>
      <c r="AA13" s="17"/>
      <c r="AB13" s="17"/>
      <c r="AC13" s="17"/>
      <c r="AD13" s="17"/>
    </row>
    <row r="14" spans="1:36" ht="13.8" x14ac:dyDescent="0.25">
      <c r="A14" s="10">
        <v>9</v>
      </c>
      <c r="B14" s="12">
        <v>60</v>
      </c>
      <c r="C14" s="12">
        <v>5</v>
      </c>
      <c r="D14" s="12">
        <v>1.25</v>
      </c>
      <c r="E14" s="12">
        <v>8.9350000000000005</v>
      </c>
      <c r="F14" s="12">
        <v>14.943</v>
      </c>
      <c r="G14" s="12">
        <v>2.9525000000000001</v>
      </c>
      <c r="H14" s="14">
        <v>11.25</v>
      </c>
      <c r="I14" s="13">
        <f>F14*Q9</f>
        <v>2.9303752561334164</v>
      </c>
      <c r="J14" s="13">
        <f>ATAN(O9/M9)*$K$1</f>
        <v>11.804808221001892</v>
      </c>
      <c r="K14" s="9"/>
      <c r="L14" s="17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17"/>
      <c r="AB14" s="17"/>
      <c r="AC14" s="17"/>
      <c r="AD14" s="17"/>
    </row>
    <row r="15" spans="1:36" ht="13.8" x14ac:dyDescent="0.25">
      <c r="A15" s="17"/>
      <c r="B15" s="19"/>
      <c r="C15" s="19"/>
      <c r="D15" s="19"/>
      <c r="E15" s="19"/>
      <c r="F15" s="19"/>
      <c r="G15" s="19"/>
      <c r="H15" s="20"/>
      <c r="I15" s="21"/>
      <c r="J15" s="21"/>
      <c r="K15" s="9"/>
      <c r="L15" s="9"/>
      <c r="M15" s="9"/>
      <c r="N15" s="9" t="s">
        <v>30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17"/>
      <c r="AB15" s="17"/>
      <c r="AC15" s="17"/>
      <c r="AD15" s="17"/>
    </row>
    <row r="16" spans="1:36" ht="13.8" x14ac:dyDescent="0.25">
      <c r="A16" s="9" t="s">
        <v>31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12">
        <f>Q22</f>
        <v>16</v>
      </c>
      <c r="O16" s="9"/>
      <c r="P16" s="9" t="s">
        <v>146</v>
      </c>
      <c r="Q16" s="9"/>
      <c r="R16" s="9"/>
      <c r="S16" s="9"/>
      <c r="T16" s="9"/>
      <c r="U16" s="9"/>
      <c r="V16" s="9"/>
      <c r="W16" s="9"/>
      <c r="X16" s="9"/>
      <c r="Y16" s="9"/>
      <c r="Z16" s="9"/>
      <c r="AA16" s="17"/>
      <c r="AB16" s="17"/>
      <c r="AC16" s="17"/>
      <c r="AD16" s="17"/>
    </row>
    <row r="17" spans="1:30" ht="13.8" x14ac:dyDescent="0.25">
      <c r="A17" s="25" t="s">
        <v>32</v>
      </c>
      <c r="B17" s="25" t="s">
        <v>63</v>
      </c>
      <c r="C17" s="26"/>
      <c r="D17" s="26"/>
      <c r="E17" s="26"/>
      <c r="F17" s="26"/>
      <c r="G17" s="26"/>
      <c r="H17" s="26"/>
      <c r="I17" s="26"/>
      <c r="J17" s="26"/>
      <c r="K17" s="26"/>
      <c r="L17" s="9"/>
      <c r="M17" s="9" t="s">
        <v>34</v>
      </c>
      <c r="N17" s="9" t="s">
        <v>35</v>
      </c>
      <c r="O17" s="9" t="s">
        <v>36</v>
      </c>
      <c r="P17" s="9">
        <v>11</v>
      </c>
      <c r="Q17" s="9"/>
      <c r="R17" s="9"/>
      <c r="S17" s="9"/>
      <c r="T17" s="9"/>
      <c r="U17" s="9">
        <f>1/SQRT(D6*E6*G1*F1)</f>
        <v>9462.3218300383887</v>
      </c>
      <c r="V17" s="9"/>
      <c r="W17" s="9"/>
      <c r="X17" s="9"/>
      <c r="Y17" s="9"/>
      <c r="Z17" s="9"/>
      <c r="AA17" s="17"/>
      <c r="AB17" s="17"/>
      <c r="AC17" s="17"/>
      <c r="AD17" s="17"/>
    </row>
    <row r="18" spans="1:30" ht="13.8" x14ac:dyDescent="0.25">
      <c r="A18" s="26"/>
      <c r="B18" s="30" t="s">
        <v>37</v>
      </c>
      <c r="C18" s="26"/>
      <c r="D18" s="26"/>
      <c r="E18" s="26"/>
      <c r="F18" s="26"/>
      <c r="G18" s="27" t="s">
        <v>38</v>
      </c>
      <c r="H18" s="26"/>
      <c r="I18" s="26"/>
      <c r="J18" s="26"/>
      <c r="K18" s="26"/>
      <c r="L18" s="9"/>
      <c r="M18" s="9">
        <f>SQRT(D6*F1/E6/G1)</f>
        <v>11.827902287547985</v>
      </c>
      <c r="N18" s="9">
        <f>M18/(N16)</f>
        <v>0.73924389297174908</v>
      </c>
      <c r="O18" s="9">
        <f>K31/15</f>
        <v>0.73633333333333328</v>
      </c>
      <c r="P18" s="9"/>
      <c r="Q18" s="9"/>
      <c r="R18" s="9"/>
      <c r="S18" s="9"/>
      <c r="T18" s="9"/>
      <c r="U18" s="9">
        <f>U17/(2*PI())</f>
        <v>1505.9752923769588</v>
      </c>
      <c r="V18" s="9"/>
      <c r="W18" s="9"/>
      <c r="X18" s="9"/>
      <c r="Y18" s="9"/>
      <c r="Z18" s="9"/>
      <c r="AA18" s="17"/>
      <c r="AB18" s="17"/>
      <c r="AC18" s="17"/>
      <c r="AD18" s="17"/>
    </row>
    <row r="19" spans="1:30" ht="13.8" x14ac:dyDescent="0.25">
      <c r="A19" s="26"/>
      <c r="B19" s="30" t="s">
        <v>159</v>
      </c>
      <c r="C19" s="26"/>
      <c r="D19" s="26"/>
      <c r="E19" s="26"/>
      <c r="F19" s="26"/>
      <c r="G19" s="27" t="s">
        <v>160</v>
      </c>
      <c r="H19" s="26"/>
      <c r="I19" s="26"/>
      <c r="J19" s="26"/>
      <c r="K19" s="26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17"/>
      <c r="AB19" s="17"/>
      <c r="AC19" s="17"/>
      <c r="AD19" s="17"/>
    </row>
    <row r="20" spans="1:30" ht="13.8" x14ac:dyDescent="0.25">
      <c r="A20" s="26"/>
      <c r="B20" s="22" t="s">
        <v>14</v>
      </c>
      <c r="C20" s="16" t="s">
        <v>13</v>
      </c>
      <c r="D20" s="22" t="s">
        <v>39</v>
      </c>
      <c r="E20" s="22" t="s">
        <v>40</v>
      </c>
      <c r="F20" s="22" t="s">
        <v>41</v>
      </c>
      <c r="G20" s="22" t="s">
        <v>14</v>
      </c>
      <c r="H20" s="16" t="s">
        <v>13</v>
      </c>
      <c r="I20" s="22" t="s">
        <v>42</v>
      </c>
      <c r="J20" s="22" t="s">
        <v>40</v>
      </c>
      <c r="K20" s="16" t="s">
        <v>43</v>
      </c>
      <c r="L20" s="9"/>
      <c r="M20" s="9" t="s">
        <v>82</v>
      </c>
      <c r="N20" s="9"/>
      <c r="O20" s="9"/>
      <c r="P20" s="9"/>
      <c r="Q20" s="9"/>
      <c r="R20" s="9"/>
      <c r="S20" s="9"/>
      <c r="T20" s="9" t="s">
        <v>68</v>
      </c>
      <c r="U20" s="9"/>
      <c r="V20" s="9"/>
      <c r="W20" s="9"/>
      <c r="X20" s="9"/>
      <c r="Y20" s="9"/>
      <c r="Z20" s="9"/>
      <c r="AA20" s="17"/>
      <c r="AB20" s="17"/>
      <c r="AC20" s="17"/>
      <c r="AD20" s="17"/>
    </row>
    <row r="21" spans="1:30" ht="13.8" x14ac:dyDescent="0.25">
      <c r="A21" s="10" t="s">
        <v>44</v>
      </c>
      <c r="B21" s="22" t="s">
        <v>20</v>
      </c>
      <c r="C21" s="16" t="s">
        <v>19</v>
      </c>
      <c r="D21" s="29" t="s">
        <v>18</v>
      </c>
      <c r="E21" s="26"/>
      <c r="F21" s="26"/>
      <c r="G21" s="22" t="s">
        <v>20</v>
      </c>
      <c r="H21" s="16" t="s">
        <v>19</v>
      </c>
      <c r="I21" s="29" t="s">
        <v>18</v>
      </c>
      <c r="J21" s="26"/>
      <c r="K21" s="26"/>
      <c r="L21" s="9" t="s">
        <v>53</v>
      </c>
      <c r="M21" s="9" t="s">
        <v>58</v>
      </c>
      <c r="N21" s="9" t="s">
        <v>50</v>
      </c>
      <c r="O21" s="9"/>
      <c r="P21" s="9" t="s">
        <v>13</v>
      </c>
      <c r="Q21" s="9" t="s">
        <v>60</v>
      </c>
      <c r="R21" s="9" t="s">
        <v>61</v>
      </c>
      <c r="S21" s="9" t="s">
        <v>62</v>
      </c>
      <c r="T21" s="9" t="s">
        <v>12</v>
      </c>
      <c r="U21" s="9" t="s">
        <v>5</v>
      </c>
      <c r="V21" s="9" t="s">
        <v>6</v>
      </c>
      <c r="W21" s="9" t="s">
        <v>64</v>
      </c>
      <c r="X21" s="9"/>
      <c r="Y21" s="9"/>
      <c r="Z21" s="9"/>
      <c r="AA21" s="17"/>
      <c r="AB21" s="17"/>
      <c r="AC21" s="17"/>
      <c r="AD21" s="17"/>
    </row>
    <row r="22" spans="1:30" ht="13.8" x14ac:dyDescent="0.25">
      <c r="A22" s="10">
        <f>0.1*$U$18</f>
        <v>150.59752923769588</v>
      </c>
      <c r="B22" s="9">
        <f>ATAN(R22/Q22)*180/PI()</f>
        <v>-82.219303194207868</v>
      </c>
      <c r="C22" s="9">
        <f>P22</f>
        <v>0.12438200811088689</v>
      </c>
      <c r="D22" s="9">
        <f>C22*$P$17</f>
        <v>1.3682020892197557</v>
      </c>
      <c r="E22" s="9">
        <f>C22*W22</f>
        <v>0.63907413703720695</v>
      </c>
      <c r="F22" s="9">
        <f>V22*C22</f>
        <v>14.71178238264571</v>
      </c>
      <c r="G22" s="9">
        <f>L22</f>
        <v>-82.263922518159816</v>
      </c>
      <c r="H22" s="9" t="s">
        <v>59</v>
      </c>
      <c r="I22" s="9" t="s">
        <v>65</v>
      </c>
      <c r="J22" s="9" t="s">
        <v>67</v>
      </c>
      <c r="K22" s="9" t="s">
        <v>66</v>
      </c>
      <c r="L22" s="9">
        <f>-180*M22/N22</f>
        <v>-82.263922518159816</v>
      </c>
      <c r="M22" s="9">
        <v>1.51</v>
      </c>
      <c r="N22" s="9">
        <v>3.3039999999999998</v>
      </c>
      <c r="O22" s="9"/>
      <c r="P22" s="9">
        <f>T22/S22</f>
        <v>0.12438200811088689</v>
      </c>
      <c r="Q22" s="12">
        <f>$P$17+$C$6</f>
        <v>16</v>
      </c>
      <c r="R22" s="9">
        <f>U22-V22</f>
        <v>-117.09623264672506</v>
      </c>
      <c r="S22" s="9">
        <f>SQRT(Q22*Q22+R22*R22)</f>
        <v>118.18429548825833</v>
      </c>
      <c r="T22" s="9">
        <v>14.7</v>
      </c>
      <c r="U22" s="9">
        <f>A22*2*PI()*$D$6*$F$1</f>
        <v>1.1827902287547987</v>
      </c>
      <c r="V22" s="9">
        <f>1/(A22*2*PI()*$E$7*$G$1)</f>
        <v>118.27902287547985</v>
      </c>
      <c r="W22" s="9">
        <f>SQRT($C$6*$C$6+U22*U22)</f>
        <v>5.1379950102387051</v>
      </c>
      <c r="X22" s="9"/>
      <c r="Y22" s="9"/>
      <c r="Z22" s="9"/>
      <c r="AA22" s="17"/>
      <c r="AB22" s="17"/>
      <c r="AC22" s="17"/>
      <c r="AD22" s="17"/>
    </row>
    <row r="23" spans="1:30" ht="13.8" x14ac:dyDescent="0.25">
      <c r="A23" s="10">
        <f>0.2*U18</f>
        <v>301.19505847539176</v>
      </c>
      <c r="B23" s="9">
        <f>ATAN(R23/Q23)*180/PI()</f>
        <v>-74.261129380485059</v>
      </c>
      <c r="C23" s="9">
        <f>P23</f>
        <v>0.25426624325377567</v>
      </c>
      <c r="D23" s="9">
        <f>C23*$P$17</f>
        <v>2.7969286757915324</v>
      </c>
      <c r="E23" s="9">
        <f>C23*W23</f>
        <v>1.4064387582276259</v>
      </c>
      <c r="F23" s="9">
        <f>V23*C23</f>
        <v>15.037181401137829</v>
      </c>
      <c r="G23" s="9">
        <f>L23</f>
        <v>-73.823884197828718</v>
      </c>
      <c r="H23" s="9" t="s">
        <v>72</v>
      </c>
      <c r="I23" s="9" t="s">
        <v>69</v>
      </c>
      <c r="J23" s="9" t="s">
        <v>71</v>
      </c>
      <c r="K23" s="9" t="s">
        <v>70</v>
      </c>
      <c r="L23" s="9">
        <f>-180*M23/N23</f>
        <v>-73.823884197828718</v>
      </c>
      <c r="M23" s="9">
        <v>0.68</v>
      </c>
      <c r="N23" s="9">
        <v>1.6579999999999999</v>
      </c>
      <c r="O23" s="9"/>
      <c r="P23" s="9">
        <f>T23/S23</f>
        <v>0.25426624325377567</v>
      </c>
      <c r="Q23" s="12">
        <f>$P$17+$C$6</f>
        <v>16</v>
      </c>
      <c r="R23" s="9">
        <f>U23-V23</f>
        <v>-56.773930980230332</v>
      </c>
      <c r="S23" s="9">
        <f>SQRT(Q23*Q23+R23*R23)</f>
        <v>58.985415476607074</v>
      </c>
      <c r="T23" s="9">
        <v>14.997999999999999</v>
      </c>
      <c r="U23" s="9">
        <f>A23*2*PI()*$D$6*$F$1</f>
        <v>2.3655804575095973</v>
      </c>
      <c r="V23" s="9">
        <f>1/(A23*2*PI()*$E$7*$G$1)</f>
        <v>59.139511437739927</v>
      </c>
      <c r="W23" s="9">
        <f>SQRT($C$6*$C$6+U23*U23)</f>
        <v>5.5313624814281805</v>
      </c>
      <c r="X23" s="9"/>
      <c r="Y23" s="9"/>
      <c r="Z23" s="9"/>
      <c r="AA23" s="17"/>
      <c r="AB23" s="17"/>
      <c r="AC23" s="17"/>
      <c r="AD23" s="17"/>
    </row>
    <row r="24" spans="1:30" ht="13.8" x14ac:dyDescent="0.25">
      <c r="A24" s="10">
        <f>0.3*U18</f>
        <v>451.79258771308764</v>
      </c>
      <c r="B24" s="9">
        <f>ATAN(R24/Q24)*180/PI()</f>
        <v>-65.965226162569124</v>
      </c>
      <c r="C24" s="9">
        <f>P24</f>
        <v>0.38147894718071879</v>
      </c>
      <c r="D24" s="9">
        <f>C24*$P$17</f>
        <v>4.1962684189879065</v>
      </c>
      <c r="E24" s="9">
        <f>C24*W24</f>
        <v>2.338902600119003</v>
      </c>
      <c r="F24" s="9">
        <f>V24*C24</f>
        <v>15.040319040034069</v>
      </c>
      <c r="G24" s="9">
        <f>L24</f>
        <v>-66.702997275204353</v>
      </c>
      <c r="H24" s="9" t="s">
        <v>73</v>
      </c>
      <c r="I24" s="9" t="s">
        <v>74</v>
      </c>
      <c r="J24" s="9" t="s">
        <v>76</v>
      </c>
      <c r="K24" s="9" t="s">
        <v>75</v>
      </c>
      <c r="L24" s="9">
        <f>-180*M24/N24</f>
        <v>-66.702997275204353</v>
      </c>
      <c r="M24" s="9">
        <v>0.40799999999999997</v>
      </c>
      <c r="N24" s="9">
        <v>1.101</v>
      </c>
      <c r="O24" s="9"/>
      <c r="P24" s="9">
        <f>T24/S24</f>
        <v>0.38147894718071879</v>
      </c>
      <c r="Q24" s="12">
        <f>$P$17+$C$6</f>
        <v>16</v>
      </c>
      <c r="R24" s="9">
        <f>U24-V24</f>
        <v>-35.877970272228886</v>
      </c>
      <c r="S24" s="9">
        <f>SQRT(Q24*Q24+R24*R24)</f>
        <v>39.283950295953431</v>
      </c>
      <c r="T24" s="9">
        <v>14.986000000000001</v>
      </c>
      <c r="U24" s="9">
        <f>A24*2*PI()*$D$6*$F$1</f>
        <v>3.5483706862643958</v>
      </c>
      <c r="V24" s="9">
        <f>1/(A24*2*PI()*$E$7*$G$1)</f>
        <v>39.426340958493284</v>
      </c>
      <c r="W24" s="9">
        <f>SQRT($C$6*$C$6+U24*U24)</f>
        <v>6.131144634335457</v>
      </c>
      <c r="X24" s="9"/>
      <c r="Y24" s="9"/>
      <c r="Z24" s="9"/>
      <c r="AA24" s="17"/>
      <c r="AB24" s="17"/>
      <c r="AC24" s="17"/>
      <c r="AD24" s="17"/>
    </row>
    <row r="25" spans="1:30" ht="13.8" x14ac:dyDescent="0.25">
      <c r="A25" s="10">
        <f>0.4*U18</f>
        <v>602.39011695078352</v>
      </c>
      <c r="B25" s="9">
        <f t="shared" ref="B25:B40" si="3">ATAN(R25/Q25)*180/PI()</f>
        <v>-57.212033001736721</v>
      </c>
      <c r="C25" s="9">
        <f t="shared" ref="C25:C40" si="4">P25</f>
        <v>0.50687363967810439</v>
      </c>
      <c r="D25" s="9">
        <f t="shared" ref="D25:D40" si="5">C25*$P$17</f>
        <v>5.5756100364591479</v>
      </c>
      <c r="E25" s="9">
        <f t="shared" ref="E25:E40" si="6">C25*W25</f>
        <v>3.4891129798368392</v>
      </c>
      <c r="F25" s="9">
        <f t="shared" ref="F25:F40" si="7">V25*C25</f>
        <v>14.988129705616061</v>
      </c>
      <c r="G25" s="9">
        <f t="shared" ref="G25:G41" si="8">L25</f>
        <v>-57.243047158403876</v>
      </c>
      <c r="H25" s="9" t="s">
        <v>80</v>
      </c>
      <c r="I25" s="9" t="s">
        <v>77</v>
      </c>
      <c r="J25" s="9" t="s">
        <v>79</v>
      </c>
      <c r="K25" s="9" t="s">
        <v>78</v>
      </c>
      <c r="L25" s="9">
        <f t="shared" ref="L25:L31" si="9">-180*M25/N25</f>
        <v>-57.243047158403876</v>
      </c>
      <c r="M25" s="9">
        <v>0.26300000000000001</v>
      </c>
      <c r="N25" s="9">
        <v>0.82699999999999996</v>
      </c>
      <c r="O25" s="9"/>
      <c r="P25" s="9">
        <f t="shared" ref="P25:P40" si="10">T25/S25</f>
        <v>0.50687363967810439</v>
      </c>
      <c r="Q25" s="12">
        <f t="shared" ref="Q25:Q40" si="11">$P$17+$C$6</f>
        <v>16</v>
      </c>
      <c r="R25" s="9">
        <f t="shared" ref="R25:R40" si="12">U25-V25</f>
        <v>-24.838594803850768</v>
      </c>
      <c r="S25" s="9">
        <f t="shared" ref="S25:S40" si="13">SQRT(Q25*Q25+R25*R25)</f>
        <v>29.545825285983845</v>
      </c>
      <c r="T25" s="9">
        <v>14.976000000000001</v>
      </c>
      <c r="U25" s="9">
        <f t="shared" ref="U25:U40" si="14">A25*2*PI()*$D$6*$F$1</f>
        <v>4.7311609150191947</v>
      </c>
      <c r="V25" s="9">
        <f t="shared" ref="V25:V40" si="15">1/(A25*2*PI()*$E$7*$G$1)</f>
        <v>29.569755718869963</v>
      </c>
      <c r="W25" s="9">
        <f t="shared" ref="W25:W40" si="16">SQRT($C$6*$C$6+U25*U25)</f>
        <v>6.883595252758929</v>
      </c>
      <c r="X25" s="9"/>
      <c r="Y25" s="9"/>
      <c r="Z25" s="9"/>
      <c r="AA25" s="17"/>
      <c r="AB25" s="17"/>
      <c r="AC25" s="17"/>
      <c r="AD25" s="17"/>
    </row>
    <row r="26" spans="1:30" ht="13.8" x14ac:dyDescent="0.25">
      <c r="A26" s="10">
        <f>0.5*U18</f>
        <v>752.9876461884794</v>
      </c>
      <c r="B26" s="9">
        <f t="shared" si="3"/>
        <v>-47.955152947748843</v>
      </c>
      <c r="C26" s="9">
        <f t="shared" si="4"/>
        <v>0.62685050886664029</v>
      </c>
      <c r="D26" s="9">
        <f t="shared" si="5"/>
        <v>6.8953555975330429</v>
      </c>
      <c r="E26" s="9">
        <f t="shared" si="6"/>
        <v>4.8545441212394289</v>
      </c>
      <c r="F26" s="9">
        <f t="shared" si="7"/>
        <v>14.828653135548707</v>
      </c>
      <c r="G26" s="9">
        <f t="shared" si="8"/>
        <v>-47.496251874062963</v>
      </c>
      <c r="H26" s="9" t="s">
        <v>81</v>
      </c>
      <c r="I26" s="9" t="s">
        <v>83</v>
      </c>
      <c r="J26" s="9" t="s">
        <v>85</v>
      </c>
      <c r="K26" s="9" t="s">
        <v>84</v>
      </c>
      <c r="L26" s="9">
        <f t="shared" si="9"/>
        <v>-47.496251874062963</v>
      </c>
      <c r="M26" s="9">
        <v>0.17599999999999999</v>
      </c>
      <c r="N26" s="9">
        <v>0.66700000000000004</v>
      </c>
      <c r="O26" s="9"/>
      <c r="P26" s="9">
        <f t="shared" si="10"/>
        <v>0.62685050886664029</v>
      </c>
      <c r="Q26" s="12">
        <f t="shared" si="11"/>
        <v>16</v>
      </c>
      <c r="R26" s="9">
        <f t="shared" si="12"/>
        <v>-17.741853431321978</v>
      </c>
      <c r="S26" s="9">
        <f t="shared" si="13"/>
        <v>23.890863592145667</v>
      </c>
      <c r="T26" s="9">
        <v>14.976000000000001</v>
      </c>
      <c r="U26" s="9">
        <f t="shared" si="14"/>
        <v>5.9139511437739927</v>
      </c>
      <c r="V26" s="9">
        <f t="shared" si="15"/>
        <v>23.655804575095971</v>
      </c>
      <c r="W26" s="9">
        <f t="shared" si="16"/>
        <v>7.7443410391682592</v>
      </c>
      <c r="X26" s="9"/>
      <c r="Y26" s="9"/>
      <c r="Z26" s="9"/>
      <c r="AA26" s="17"/>
      <c r="AB26" s="17"/>
      <c r="AC26" s="17"/>
      <c r="AD26" s="17"/>
    </row>
    <row r="27" spans="1:30" ht="13.8" x14ac:dyDescent="0.25">
      <c r="A27" s="10">
        <f>0.6*U18</f>
        <v>903.58517542617528</v>
      </c>
      <c r="B27" s="9">
        <f t="shared" si="3"/>
        <v>-38.256726732157674</v>
      </c>
      <c r="C27" s="9">
        <f t="shared" si="4"/>
        <v>0.73528307672387705</v>
      </c>
      <c r="D27" s="9">
        <f t="shared" si="5"/>
        <v>8.0881138439626472</v>
      </c>
      <c r="E27" s="9">
        <f t="shared" si="6"/>
        <v>6.383160817909828</v>
      </c>
      <c r="F27" s="9">
        <f t="shared" si="7"/>
        <v>14.494760641962777</v>
      </c>
      <c r="G27" s="9">
        <f t="shared" si="8"/>
        <v>-37.230215827338128</v>
      </c>
      <c r="H27" s="9" t="s">
        <v>89</v>
      </c>
      <c r="I27" s="9" t="s">
        <v>86</v>
      </c>
      <c r="J27" s="9" t="s">
        <v>88</v>
      </c>
      <c r="K27" s="9" t="s">
        <v>87</v>
      </c>
      <c r="L27" s="9">
        <f t="shared" si="9"/>
        <v>-37.230215827338128</v>
      </c>
      <c r="M27" s="9">
        <v>0.115</v>
      </c>
      <c r="N27" s="9">
        <v>0.55600000000000005</v>
      </c>
      <c r="O27" s="9"/>
      <c r="P27" s="9">
        <f t="shared" si="10"/>
        <v>0.73528307672387705</v>
      </c>
      <c r="Q27" s="12">
        <f t="shared" si="11"/>
        <v>16</v>
      </c>
      <c r="R27" s="9">
        <f t="shared" si="12"/>
        <v>-12.616429106717851</v>
      </c>
      <c r="S27" s="9">
        <f t="shared" si="13"/>
        <v>20.375825956383643</v>
      </c>
      <c r="T27" s="9">
        <v>14.981999999999999</v>
      </c>
      <c r="U27" s="9">
        <f t="shared" si="14"/>
        <v>7.0967413725287916</v>
      </c>
      <c r="V27" s="9">
        <f t="shared" si="15"/>
        <v>19.713170479246642</v>
      </c>
      <c r="W27" s="9">
        <f t="shared" si="16"/>
        <v>8.6812290667025849</v>
      </c>
      <c r="X27" s="9"/>
      <c r="Y27" s="9"/>
      <c r="Z27" s="9"/>
      <c r="AA27" s="17"/>
      <c r="AB27" s="17"/>
      <c r="AC27" s="17"/>
      <c r="AD27" s="17"/>
    </row>
    <row r="28" spans="1:30" ht="13.8" x14ac:dyDescent="0.25">
      <c r="A28" s="10">
        <f>0.7*U18</f>
        <v>1054.1827046638712</v>
      </c>
      <c r="B28" s="9">
        <f t="shared" si="3"/>
        <v>-28.306549283570543</v>
      </c>
      <c r="C28" s="9">
        <f t="shared" si="4"/>
        <v>0.82429618014568939</v>
      </c>
      <c r="D28" s="9">
        <f t="shared" si="5"/>
        <v>9.0672579816025838</v>
      </c>
      <c r="E28" s="9">
        <f t="shared" si="6"/>
        <v>7.9727230278056407</v>
      </c>
      <c r="F28" s="9">
        <f t="shared" si="7"/>
        <v>13.928135249660381</v>
      </c>
      <c r="G28" s="9">
        <f t="shared" si="8"/>
        <v>-27.983193277310921</v>
      </c>
      <c r="H28" s="17" t="s">
        <v>90</v>
      </c>
      <c r="I28" s="17" t="s">
        <v>91</v>
      </c>
      <c r="J28" s="17" t="s">
        <v>93</v>
      </c>
      <c r="K28" s="9" t="s">
        <v>92</v>
      </c>
      <c r="L28" s="9">
        <f t="shared" si="9"/>
        <v>-27.983193277310921</v>
      </c>
      <c r="M28" s="9">
        <v>7.3999999999999996E-2</v>
      </c>
      <c r="N28" s="9">
        <v>0.47599999999999998</v>
      </c>
      <c r="O28" s="9"/>
      <c r="P28" s="9">
        <f t="shared" si="10"/>
        <v>0.82429618014568939</v>
      </c>
      <c r="Q28" s="12">
        <f t="shared" si="11"/>
        <v>16</v>
      </c>
      <c r="R28" s="9">
        <f t="shared" si="12"/>
        <v>-8.6174716666421034</v>
      </c>
      <c r="S28" s="9">
        <f t="shared" si="13"/>
        <v>18.173079483823855</v>
      </c>
      <c r="T28" s="9">
        <v>14.98</v>
      </c>
      <c r="U28" s="9">
        <f t="shared" si="14"/>
        <v>8.2795316012835904</v>
      </c>
      <c r="V28" s="9">
        <f t="shared" si="15"/>
        <v>16.897003267925694</v>
      </c>
      <c r="W28" s="9">
        <f t="shared" si="16"/>
        <v>9.6721581633394322</v>
      </c>
      <c r="X28" s="9"/>
      <c r="Y28" s="9"/>
      <c r="Z28" s="9"/>
      <c r="AA28" s="17"/>
      <c r="AB28" s="17"/>
      <c r="AC28" s="17"/>
      <c r="AD28" s="17"/>
    </row>
    <row r="29" spans="1:30" ht="13.8" x14ac:dyDescent="0.25">
      <c r="A29" s="10">
        <f>0.8*U18</f>
        <v>1204.780233901567</v>
      </c>
      <c r="B29" s="9">
        <f t="shared" si="3"/>
        <v>-18.400207767705737</v>
      </c>
      <c r="C29" s="9">
        <f t="shared" si="4"/>
        <v>0.88921435975806562</v>
      </c>
      <c r="D29" s="9">
        <f t="shared" si="5"/>
        <v>9.7813579573387219</v>
      </c>
      <c r="E29" s="9">
        <f t="shared" si="6"/>
        <v>9.5164855106645803</v>
      </c>
      <c r="F29" s="9">
        <f t="shared" si="7"/>
        <v>13.146925699878677</v>
      </c>
      <c r="G29" s="9">
        <f t="shared" si="8"/>
        <v>-18.216867469879521</v>
      </c>
      <c r="H29" s="17" t="s">
        <v>97</v>
      </c>
      <c r="I29" s="17" t="s">
        <v>94</v>
      </c>
      <c r="J29" s="17" t="s">
        <v>96</v>
      </c>
      <c r="K29" s="9" t="s">
        <v>95</v>
      </c>
      <c r="L29" s="9">
        <f t="shared" si="9"/>
        <v>-18.216867469879521</v>
      </c>
      <c r="M29" s="9">
        <v>4.2000000000000003E-2</v>
      </c>
      <c r="N29" s="9">
        <v>0.41499999999999998</v>
      </c>
      <c r="O29" s="9"/>
      <c r="P29" s="9">
        <f t="shared" si="10"/>
        <v>0.88921435975806562</v>
      </c>
      <c r="Q29" s="12">
        <f t="shared" si="11"/>
        <v>16</v>
      </c>
      <c r="R29" s="9">
        <f t="shared" si="12"/>
        <v>-5.3225560293965923</v>
      </c>
      <c r="S29" s="9">
        <f t="shared" si="13"/>
        <v>16.862075871198837</v>
      </c>
      <c r="T29" s="9">
        <v>14.994</v>
      </c>
      <c r="U29" s="9">
        <f t="shared" si="14"/>
        <v>9.4623218300383893</v>
      </c>
      <c r="V29" s="9">
        <f t="shared" si="15"/>
        <v>14.784877859434982</v>
      </c>
      <c r="W29" s="9">
        <f t="shared" si="16"/>
        <v>10.702127564891994</v>
      </c>
      <c r="X29" s="9"/>
      <c r="Y29" s="9"/>
      <c r="Z29" s="9"/>
      <c r="AA29" s="17"/>
      <c r="AB29" s="17"/>
      <c r="AC29" s="17"/>
      <c r="AD29" s="17"/>
    </row>
    <row r="30" spans="1:30" ht="13.8" x14ac:dyDescent="0.25">
      <c r="A30" s="10">
        <f>0.9*U18</f>
        <v>1355.3777631392629</v>
      </c>
      <c r="B30" s="9">
        <f t="shared" si="3"/>
        <v>-8.8701774931310595</v>
      </c>
      <c r="C30" s="9">
        <f t="shared" si="4"/>
        <v>0.92560846498173255</v>
      </c>
      <c r="D30" s="9">
        <f t="shared" si="5"/>
        <v>10.181693114799058</v>
      </c>
      <c r="E30" s="9">
        <f t="shared" si="6"/>
        <v>10.8859745055176</v>
      </c>
      <c r="F30" s="9">
        <f t="shared" si="7"/>
        <v>12.164451644812459</v>
      </c>
      <c r="G30" s="9">
        <f t="shared" si="8"/>
        <v>-8.337874659400546</v>
      </c>
      <c r="H30" s="17" t="s">
        <v>98</v>
      </c>
      <c r="I30" s="17" t="s">
        <v>99</v>
      </c>
      <c r="J30" s="17" t="s">
        <v>101</v>
      </c>
      <c r="K30" s="9" t="s">
        <v>100</v>
      </c>
      <c r="L30" s="9">
        <f t="shared" si="9"/>
        <v>-8.337874659400546</v>
      </c>
      <c r="M30" s="9">
        <v>1.7000000000000001E-2</v>
      </c>
      <c r="N30" s="9">
        <v>0.36699999999999999</v>
      </c>
      <c r="O30" s="9"/>
      <c r="P30" s="9">
        <f t="shared" si="10"/>
        <v>0.92560846498173255</v>
      </c>
      <c r="Q30" s="12">
        <f t="shared" si="11"/>
        <v>16</v>
      </c>
      <c r="R30" s="9">
        <f t="shared" si="12"/>
        <v>-2.497001594037906</v>
      </c>
      <c r="S30" s="9">
        <f t="shared" si="13"/>
        <v>16.193672127118909</v>
      </c>
      <c r="T30" s="9">
        <v>14.989000000000001</v>
      </c>
      <c r="U30" s="9">
        <f t="shared" si="14"/>
        <v>10.645112058793188</v>
      </c>
      <c r="V30" s="9">
        <f t="shared" si="15"/>
        <v>13.142113652831094</v>
      </c>
      <c r="W30" s="9">
        <f t="shared" si="16"/>
        <v>11.760884777271826</v>
      </c>
      <c r="X30" s="9"/>
      <c r="Y30" s="9"/>
      <c r="Z30" s="9"/>
      <c r="AA30" s="17"/>
      <c r="AB30" s="17"/>
      <c r="AC30" s="17"/>
      <c r="AD30" s="17"/>
    </row>
    <row r="31" spans="1:30" ht="13.8" x14ac:dyDescent="0.25">
      <c r="A31" s="10">
        <f>1*U18</f>
        <v>1505.9752923769588</v>
      </c>
      <c r="B31" s="9">
        <f t="shared" si="3"/>
        <v>0</v>
      </c>
      <c r="C31" s="9">
        <f t="shared" si="4"/>
        <v>0.93668750000000001</v>
      </c>
      <c r="D31" s="9">
        <f t="shared" si="5"/>
        <v>10.3035625</v>
      </c>
      <c r="E31" s="9">
        <f t="shared" si="6"/>
        <v>12.028295655054624</v>
      </c>
      <c r="F31" s="9">
        <f t="shared" si="7"/>
        <v>11.079048223967604</v>
      </c>
      <c r="G31" s="9">
        <f t="shared" si="8"/>
        <v>0</v>
      </c>
      <c r="H31" s="17" t="s">
        <v>104</v>
      </c>
      <c r="I31" s="17" t="s">
        <v>102</v>
      </c>
      <c r="J31" s="17" t="s">
        <v>103</v>
      </c>
      <c r="K31" s="17">
        <v>11.045</v>
      </c>
      <c r="L31" s="9">
        <f t="shared" si="9"/>
        <v>0</v>
      </c>
      <c r="M31" s="9">
        <v>0</v>
      </c>
      <c r="N31" s="9">
        <v>0.33</v>
      </c>
      <c r="O31" s="9"/>
      <c r="P31" s="9">
        <f t="shared" si="10"/>
        <v>0.93668750000000001</v>
      </c>
      <c r="Q31" s="12">
        <f t="shared" si="11"/>
        <v>16</v>
      </c>
      <c r="R31" s="9">
        <f t="shared" si="12"/>
        <v>0</v>
      </c>
      <c r="S31" s="9">
        <f t="shared" si="13"/>
        <v>16</v>
      </c>
      <c r="T31" s="9">
        <v>14.987</v>
      </c>
      <c r="U31" s="9">
        <f t="shared" si="14"/>
        <v>11.827902287547985</v>
      </c>
      <c r="V31" s="9">
        <f t="shared" si="15"/>
        <v>11.827902287547985</v>
      </c>
      <c r="W31" s="9">
        <f t="shared" si="16"/>
        <v>12.841311168404216</v>
      </c>
      <c r="X31" s="9"/>
      <c r="Y31" s="9"/>
      <c r="Z31" s="9"/>
      <c r="AA31" s="17"/>
      <c r="AB31" s="17"/>
      <c r="AC31" s="17"/>
      <c r="AD31" s="17"/>
    </row>
    <row r="32" spans="1:30" ht="13.8" x14ac:dyDescent="0.25">
      <c r="A32" s="10">
        <f>1.1*U18</f>
        <v>1656.5728216146549</v>
      </c>
      <c r="B32" s="9">
        <f t="shared" si="3"/>
        <v>8.0330091244259894</v>
      </c>
      <c r="C32" s="9">
        <f t="shared" si="4"/>
        <v>0.9275583507285482</v>
      </c>
      <c r="D32" s="9">
        <f t="shared" si="5"/>
        <v>10.20314185801403</v>
      </c>
      <c r="E32" s="9">
        <f t="shared" si="6"/>
        <v>12.928650207908291</v>
      </c>
      <c r="F32" s="9">
        <f t="shared" si="7"/>
        <v>9.9736995803785735</v>
      </c>
      <c r="G32" s="9">
        <f t="shared" si="8"/>
        <v>7.7483443708609272</v>
      </c>
      <c r="H32" s="17" t="s">
        <v>105</v>
      </c>
      <c r="I32" s="17" t="s">
        <v>106</v>
      </c>
      <c r="J32" s="17" t="s">
        <v>108</v>
      </c>
      <c r="K32" s="9" t="s">
        <v>107</v>
      </c>
      <c r="L32" s="9">
        <f>180*M32/N32</f>
        <v>7.7483443708609272</v>
      </c>
      <c r="M32" s="9">
        <v>1.2999999999999999E-2</v>
      </c>
      <c r="N32" s="9">
        <v>0.30199999999999999</v>
      </c>
      <c r="O32" s="9"/>
      <c r="P32" s="9">
        <f t="shared" si="10"/>
        <v>0.9275583507285482</v>
      </c>
      <c r="Q32" s="12">
        <f t="shared" si="11"/>
        <v>16</v>
      </c>
      <c r="R32" s="9">
        <f t="shared" si="12"/>
        <v>2.2580540730773464</v>
      </c>
      <c r="S32" s="9">
        <f t="shared" si="13"/>
        <v>16.158552168958121</v>
      </c>
      <c r="T32" s="9">
        <v>14.988</v>
      </c>
      <c r="U32" s="9">
        <f t="shared" si="14"/>
        <v>13.010692516302786</v>
      </c>
      <c r="V32" s="9">
        <f t="shared" si="15"/>
        <v>10.75263844322544</v>
      </c>
      <c r="W32" s="9">
        <f t="shared" si="16"/>
        <v>13.938368618808205</v>
      </c>
      <c r="X32" s="9"/>
      <c r="Y32" s="9"/>
      <c r="Z32" s="9"/>
      <c r="AA32" s="17"/>
      <c r="AB32" s="17"/>
      <c r="AC32" s="17"/>
      <c r="AD32" s="17"/>
    </row>
    <row r="33" spans="1:32" ht="13.8" x14ac:dyDescent="0.25">
      <c r="A33" s="10">
        <f>1.2*U18</f>
        <v>1807.1703508523506</v>
      </c>
      <c r="B33" s="9">
        <f t="shared" si="3"/>
        <v>15.165958417274899</v>
      </c>
      <c r="C33" s="9">
        <f t="shared" si="4"/>
        <v>0.90394399548110438</v>
      </c>
      <c r="D33" s="9">
        <f t="shared" si="5"/>
        <v>9.9433839502921479</v>
      </c>
      <c r="E33" s="9">
        <f t="shared" si="6"/>
        <v>13.602929138887154</v>
      </c>
      <c r="F33" s="9">
        <f t="shared" si="7"/>
        <v>8.9098010433051833</v>
      </c>
      <c r="G33" s="9">
        <f t="shared" si="8"/>
        <v>15.054545454545453</v>
      </c>
      <c r="H33" s="17" t="s">
        <v>111</v>
      </c>
      <c r="I33" s="17" t="s">
        <v>109</v>
      </c>
      <c r="J33" s="17" t="s">
        <v>110</v>
      </c>
      <c r="K33" s="9" t="s">
        <v>120</v>
      </c>
      <c r="L33" s="9">
        <f t="shared" ref="L33:L41" si="17">180*M33/N33</f>
        <v>15.054545454545453</v>
      </c>
      <c r="M33" s="9">
        <v>2.3E-2</v>
      </c>
      <c r="N33" s="9">
        <v>0.27500000000000002</v>
      </c>
      <c r="O33" s="9"/>
      <c r="P33" s="9">
        <f t="shared" si="10"/>
        <v>0.90394399548110438</v>
      </c>
      <c r="Q33" s="12">
        <f t="shared" si="11"/>
        <v>16</v>
      </c>
      <c r="R33" s="9">
        <f t="shared" si="12"/>
        <v>4.336897505434262</v>
      </c>
      <c r="S33" s="9">
        <f t="shared" si="13"/>
        <v>16.577354432256129</v>
      </c>
      <c r="T33" s="9">
        <v>14.984999999999999</v>
      </c>
      <c r="U33" s="9">
        <f t="shared" si="14"/>
        <v>14.193482745057583</v>
      </c>
      <c r="V33" s="9">
        <f t="shared" si="15"/>
        <v>9.8565852396233211</v>
      </c>
      <c r="W33" s="9">
        <f t="shared" si="16"/>
        <v>15.048420263743544</v>
      </c>
      <c r="X33" s="9"/>
      <c r="Y33" s="9"/>
      <c r="Z33" s="9"/>
      <c r="AA33" s="17"/>
      <c r="AB33" s="17"/>
      <c r="AC33" s="17"/>
      <c r="AD33" s="17"/>
    </row>
    <row r="34" spans="1:32" ht="13.8" x14ac:dyDescent="0.25">
      <c r="A34" s="10">
        <f>1.3*U18</f>
        <v>1957.7678800900464</v>
      </c>
      <c r="B34" s="9">
        <f t="shared" si="3"/>
        <v>21.423449215326098</v>
      </c>
      <c r="C34" s="9">
        <f t="shared" si="4"/>
        <v>0.87156112282731502</v>
      </c>
      <c r="D34" s="9">
        <f t="shared" si="5"/>
        <v>9.587172351100465</v>
      </c>
      <c r="E34" s="9">
        <f t="shared" si="6"/>
        <v>14.092088780664502</v>
      </c>
      <c r="F34" s="9">
        <f t="shared" si="7"/>
        <v>7.9297998449439167</v>
      </c>
      <c r="G34" s="9">
        <f t="shared" si="8"/>
        <v>21.17647058823529</v>
      </c>
      <c r="H34" s="17" t="s">
        <v>112</v>
      </c>
      <c r="I34" s="17" t="s">
        <v>113</v>
      </c>
      <c r="J34" s="17" t="s">
        <v>114</v>
      </c>
      <c r="K34" s="9" t="s">
        <v>119</v>
      </c>
      <c r="L34" s="9">
        <f t="shared" si="17"/>
        <v>21.17647058823529</v>
      </c>
      <c r="M34" s="9">
        <v>0.03</v>
      </c>
      <c r="N34" s="9">
        <v>0.255</v>
      </c>
      <c r="O34" s="9"/>
      <c r="P34" s="9">
        <f t="shared" si="10"/>
        <v>0.87156112282731502</v>
      </c>
      <c r="Q34" s="12">
        <f t="shared" si="11"/>
        <v>16</v>
      </c>
      <c r="R34" s="9">
        <f t="shared" si="12"/>
        <v>6.2778865987754688</v>
      </c>
      <c r="S34" s="9">
        <f t="shared" si="13"/>
        <v>17.187549567843714</v>
      </c>
      <c r="T34" s="9">
        <v>14.98</v>
      </c>
      <c r="U34" s="9">
        <f t="shared" si="14"/>
        <v>15.376272973812382</v>
      </c>
      <c r="V34" s="9">
        <f t="shared" si="15"/>
        <v>9.0983863750369132</v>
      </c>
      <c r="W34" s="9">
        <f t="shared" si="16"/>
        <v>16.168790015495688</v>
      </c>
      <c r="X34" s="9"/>
      <c r="Y34" s="9"/>
      <c r="Z34" s="9"/>
      <c r="AA34" s="17"/>
      <c r="AB34" s="17"/>
      <c r="AC34" s="17"/>
      <c r="AD34" s="17"/>
    </row>
    <row r="35" spans="1:32" ht="13.8" x14ac:dyDescent="0.25">
      <c r="A35" s="10">
        <f>1.4*U18</f>
        <v>2108.3654093277423</v>
      </c>
      <c r="B35" s="9">
        <f t="shared" si="3"/>
        <v>26.880910483814525</v>
      </c>
      <c r="C35" s="9">
        <f t="shared" si="4"/>
        <v>0.83491928068260723</v>
      </c>
      <c r="D35" s="9">
        <f t="shared" si="5"/>
        <v>9.1841120875086801</v>
      </c>
      <c r="E35" s="9">
        <f t="shared" si="6"/>
        <v>14.441993762111105</v>
      </c>
      <c r="F35" s="9">
        <f t="shared" si="7"/>
        <v>7.0538169070740917</v>
      </c>
      <c r="G35" s="9">
        <f t="shared" si="8"/>
        <v>27.341772151898734</v>
      </c>
      <c r="H35" s="17" t="s">
        <v>117</v>
      </c>
      <c r="I35" s="17" t="s">
        <v>115</v>
      </c>
      <c r="J35" s="17" t="s">
        <v>116</v>
      </c>
      <c r="K35" s="9" t="s">
        <v>118</v>
      </c>
      <c r="L35" s="9">
        <f t="shared" si="17"/>
        <v>27.341772151898734</v>
      </c>
      <c r="M35" s="9">
        <v>3.5999999999999997E-2</v>
      </c>
      <c r="N35" s="9">
        <v>0.23699999999999999</v>
      </c>
      <c r="O35" s="9"/>
      <c r="P35" s="9">
        <f t="shared" si="10"/>
        <v>0.83491928068260723</v>
      </c>
      <c r="Q35" s="12">
        <f t="shared" si="11"/>
        <v>16</v>
      </c>
      <c r="R35" s="9">
        <f t="shared" si="12"/>
        <v>8.110561568604334</v>
      </c>
      <c r="S35" s="9">
        <f t="shared" si="13"/>
        <v>17.938261034953239</v>
      </c>
      <c r="T35" s="9">
        <v>14.977</v>
      </c>
      <c r="U35" s="9">
        <f t="shared" si="14"/>
        <v>16.559063202567181</v>
      </c>
      <c r="V35" s="9">
        <f t="shared" si="15"/>
        <v>8.4485016339628469</v>
      </c>
      <c r="W35" s="9">
        <f t="shared" si="16"/>
        <v>17.29747305668127</v>
      </c>
      <c r="X35" s="9"/>
      <c r="Y35" s="9"/>
      <c r="Z35" s="9"/>
      <c r="AA35" s="17"/>
      <c r="AB35" s="17"/>
      <c r="AC35" s="17"/>
      <c r="AD35" s="17"/>
    </row>
    <row r="36" spans="1:32" ht="13.8" x14ac:dyDescent="0.25">
      <c r="A36" s="10">
        <f>1.5*U18</f>
        <v>2258.962938565438</v>
      </c>
      <c r="B36" s="9">
        <f t="shared" si="3"/>
        <v>31.634588526329665</v>
      </c>
      <c r="C36" s="9">
        <f t="shared" si="4"/>
        <v>0.79692018796683572</v>
      </c>
      <c r="D36" s="9">
        <f t="shared" si="5"/>
        <v>8.7661220676351927</v>
      </c>
      <c r="E36" s="9">
        <f t="shared" si="6"/>
        <v>14.689583871537376</v>
      </c>
      <c r="F36" s="9">
        <f t="shared" si="7"/>
        <v>6.2839294094974054</v>
      </c>
      <c r="G36" s="9">
        <f t="shared" si="8"/>
        <v>31.621621621621621</v>
      </c>
      <c r="H36" s="17" t="s">
        <v>121</v>
      </c>
      <c r="I36" s="17" t="s">
        <v>122</v>
      </c>
      <c r="J36" s="17" t="s">
        <v>124</v>
      </c>
      <c r="K36" s="9" t="s">
        <v>123</v>
      </c>
      <c r="L36" s="9">
        <f t="shared" si="17"/>
        <v>31.621621621621621</v>
      </c>
      <c r="M36" s="9">
        <v>3.9E-2</v>
      </c>
      <c r="N36" s="9">
        <v>0.222</v>
      </c>
      <c r="O36" s="9"/>
      <c r="P36" s="9">
        <f t="shared" si="10"/>
        <v>0.79692018796683572</v>
      </c>
      <c r="Q36" s="12">
        <f t="shared" si="11"/>
        <v>16</v>
      </c>
      <c r="R36" s="9">
        <f t="shared" si="12"/>
        <v>9.8565852396233211</v>
      </c>
      <c r="S36" s="9">
        <f t="shared" si="13"/>
        <v>18.792346117128652</v>
      </c>
      <c r="T36" s="9">
        <v>14.976000000000001</v>
      </c>
      <c r="U36" s="9">
        <f t="shared" si="14"/>
        <v>17.741853431321978</v>
      </c>
      <c r="V36" s="9">
        <f t="shared" si="15"/>
        <v>7.8852681916986578</v>
      </c>
      <c r="W36" s="9">
        <f t="shared" si="16"/>
        <v>18.432942336439709</v>
      </c>
      <c r="X36" s="9"/>
      <c r="Y36" s="9"/>
      <c r="Z36" s="9"/>
      <c r="AA36" s="17"/>
      <c r="AB36" s="17"/>
      <c r="AC36" s="17"/>
      <c r="AD36" s="17"/>
    </row>
    <row r="37" spans="1:32" ht="13.8" x14ac:dyDescent="0.25">
      <c r="A37" s="10">
        <f>1.6*U18</f>
        <v>2409.5604678031341</v>
      </c>
      <c r="B37" s="9">
        <f t="shared" si="3"/>
        <v>35.782660413661532</v>
      </c>
      <c r="C37" s="9">
        <f t="shared" si="4"/>
        <v>0.75916928982199594</v>
      </c>
      <c r="D37" s="9">
        <f t="shared" si="5"/>
        <v>8.3508621880419547</v>
      </c>
      <c r="E37" s="9">
        <f t="shared" si="6"/>
        <v>14.85999251008862</v>
      </c>
      <c r="F37" s="9">
        <f t="shared" si="7"/>
        <v>5.6121126123261034</v>
      </c>
      <c r="G37" s="9">
        <f t="shared" si="8"/>
        <v>35.480769230769234</v>
      </c>
      <c r="H37" s="17" t="s">
        <v>128</v>
      </c>
      <c r="I37" s="17" t="s">
        <v>125</v>
      </c>
      <c r="J37" s="17" t="s">
        <v>127</v>
      </c>
      <c r="K37" s="9" t="s">
        <v>126</v>
      </c>
      <c r="L37" s="9">
        <f t="shared" si="17"/>
        <v>35.480769230769234</v>
      </c>
      <c r="M37" s="9">
        <v>4.1000000000000002E-2</v>
      </c>
      <c r="N37" s="9">
        <v>0.20799999999999999</v>
      </c>
      <c r="O37" s="9"/>
      <c r="P37" s="9">
        <f t="shared" si="10"/>
        <v>0.75916928982199594</v>
      </c>
      <c r="Q37" s="12">
        <f t="shared" si="11"/>
        <v>16</v>
      </c>
      <c r="R37" s="9">
        <f t="shared" si="12"/>
        <v>11.532204730359288</v>
      </c>
      <c r="S37" s="9">
        <f t="shared" si="13"/>
        <v>19.722873673552776</v>
      </c>
      <c r="T37" s="9">
        <v>14.973000000000001</v>
      </c>
      <c r="U37" s="9">
        <f t="shared" si="14"/>
        <v>18.924643660076779</v>
      </c>
      <c r="V37" s="9">
        <f t="shared" si="15"/>
        <v>7.3924389297174908</v>
      </c>
      <c r="W37" s="9">
        <f t="shared" si="16"/>
        <v>19.574016901517282</v>
      </c>
      <c r="X37" s="9"/>
      <c r="Y37" s="9"/>
      <c r="Z37" s="9"/>
      <c r="AA37" s="17"/>
      <c r="AB37" s="17"/>
      <c r="AC37" s="17"/>
      <c r="AD37" s="17"/>
    </row>
    <row r="38" spans="1:32" ht="13.8" x14ac:dyDescent="0.25">
      <c r="A38" s="10">
        <f>1.7*U18</f>
        <v>2560.1579970408297</v>
      </c>
      <c r="B38" s="9">
        <f t="shared" si="3"/>
        <v>39.415597614860353</v>
      </c>
      <c r="C38" s="9">
        <f t="shared" si="4"/>
        <v>0.72277886886760101</v>
      </c>
      <c r="D38" s="9">
        <f t="shared" si="5"/>
        <v>7.9505675575436108</v>
      </c>
      <c r="E38" s="9">
        <f t="shared" si="6"/>
        <v>14.975812425087796</v>
      </c>
      <c r="F38" s="9">
        <f t="shared" si="7"/>
        <v>5.0287987273355554</v>
      </c>
      <c r="G38" s="9">
        <f t="shared" si="8"/>
        <v>39.489795918367342</v>
      </c>
      <c r="H38" s="17" t="s">
        <v>129</v>
      </c>
      <c r="I38" s="17" t="s">
        <v>130</v>
      </c>
      <c r="J38" s="17" t="s">
        <v>132</v>
      </c>
      <c r="K38" s="9" t="s">
        <v>131</v>
      </c>
      <c r="L38" s="9">
        <f t="shared" si="17"/>
        <v>39.489795918367342</v>
      </c>
      <c r="M38" s="9">
        <v>4.2999999999999997E-2</v>
      </c>
      <c r="N38" s="9">
        <v>0.19600000000000001</v>
      </c>
      <c r="O38" s="9"/>
      <c r="P38" s="9">
        <f t="shared" si="10"/>
        <v>0.72277886886760101</v>
      </c>
      <c r="Q38" s="12">
        <f t="shared" si="11"/>
        <v>16</v>
      </c>
      <c r="R38" s="9">
        <f t="shared" si="12"/>
        <v>13.149844307920995</v>
      </c>
      <c r="S38" s="9">
        <f t="shared" si="13"/>
        <v>20.710345369466008</v>
      </c>
      <c r="T38" s="9">
        <v>14.968999999999999</v>
      </c>
      <c r="U38" s="9">
        <f t="shared" si="14"/>
        <v>20.107433888831576</v>
      </c>
      <c r="V38" s="9">
        <f t="shared" si="15"/>
        <v>6.9575895809105806</v>
      </c>
      <c r="W38" s="9">
        <f t="shared" si="16"/>
        <v>20.719770693560594</v>
      </c>
      <c r="X38" s="9"/>
      <c r="Y38" s="9"/>
      <c r="Z38" s="9"/>
      <c r="AA38" s="17"/>
      <c r="AB38" s="17"/>
      <c r="AC38" s="17"/>
      <c r="AD38" s="17"/>
    </row>
    <row r="39" spans="1:32" ht="13.8" x14ac:dyDescent="0.25">
      <c r="A39" s="10">
        <f>1.8*U18</f>
        <v>2710.7555262785258</v>
      </c>
      <c r="B39" s="9">
        <f t="shared" si="3"/>
        <v>42.612440937023251</v>
      </c>
      <c r="C39" s="9">
        <f t="shared" si="4"/>
        <v>0.67146246892251449</v>
      </c>
      <c r="D39" s="9">
        <f t="shared" si="5"/>
        <v>7.3860871581476593</v>
      </c>
      <c r="E39" s="9">
        <f t="shared" si="6"/>
        <v>14.684527167263072</v>
      </c>
      <c r="F39" s="9">
        <f t="shared" si="7"/>
        <v>4.4122180400951256</v>
      </c>
      <c r="G39" s="9">
        <f t="shared" si="8"/>
        <v>42.810810810810814</v>
      </c>
      <c r="H39" s="9" t="s">
        <v>136</v>
      </c>
      <c r="I39" s="9" t="s">
        <v>133</v>
      </c>
      <c r="J39" s="9" t="s">
        <v>135</v>
      </c>
      <c r="K39" s="9" t="s">
        <v>134</v>
      </c>
      <c r="L39" s="9">
        <f t="shared" si="17"/>
        <v>42.810810810810814</v>
      </c>
      <c r="M39" s="9">
        <v>4.3999999999999997E-2</v>
      </c>
      <c r="N39" s="9">
        <v>0.185</v>
      </c>
      <c r="O39" s="9"/>
      <c r="P39" s="9">
        <f t="shared" si="10"/>
        <v>0.67146246892251449</v>
      </c>
      <c r="Q39" s="12">
        <f t="shared" si="11"/>
        <v>16</v>
      </c>
      <c r="R39" s="9">
        <f t="shared" si="12"/>
        <v>14.71916729117083</v>
      </c>
      <c r="S39" s="9">
        <f t="shared" si="13"/>
        <v>21.740604539558536</v>
      </c>
      <c r="T39" s="9">
        <v>14.598000000000001</v>
      </c>
      <c r="U39" s="9">
        <f t="shared" si="14"/>
        <v>21.290224117586376</v>
      </c>
      <c r="V39" s="9">
        <f t="shared" si="15"/>
        <v>6.5710568264155471</v>
      </c>
      <c r="W39" s="9">
        <f t="shared" si="16"/>
        <v>21.869468282906574</v>
      </c>
      <c r="X39" s="9"/>
      <c r="Y39" s="9"/>
      <c r="Z39" s="9"/>
      <c r="AA39" s="17"/>
      <c r="AB39" s="17"/>
      <c r="AC39" s="17"/>
      <c r="AD39" s="17"/>
    </row>
    <row r="40" spans="1:32" ht="13.8" x14ac:dyDescent="0.25">
      <c r="A40" s="10">
        <f>1.9*U18</f>
        <v>2861.3530555162215</v>
      </c>
      <c r="B40" s="9">
        <f t="shared" si="3"/>
        <v>45.440270761131394</v>
      </c>
      <c r="C40" s="9">
        <f t="shared" si="4"/>
        <v>0.65626428548315174</v>
      </c>
      <c r="D40" s="9">
        <f t="shared" si="5"/>
        <v>7.218907140314669</v>
      </c>
      <c r="E40" s="9">
        <f t="shared" si="6"/>
        <v>15.108856877591187</v>
      </c>
      <c r="F40" s="9">
        <f t="shared" si="7"/>
        <v>4.0853841281590606</v>
      </c>
      <c r="G40" s="9">
        <f t="shared" si="8"/>
        <v>45.25714285714286</v>
      </c>
      <c r="H40" s="9" t="s">
        <v>137</v>
      </c>
      <c r="I40" s="9" t="s">
        <v>138</v>
      </c>
      <c r="J40" s="9" t="s">
        <v>140</v>
      </c>
      <c r="K40" s="9" t="s">
        <v>139</v>
      </c>
      <c r="L40" s="9">
        <f t="shared" si="17"/>
        <v>45.25714285714286</v>
      </c>
      <c r="M40" s="9">
        <v>4.3999999999999997E-2</v>
      </c>
      <c r="N40" s="9">
        <v>0.17499999999999999</v>
      </c>
      <c r="O40" s="9"/>
      <c r="P40" s="9">
        <f t="shared" si="10"/>
        <v>0.65626428548315174</v>
      </c>
      <c r="Q40" s="12">
        <f t="shared" si="11"/>
        <v>16</v>
      </c>
      <c r="R40" s="9">
        <f t="shared" si="12"/>
        <v>16.247802616052759</v>
      </c>
      <c r="S40" s="9">
        <f t="shared" si="13"/>
        <v>22.803313133187704</v>
      </c>
      <c r="T40" s="9">
        <v>14.965</v>
      </c>
      <c r="U40" s="9">
        <f t="shared" si="14"/>
        <v>22.473014346341174</v>
      </c>
      <c r="V40" s="9">
        <f t="shared" si="15"/>
        <v>6.2252117302884136</v>
      </c>
      <c r="W40" s="9">
        <f t="shared" si="16"/>
        <v>23.022518841578918</v>
      </c>
      <c r="X40" s="9"/>
      <c r="Y40" s="9"/>
      <c r="Z40" s="9"/>
      <c r="AA40" s="17"/>
      <c r="AB40" s="17"/>
      <c r="AC40" s="17"/>
      <c r="AD40" s="17"/>
    </row>
    <row r="41" spans="1:32" ht="13.8" x14ac:dyDescent="0.25">
      <c r="A41" s="10">
        <f>2*U18</f>
        <v>3011.9505847539176</v>
      </c>
      <c r="B41" s="9">
        <f>ATAN(R41/Q41)*180/PI()</f>
        <v>47.955152947748843</v>
      </c>
      <c r="C41" s="9">
        <f>P41</f>
        <v>0.62630636779991566</v>
      </c>
      <c r="D41" s="9">
        <f>C41*$P$17</f>
        <v>6.8893700457990725</v>
      </c>
      <c r="E41" s="9">
        <f>C41*W41</f>
        <v>15.143112609631533</v>
      </c>
      <c r="F41" s="9">
        <f>V41*C41</f>
        <v>3.7039452602032461</v>
      </c>
      <c r="G41" s="9">
        <f t="shared" si="8"/>
        <v>47.710843373493972</v>
      </c>
      <c r="H41" s="9" t="s">
        <v>144</v>
      </c>
      <c r="I41" s="9" t="s">
        <v>141</v>
      </c>
      <c r="J41" s="9" t="s">
        <v>143</v>
      </c>
      <c r="K41" s="9" t="s">
        <v>142</v>
      </c>
      <c r="L41" s="9">
        <f t="shared" si="17"/>
        <v>47.710843373493972</v>
      </c>
      <c r="M41" s="9">
        <v>4.3999999999999997E-2</v>
      </c>
      <c r="N41" s="9">
        <v>0.16600000000000001</v>
      </c>
      <c r="O41" s="9"/>
      <c r="P41" s="9">
        <f>T41/S41</f>
        <v>0.62630636779991566</v>
      </c>
      <c r="Q41" s="12">
        <f>$P$17+$C$6</f>
        <v>16</v>
      </c>
      <c r="R41" s="9">
        <f>U41-V41</f>
        <v>17.741853431321978</v>
      </c>
      <c r="S41" s="9">
        <f>SQRT(Q41*Q41+R41*R41)</f>
        <v>23.890863592145667</v>
      </c>
      <c r="T41" s="9">
        <v>14.962999999999999</v>
      </c>
      <c r="U41" s="9">
        <f>A41*2*PI()*$D$6*$F$1</f>
        <v>23.655804575095971</v>
      </c>
      <c r="V41" s="9">
        <f>1/(A41*2*PI()*$E$7*$G$1)</f>
        <v>5.9139511437739927</v>
      </c>
      <c r="W41" s="9">
        <f>SQRT($C$6*$C$6+U41*U41)</f>
        <v>24.178442673074116</v>
      </c>
      <c r="X41" s="9"/>
      <c r="Y41" s="9"/>
      <c r="Z41" s="9"/>
      <c r="AA41" s="17"/>
      <c r="AB41" s="17"/>
      <c r="AC41" s="17"/>
      <c r="AD41" s="17"/>
    </row>
    <row r="42" spans="1:32" ht="13.8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32" ht="13.8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32" ht="13.8" x14ac:dyDescent="0.25">
      <c r="A44" s="6" t="s">
        <v>45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1"/>
      <c r="Y44" s="1"/>
      <c r="Z44" s="1"/>
    </row>
    <row r="45" spans="1:32" ht="13.8" x14ac:dyDescent="0.25">
      <c r="A45" s="32" t="s">
        <v>32</v>
      </c>
      <c r="B45" s="32" t="s">
        <v>33</v>
      </c>
      <c r="C45" s="33"/>
      <c r="D45" s="33"/>
      <c r="E45" s="33"/>
      <c r="F45" s="33"/>
      <c r="G45" s="33"/>
      <c r="H45" s="33"/>
      <c r="I45" s="33"/>
      <c r="J45" s="6"/>
      <c r="K45" s="6" t="s">
        <v>145</v>
      </c>
      <c r="L45" s="6">
        <f>U18*SQRT((M18*M18-C6*C6)/(M18*M18-P17*P17))</f>
        <v>3713.2478858842405</v>
      </c>
      <c r="M45" s="23"/>
      <c r="N45" s="6"/>
      <c r="O45" s="6"/>
      <c r="P45" s="23"/>
      <c r="Q45" s="23"/>
      <c r="R45" s="23"/>
      <c r="S45" s="23"/>
      <c r="T45" s="23"/>
      <c r="U45" s="23"/>
      <c r="V45" s="23"/>
      <c r="W45" s="23"/>
      <c r="Z45" s="1"/>
    </row>
    <row r="46" spans="1:32" ht="13.8" x14ac:dyDescent="0.25">
      <c r="A46" s="33"/>
      <c r="B46" s="36" t="s">
        <v>37</v>
      </c>
      <c r="C46" s="33"/>
      <c r="D46" s="33"/>
      <c r="E46" s="33"/>
      <c r="F46" s="37" t="s">
        <v>38</v>
      </c>
      <c r="G46" s="33"/>
      <c r="H46" s="33"/>
      <c r="I46" s="33"/>
      <c r="J46" s="23"/>
      <c r="K46" s="6"/>
      <c r="L46" s="6"/>
      <c r="M46" s="6"/>
      <c r="N46" s="6"/>
      <c r="O46" s="6"/>
      <c r="P46" s="23"/>
      <c r="Q46" s="23"/>
      <c r="R46" s="23"/>
      <c r="S46" s="23"/>
      <c r="T46" s="23"/>
      <c r="U46" s="23"/>
      <c r="V46" s="23"/>
      <c r="W46" s="23"/>
      <c r="Z46" s="1"/>
    </row>
    <row r="47" spans="1:32" ht="13.8" x14ac:dyDescent="0.25">
      <c r="A47" s="33"/>
      <c r="B47" s="35"/>
      <c r="C47" s="33"/>
      <c r="D47" s="33"/>
      <c r="E47" s="33"/>
      <c r="F47" s="35"/>
      <c r="G47" s="33"/>
      <c r="H47" s="33"/>
      <c r="I47" s="33"/>
      <c r="J47" s="23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1"/>
      <c r="Y47" s="1"/>
      <c r="Z47" s="1"/>
    </row>
    <row r="48" spans="1:32" ht="13.8" x14ac:dyDescent="0.25">
      <c r="A48" s="33"/>
      <c r="B48" s="16" t="s">
        <v>14</v>
      </c>
      <c r="C48" s="8" t="s">
        <v>13</v>
      </c>
      <c r="D48" s="16" t="s">
        <v>46</v>
      </c>
      <c r="E48" s="16" t="s">
        <v>47</v>
      </c>
      <c r="F48" s="16" t="s">
        <v>14</v>
      </c>
      <c r="G48" s="8" t="s">
        <v>13</v>
      </c>
      <c r="H48" s="16" t="s">
        <v>165</v>
      </c>
      <c r="I48" s="16" t="s">
        <v>166</v>
      </c>
      <c r="J48" s="23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1"/>
      <c r="Y48" s="1"/>
      <c r="Z48" s="3" t="s">
        <v>157</v>
      </c>
      <c r="AF48" s="4" t="s">
        <v>158</v>
      </c>
    </row>
    <row r="49" spans="1:35" ht="13.8" x14ac:dyDescent="0.25">
      <c r="A49" s="7" t="s">
        <v>48</v>
      </c>
      <c r="B49" s="16" t="s">
        <v>20</v>
      </c>
      <c r="C49" s="34" t="s">
        <v>19</v>
      </c>
      <c r="D49" s="33"/>
      <c r="E49" s="8"/>
      <c r="F49" s="16" t="s">
        <v>20</v>
      </c>
      <c r="G49" s="34" t="s">
        <v>19</v>
      </c>
      <c r="H49" s="33"/>
      <c r="I49" s="33"/>
      <c r="J49" s="23" t="s">
        <v>58</v>
      </c>
      <c r="K49" s="23" t="s">
        <v>50</v>
      </c>
      <c r="L49" s="6" t="s">
        <v>13</v>
      </c>
      <c r="M49" s="6" t="s">
        <v>12</v>
      </c>
      <c r="N49" s="6" t="s">
        <v>28</v>
      </c>
      <c r="O49" s="6" t="s">
        <v>26</v>
      </c>
      <c r="P49" s="6" t="s">
        <v>147</v>
      </c>
      <c r="Q49" s="6" t="s">
        <v>148</v>
      </c>
      <c r="R49" s="6" t="s">
        <v>27</v>
      </c>
      <c r="S49" s="6" t="s">
        <v>149</v>
      </c>
      <c r="T49" s="6" t="s">
        <v>150</v>
      </c>
      <c r="U49" s="6" t="s">
        <v>151</v>
      </c>
      <c r="V49" s="6" t="s">
        <v>5</v>
      </c>
      <c r="W49" s="6" t="s">
        <v>53</v>
      </c>
      <c r="X49" s="1"/>
      <c r="Y49" s="3" t="s">
        <v>155</v>
      </c>
      <c r="Z49" s="3" t="s">
        <v>12</v>
      </c>
      <c r="AA49" s="4" t="s">
        <v>62</v>
      </c>
      <c r="AB49" s="4" t="s">
        <v>60</v>
      </c>
      <c r="AC49" s="4" t="s">
        <v>61</v>
      </c>
      <c r="AD49" s="4"/>
      <c r="AE49" s="4" t="s">
        <v>156</v>
      </c>
      <c r="AF49" s="4" t="s">
        <v>12</v>
      </c>
      <c r="AG49" s="4" t="s">
        <v>62</v>
      </c>
      <c r="AH49" s="4" t="s">
        <v>60</v>
      </c>
      <c r="AI49" s="4" t="s">
        <v>61</v>
      </c>
    </row>
    <row r="50" spans="1:35" ht="13.8" x14ac:dyDescent="0.25">
      <c r="A50" s="7">
        <f>0.1*L45</f>
        <v>371.3247885884241</v>
      </c>
      <c r="B50" s="6">
        <f>W50</f>
        <v>23.617611689935451</v>
      </c>
      <c r="C50" s="6">
        <f>L50</f>
        <v>2.5176053081345695</v>
      </c>
      <c r="D50" s="6">
        <f>Y50</f>
        <v>2.5914017998923393</v>
      </c>
      <c r="E50" s="6">
        <f>AE50</f>
        <v>0.30478355630605469</v>
      </c>
      <c r="F50" s="6">
        <f>180*J50/K50</f>
        <v>24</v>
      </c>
      <c r="G50" s="6" t="s">
        <v>152</v>
      </c>
      <c r="H50" s="6" t="s">
        <v>154</v>
      </c>
      <c r="I50" s="6" t="s">
        <v>153</v>
      </c>
      <c r="J50" s="6">
        <v>18</v>
      </c>
      <c r="K50" s="6">
        <v>135</v>
      </c>
      <c r="L50" s="6">
        <f>M50*N50</f>
        <v>2.5176053081345695</v>
      </c>
      <c r="M50" s="6">
        <v>15.000999999999999</v>
      </c>
      <c r="N50" s="6">
        <f>SQRT(O50*O50+R50*R50)</f>
        <v>0.16782916526462033</v>
      </c>
      <c r="O50" s="6">
        <f>P50+Q50</f>
        <v>0.15377173164696226</v>
      </c>
      <c r="P50" s="6">
        <f>$P$17/($P$17*$P$17+U50*U50)</f>
        <v>4.5414363472898941E-3</v>
      </c>
      <c r="Q50" s="6">
        <f>$C$6/($C$6*$C$6+V50*V50)</f>
        <v>0.14923029529967236</v>
      </c>
      <c r="R50" s="6">
        <f>T50-S50</f>
        <v>6.7237513782960973E-2</v>
      </c>
      <c r="S50" s="6">
        <f>U50/($P$17*$P$17+U50*U50)</f>
        <v>1.9804878329773727E-2</v>
      </c>
      <c r="T50" s="6">
        <f>V50/($C$6*$C$6+V50*V50)</f>
        <v>8.7042392112734707E-2</v>
      </c>
      <c r="U50" s="6">
        <f>1/(A50*2*PI()*$E$7*$G$1)</f>
        <v>47.97021139743935</v>
      </c>
      <c r="V50" s="6">
        <f>A50*2*PI()*$D$6*$F$1</f>
        <v>2.9163780698129402</v>
      </c>
      <c r="W50" s="6">
        <f>ATAN(R50/O50)*180/PI()</f>
        <v>23.617611689935451</v>
      </c>
      <c r="X50" s="1"/>
      <c r="Y50" s="1">
        <f>Z50/AA50</f>
        <v>2.5914017998923393</v>
      </c>
      <c r="Z50" s="2">
        <v>15</v>
      </c>
      <c r="AA50">
        <f>SQRT(AB50*AB50+AC50*AC50)</f>
        <v>5.7883729187126365</v>
      </c>
      <c r="AB50" s="5">
        <f>$C$6</f>
        <v>5</v>
      </c>
      <c r="AC50">
        <f>A50*2*PI()*$D$6*$F$1</f>
        <v>2.9163780698129402</v>
      </c>
      <c r="AE50">
        <f>AF50/AG50</f>
        <v>0.30478355630605469</v>
      </c>
      <c r="AF50">
        <v>15</v>
      </c>
      <c r="AG50">
        <f>SQRT(AH50*AH50+AI50*AI50)</f>
        <v>49.215253545166462</v>
      </c>
      <c r="AH50">
        <f>$P$17</f>
        <v>11</v>
      </c>
      <c r="AI50" s="4">
        <f>1/(A50*2*PI()*$E$7*$G$1)</f>
        <v>47.97021139743935</v>
      </c>
    </row>
    <row r="51" spans="1:35" ht="13.8" x14ac:dyDescent="0.25">
      <c r="A51" s="7">
        <f>0.2*L45</f>
        <v>742.6495771768482</v>
      </c>
      <c r="B51" s="6">
        <f t="shared" ref="B51:B68" si="18">W51</f>
        <v>32.639069325625222</v>
      </c>
      <c r="C51" s="6">
        <f t="shared" ref="C51:C68" si="19">L51</f>
        <v>1.7875784720142907</v>
      </c>
      <c r="D51" s="6">
        <f t="shared" ref="D51:D68" si="20">Y51</f>
        <v>1.9524854884299001</v>
      </c>
      <c r="E51" s="6">
        <f t="shared" ref="E51:E68" si="21">AE51</f>
        <v>0.56845703731803143</v>
      </c>
      <c r="F51" s="6">
        <f t="shared" ref="F51:F69" si="22">180*J51/K51</f>
        <v>32.630014858841008</v>
      </c>
      <c r="G51" s="6" t="s">
        <v>161</v>
      </c>
      <c r="H51" s="6" t="s">
        <v>162</v>
      </c>
      <c r="I51" s="6" t="s">
        <v>163</v>
      </c>
      <c r="J51" s="6">
        <v>0.122</v>
      </c>
      <c r="K51" s="23">
        <v>0.67300000000000004</v>
      </c>
      <c r="L51" s="6">
        <f t="shared" ref="L51:L69" si="23">M51*N51</f>
        <v>1.7875784720142907</v>
      </c>
      <c r="M51" s="6">
        <v>14.976000000000001</v>
      </c>
      <c r="N51" s="6">
        <f t="shared" ref="N51:N69" si="24">SQRT(O51*O51+R51*R51)</f>
        <v>0.11936287874027048</v>
      </c>
      <c r="O51" s="6">
        <f t="shared" ref="O51:O69" si="25">P51+Q51</f>
        <v>0.10051366821638694</v>
      </c>
      <c r="P51" s="6">
        <f t="shared" ref="P51:P69" si="26">$P$17/($P$17*$P$17+U51*U51)</f>
        <v>1.579812193795703E-2</v>
      </c>
      <c r="Q51" s="6">
        <f t="shared" ref="Q51:Q69" si="27">$C$6/($C$6*$C$6+V51*V51)</f>
        <v>8.4715546278429907E-2</v>
      </c>
      <c r="R51" s="6">
        <f t="shared" ref="R51:R69" si="28">T51-S51</f>
        <v>6.4377785942439814E-2</v>
      </c>
      <c r="S51" s="6">
        <f t="shared" ref="S51:S69" si="29">U51/($P$17*$P$17+U51*U51)</f>
        <v>3.4447238593014677E-2</v>
      </c>
      <c r="T51" s="6">
        <f t="shared" ref="T51:T69" si="30">V51/($C$6*$C$6+V51*V51)</f>
        <v>9.8825024535454498E-2</v>
      </c>
      <c r="U51" s="6">
        <f t="shared" ref="U51:U69" si="31">1/(A51*2*PI()*$E$7*$G$1)</f>
        <v>23.985105698719675</v>
      </c>
      <c r="V51" s="6">
        <f t="shared" ref="V51:V69" si="32">A51*2*PI()*$D$6*$F$1</f>
        <v>5.8327561396258805</v>
      </c>
      <c r="W51" s="6">
        <f t="shared" ref="W51:W69" si="33">ATAN(R51/O51)*180/PI()</f>
        <v>32.639069325625222</v>
      </c>
      <c r="X51" s="1"/>
      <c r="Y51" s="1">
        <f t="shared" ref="Y51:Y69" si="34">Z51/AA51</f>
        <v>1.9524854884299001</v>
      </c>
      <c r="Z51" s="2">
        <v>15</v>
      </c>
      <c r="AA51">
        <f t="shared" ref="AA51:AA69" si="35">SQRT(AB51*AB51+AC51*AC51)</f>
        <v>7.682515485460697</v>
      </c>
      <c r="AB51" s="5">
        <f t="shared" ref="AB51:AB69" si="36">$C$6</f>
        <v>5</v>
      </c>
      <c r="AC51">
        <f t="shared" ref="AC51:AC69" si="37">A51*2*PI()*$D$6*$F$1</f>
        <v>5.8327561396258805</v>
      </c>
      <c r="AE51">
        <f t="shared" ref="AE51:AE69" si="38">AF51/AG51</f>
        <v>0.56845703731803143</v>
      </c>
      <c r="AF51">
        <v>15</v>
      </c>
      <c r="AG51">
        <f t="shared" ref="AG51:AG69" si="39">SQRT(AH51*AH51+AI51*AI51)</f>
        <v>26.387218409274499</v>
      </c>
      <c r="AH51">
        <f t="shared" ref="AH51:AH69" si="40">$P$17</f>
        <v>11</v>
      </c>
      <c r="AI51" s="4">
        <f t="shared" ref="AI51:AI69" si="41">1/(A51*2*PI()*$E$7*$G$1)</f>
        <v>23.985105698719675</v>
      </c>
    </row>
    <row r="52" spans="1:35" ht="13.8" x14ac:dyDescent="0.25">
      <c r="A52" s="7">
        <f>0.3*L45</f>
        <v>1113.9743657652721</v>
      </c>
      <c r="B52" s="6">
        <f t="shared" si="18"/>
        <v>29.127340854925638</v>
      </c>
      <c r="C52" s="6">
        <f t="shared" si="19"/>
        <v>1.3448753028704183</v>
      </c>
      <c r="D52" s="6">
        <f t="shared" si="20"/>
        <v>1.488527844776788</v>
      </c>
      <c r="E52" s="6">
        <f t="shared" si="21"/>
        <v>0.77286496651513614</v>
      </c>
      <c r="F52" s="6">
        <f t="shared" si="22"/>
        <v>29.199999999999996</v>
      </c>
      <c r="G52" s="6" t="s">
        <v>164</v>
      </c>
      <c r="H52" s="6" t="s">
        <v>168</v>
      </c>
      <c r="I52" s="6" t="s">
        <v>167</v>
      </c>
      <c r="J52" s="6">
        <v>7.2999999999999995E-2</v>
      </c>
      <c r="K52" s="6">
        <v>0.45</v>
      </c>
      <c r="L52" s="6">
        <f t="shared" si="23"/>
        <v>1.3448753028704183</v>
      </c>
      <c r="M52" s="6">
        <v>14.977</v>
      </c>
      <c r="N52" s="6">
        <f t="shared" si="24"/>
        <v>8.9796040787234979E-2</v>
      </c>
      <c r="O52" s="6">
        <f t="shared" si="25"/>
        <v>7.8440437975600075E-2</v>
      </c>
      <c r="P52" s="6">
        <f t="shared" si="26"/>
        <v>2.9202323649470518E-2</v>
      </c>
      <c r="Q52" s="6">
        <f t="shared" si="27"/>
        <v>4.9238114326129553E-2</v>
      </c>
      <c r="R52" s="6">
        <f t="shared" si="28"/>
        <v>4.370842746266225E-2</v>
      </c>
      <c r="S52" s="6">
        <f t="shared" si="29"/>
        <v>4.2449746629137683E-2</v>
      </c>
      <c r="T52" s="6">
        <f t="shared" si="30"/>
        <v>8.6158174091799933E-2</v>
      </c>
      <c r="U52" s="6">
        <f t="shared" si="31"/>
        <v>15.990070465813117</v>
      </c>
      <c r="V52" s="6">
        <f t="shared" si="32"/>
        <v>8.7491342094388198</v>
      </c>
      <c r="W52" s="6">
        <f t="shared" si="33"/>
        <v>29.127340854925638</v>
      </c>
      <c r="X52" s="1"/>
      <c r="Y52" s="1">
        <f t="shared" si="34"/>
        <v>1.488527844776788</v>
      </c>
      <c r="Z52" s="2">
        <v>15</v>
      </c>
      <c r="AA52">
        <f t="shared" si="35"/>
        <v>10.07707047781113</v>
      </c>
      <c r="AB52" s="5">
        <f t="shared" si="36"/>
        <v>5</v>
      </c>
      <c r="AC52">
        <f t="shared" si="37"/>
        <v>8.7491342094388198</v>
      </c>
      <c r="AE52">
        <f t="shared" si="38"/>
        <v>0.77286496651513614</v>
      </c>
      <c r="AF52">
        <v>15</v>
      </c>
      <c r="AG52">
        <f t="shared" si="39"/>
        <v>19.408306301727333</v>
      </c>
      <c r="AH52">
        <f t="shared" si="40"/>
        <v>11</v>
      </c>
      <c r="AI52" s="4">
        <f t="shared" si="41"/>
        <v>15.990070465813117</v>
      </c>
    </row>
    <row r="53" spans="1:35" ht="13.8" x14ac:dyDescent="0.25">
      <c r="A53" s="7">
        <f>0.4*L45</f>
        <v>1485.2991543536964</v>
      </c>
      <c r="B53" s="6">
        <f t="shared" si="18"/>
        <v>20.498486090436842</v>
      </c>
      <c r="C53" s="6">
        <f t="shared" si="19"/>
        <v>1.1613187931458806</v>
      </c>
      <c r="D53" s="6">
        <f t="shared" si="20"/>
        <v>1.1818566906006684</v>
      </c>
      <c r="E53" s="6">
        <f t="shared" si="21"/>
        <v>0.92175347362380022</v>
      </c>
      <c r="F53" s="6">
        <f t="shared" si="22"/>
        <v>20.830860534124625</v>
      </c>
      <c r="G53" s="6" t="s">
        <v>172</v>
      </c>
      <c r="H53" s="6" t="s">
        <v>173</v>
      </c>
      <c r="I53" s="6" t="s">
        <v>174</v>
      </c>
      <c r="J53" s="6">
        <v>3.9E-2</v>
      </c>
      <c r="K53" s="6">
        <v>0.33700000000000002</v>
      </c>
      <c r="L53" s="6">
        <f t="shared" si="23"/>
        <v>1.1613187931458806</v>
      </c>
      <c r="M53" s="6">
        <v>14.988</v>
      </c>
      <c r="N53" s="6">
        <f t="shared" si="24"/>
        <v>7.7483239467966411E-2</v>
      </c>
      <c r="O53" s="6">
        <f t="shared" si="25"/>
        <v>7.2577112502670127E-2</v>
      </c>
      <c r="P53" s="6">
        <f t="shared" si="26"/>
        <v>4.1537440566724267E-2</v>
      </c>
      <c r="Q53" s="6">
        <f t="shared" si="27"/>
        <v>3.1039671935945867E-2</v>
      </c>
      <c r="R53" s="6">
        <f t="shared" si="28"/>
        <v>2.7133284711309651E-2</v>
      </c>
      <c r="S53" s="6">
        <f t="shared" si="29"/>
        <v>4.5285450111234908E-2</v>
      </c>
      <c r="T53" s="6">
        <f t="shared" si="30"/>
        <v>7.2418734822544559E-2</v>
      </c>
      <c r="U53" s="6">
        <f t="shared" si="31"/>
        <v>11.992552849359837</v>
      </c>
      <c r="V53" s="6">
        <f t="shared" si="32"/>
        <v>11.665512279251761</v>
      </c>
      <c r="W53" s="6">
        <f t="shared" si="33"/>
        <v>20.498486090436842</v>
      </c>
      <c r="X53" s="1"/>
      <c r="Y53" s="1">
        <f t="shared" si="34"/>
        <v>1.1818566906006684</v>
      </c>
      <c r="Z53" s="2">
        <v>15</v>
      </c>
      <c r="AA53">
        <f t="shared" si="35"/>
        <v>12.691894135131037</v>
      </c>
      <c r="AB53" s="5">
        <f t="shared" si="36"/>
        <v>5</v>
      </c>
      <c r="AC53">
        <f t="shared" si="37"/>
        <v>11.665512279251761</v>
      </c>
      <c r="AE53">
        <f t="shared" si="38"/>
        <v>0.92175347362380022</v>
      </c>
      <c r="AF53">
        <v>15</v>
      </c>
      <c r="AG53">
        <f t="shared" si="39"/>
        <v>16.273331676233013</v>
      </c>
      <c r="AH53">
        <f t="shared" si="40"/>
        <v>11</v>
      </c>
      <c r="AI53" s="4">
        <f t="shared" si="41"/>
        <v>11.992552849359837</v>
      </c>
    </row>
    <row r="54" spans="1:35" ht="13.8" x14ac:dyDescent="0.25">
      <c r="A54" s="7">
        <f>0.5*L45</f>
        <v>1856.6239429421203</v>
      </c>
      <c r="B54" s="6">
        <f t="shared" si="18"/>
        <v>12.664774016070655</v>
      </c>
      <c r="C54" s="6">
        <f t="shared" si="19"/>
        <v>1.1160888020997175</v>
      </c>
      <c r="D54" s="6">
        <f t="shared" si="20"/>
        <v>0.97305912676640105</v>
      </c>
      <c r="E54" s="6">
        <f t="shared" si="21"/>
        <v>1.027672952201325</v>
      </c>
      <c r="F54" s="6">
        <f t="shared" si="22"/>
        <v>12.666666666666666</v>
      </c>
      <c r="G54" s="6" t="s">
        <v>171</v>
      </c>
      <c r="H54" s="6" t="s">
        <v>170</v>
      </c>
      <c r="I54" s="6" t="s">
        <v>169</v>
      </c>
      <c r="J54" s="6">
        <v>1.9E-2</v>
      </c>
      <c r="K54" s="6">
        <v>0.27</v>
      </c>
      <c r="L54" s="6">
        <f t="shared" si="23"/>
        <v>1.1160888020997175</v>
      </c>
      <c r="M54" s="6">
        <v>14.984</v>
      </c>
      <c r="N54" s="6">
        <f t="shared" si="24"/>
        <v>7.4485371202597267E-2</v>
      </c>
      <c r="O54" s="6">
        <f t="shared" si="25"/>
        <v>7.2673106597622272E-2</v>
      </c>
      <c r="P54" s="6">
        <f t="shared" si="26"/>
        <v>5.1632127393546917E-2</v>
      </c>
      <c r="Q54" s="6">
        <f t="shared" si="27"/>
        <v>2.1040979204075359E-2</v>
      </c>
      <c r="R54" s="6">
        <f t="shared" si="28"/>
        <v>1.6330649118737967E-2</v>
      </c>
      <c r="S54" s="6">
        <f t="shared" si="29"/>
        <v>4.5032801199417542E-2</v>
      </c>
      <c r="T54" s="6">
        <f t="shared" si="30"/>
        <v>6.1363450318155509E-2</v>
      </c>
      <c r="U54" s="6">
        <f t="shared" si="31"/>
        <v>9.5940422794878693</v>
      </c>
      <c r="V54" s="6">
        <f t="shared" si="32"/>
        <v>14.581890349064702</v>
      </c>
      <c r="W54" s="6">
        <f t="shared" si="33"/>
        <v>12.664774016070655</v>
      </c>
      <c r="X54" s="1"/>
      <c r="Y54" s="1">
        <f t="shared" si="34"/>
        <v>0.97305912676640105</v>
      </c>
      <c r="Z54" s="2">
        <v>15</v>
      </c>
      <c r="AA54">
        <f t="shared" si="35"/>
        <v>15.415301688651647</v>
      </c>
      <c r="AB54" s="5">
        <f t="shared" si="36"/>
        <v>5</v>
      </c>
      <c r="AC54">
        <f t="shared" si="37"/>
        <v>14.581890349064702</v>
      </c>
      <c r="AE54">
        <f t="shared" si="38"/>
        <v>1.027672952201325</v>
      </c>
      <c r="AF54">
        <v>15</v>
      </c>
      <c r="AG54">
        <f t="shared" si="39"/>
        <v>14.596083284929584</v>
      </c>
      <c r="AH54">
        <f t="shared" si="40"/>
        <v>11</v>
      </c>
      <c r="AI54" s="4">
        <f t="shared" si="41"/>
        <v>9.5940422794878693</v>
      </c>
    </row>
    <row r="55" spans="1:35" ht="13.8" x14ac:dyDescent="0.25">
      <c r="A55" s="7">
        <f>0.6*L45</f>
        <v>2227.9487315305441</v>
      </c>
      <c r="B55" s="6">
        <f t="shared" si="18"/>
        <v>7.3343685305901989</v>
      </c>
      <c r="C55" s="6">
        <f t="shared" si="19"/>
        <v>1.1261556113913942</v>
      </c>
      <c r="D55" s="6">
        <f t="shared" si="20"/>
        <v>0.8242387845746294</v>
      </c>
      <c r="E55" s="6">
        <f t="shared" si="21"/>
        <v>1.1030587036429838</v>
      </c>
      <c r="F55" s="6">
        <f t="shared" si="22"/>
        <v>7.2645739910313898</v>
      </c>
      <c r="G55" s="23" t="s">
        <v>177</v>
      </c>
      <c r="H55" s="23" t="s">
        <v>175</v>
      </c>
      <c r="I55" s="23" t="s">
        <v>176</v>
      </c>
      <c r="J55" s="6">
        <v>8.9999999999999993E-3</v>
      </c>
      <c r="K55" s="6">
        <v>0.223</v>
      </c>
      <c r="L55" s="6">
        <f t="shared" si="23"/>
        <v>1.1261556113913942</v>
      </c>
      <c r="M55" s="6">
        <v>14.976000000000001</v>
      </c>
      <c r="N55" s="6">
        <f t="shared" si="24"/>
        <v>7.5197356529874068E-2</v>
      </c>
      <c r="O55" s="6">
        <f t="shared" si="25"/>
        <v>7.458209515774776E-2</v>
      </c>
      <c r="P55" s="6">
        <f t="shared" si="26"/>
        <v>5.9484993513368604E-2</v>
      </c>
      <c r="Q55" s="6">
        <f t="shared" si="27"/>
        <v>1.5097101644379161E-2</v>
      </c>
      <c r="R55" s="6">
        <f t="shared" si="28"/>
        <v>9.5996620233032848E-3</v>
      </c>
      <c r="S55" s="6">
        <f t="shared" si="29"/>
        <v>4.3234965360781828E-2</v>
      </c>
      <c r="T55" s="6">
        <f t="shared" si="30"/>
        <v>5.2834627384085113E-2</v>
      </c>
      <c r="U55" s="6">
        <f t="shared" si="31"/>
        <v>7.9950352329065586</v>
      </c>
      <c r="V55" s="6">
        <f t="shared" si="32"/>
        <v>17.49826841887764</v>
      </c>
      <c r="W55" s="6">
        <f t="shared" si="33"/>
        <v>7.3343685305901989</v>
      </c>
      <c r="X55" s="1"/>
      <c r="Y55" s="1">
        <f t="shared" si="34"/>
        <v>0.8242387845746294</v>
      </c>
      <c r="Z55" s="2">
        <v>15</v>
      </c>
      <c r="AA55">
        <f t="shared" si="35"/>
        <v>18.198609772702159</v>
      </c>
      <c r="AB55" s="5">
        <f t="shared" si="36"/>
        <v>5</v>
      </c>
      <c r="AC55">
        <f t="shared" si="37"/>
        <v>17.49826841887764</v>
      </c>
      <c r="AE55">
        <f t="shared" si="38"/>
        <v>1.1030587036429838</v>
      </c>
      <c r="AF55">
        <v>15</v>
      </c>
      <c r="AG55">
        <f t="shared" si="39"/>
        <v>13.598550966019035</v>
      </c>
      <c r="AH55">
        <f t="shared" si="40"/>
        <v>11</v>
      </c>
      <c r="AI55" s="4">
        <f t="shared" si="41"/>
        <v>7.9950352329065586</v>
      </c>
    </row>
    <row r="56" spans="1:35" ht="13.8" x14ac:dyDescent="0.25">
      <c r="A56" s="7">
        <f>0.7*L45</f>
        <v>2599.273520118968</v>
      </c>
      <c r="B56" s="6">
        <f t="shared" si="18"/>
        <v>4.0304794089256939</v>
      </c>
      <c r="C56" s="6">
        <f t="shared" si="19"/>
        <v>1.1527645150084647</v>
      </c>
      <c r="D56" s="6">
        <f t="shared" si="20"/>
        <v>0.71367280851715031</v>
      </c>
      <c r="E56" s="6">
        <f t="shared" si="21"/>
        <v>1.1574058055203982</v>
      </c>
      <c r="F56" s="6">
        <f t="shared" si="22"/>
        <v>3.7113402061855667</v>
      </c>
      <c r="G56" s="23" t="s">
        <v>178</v>
      </c>
      <c r="H56" s="23" t="s">
        <v>179</v>
      </c>
      <c r="I56" s="23" t="s">
        <v>180</v>
      </c>
      <c r="J56" s="6">
        <v>4.0000000000000001E-3</v>
      </c>
      <c r="K56" s="6">
        <v>0.19400000000000001</v>
      </c>
      <c r="L56" s="6">
        <f t="shared" si="23"/>
        <v>1.1527645150084647</v>
      </c>
      <c r="M56" s="6">
        <v>14.971</v>
      </c>
      <c r="N56" s="6">
        <f t="shared" si="24"/>
        <v>7.6999834012989418E-2</v>
      </c>
      <c r="O56" s="6">
        <f t="shared" si="25"/>
        <v>7.6809398103374796E-2</v>
      </c>
      <c r="P56" s="6">
        <f t="shared" si="26"/>
        <v>6.5490978600780195E-2</v>
      </c>
      <c r="Q56" s="6">
        <f t="shared" si="27"/>
        <v>1.1318419502594601E-2</v>
      </c>
      <c r="R56" s="6">
        <f t="shared" si="28"/>
        <v>5.4120976548105576E-3</v>
      </c>
      <c r="S56" s="6">
        <f t="shared" si="29"/>
        <v>4.0800208936423409E-2</v>
      </c>
      <c r="T56" s="6">
        <f t="shared" si="30"/>
        <v>4.6212306591233966E-2</v>
      </c>
      <c r="U56" s="6">
        <f t="shared" si="31"/>
        <v>6.8528873424913357</v>
      </c>
      <c r="V56" s="6">
        <f t="shared" si="32"/>
        <v>20.414646488690579</v>
      </c>
      <c r="W56" s="6">
        <f t="shared" si="33"/>
        <v>4.0304794089256939</v>
      </c>
      <c r="X56" s="1"/>
      <c r="Y56" s="1">
        <f t="shared" si="34"/>
        <v>0.71367280851715031</v>
      </c>
      <c r="Z56" s="2">
        <v>15</v>
      </c>
      <c r="AA56">
        <f t="shared" si="35"/>
        <v>21.01803490477182</v>
      </c>
      <c r="AB56" s="5">
        <f t="shared" si="36"/>
        <v>5</v>
      </c>
      <c r="AC56">
        <f t="shared" si="37"/>
        <v>20.414646488690579</v>
      </c>
      <c r="AE56">
        <f t="shared" si="38"/>
        <v>1.1574058055203982</v>
      </c>
      <c r="AF56">
        <v>15</v>
      </c>
      <c r="AG56">
        <f t="shared" si="39"/>
        <v>12.960017937058497</v>
      </c>
      <c r="AH56">
        <f t="shared" si="40"/>
        <v>11</v>
      </c>
      <c r="AI56" s="4">
        <f t="shared" si="41"/>
        <v>6.8528873424913357</v>
      </c>
    </row>
    <row r="57" spans="1:35" ht="13.8" x14ac:dyDescent="0.25">
      <c r="A57" s="7">
        <f>0.8*L45</f>
        <v>2970.5983087073928</v>
      </c>
      <c r="B57" s="6">
        <f t="shared" si="18"/>
        <v>2.0156307149178381</v>
      </c>
      <c r="C57" s="6">
        <f t="shared" si="19"/>
        <v>1.1807204019663511</v>
      </c>
      <c r="D57" s="6">
        <f t="shared" si="20"/>
        <v>0.6286467382177493</v>
      </c>
      <c r="E57" s="6">
        <f t="shared" si="21"/>
        <v>1.19730066451849</v>
      </c>
      <c r="F57" s="6">
        <f t="shared" si="22"/>
        <v>2.1301775147928992</v>
      </c>
      <c r="G57" s="23" t="s">
        <v>183</v>
      </c>
      <c r="H57" s="23" t="s">
        <v>181</v>
      </c>
      <c r="I57" s="23" t="s">
        <v>182</v>
      </c>
      <c r="J57" s="6">
        <v>2E-3</v>
      </c>
      <c r="K57" s="6">
        <v>0.16900000000000001</v>
      </c>
      <c r="L57" s="6">
        <f t="shared" si="23"/>
        <v>1.1807204019663511</v>
      </c>
      <c r="M57" s="6">
        <v>14.962</v>
      </c>
      <c r="N57" s="6">
        <f t="shared" si="24"/>
        <v>7.8914610477633415E-2</v>
      </c>
      <c r="O57" s="6">
        <f t="shared" si="25"/>
        <v>7.8865783560798555E-2</v>
      </c>
      <c r="P57" s="6">
        <f t="shared" si="26"/>
        <v>7.0083634194758215E-2</v>
      </c>
      <c r="Q57" s="6">
        <f t="shared" si="27"/>
        <v>8.7821493660403451E-3</v>
      </c>
      <c r="R57" s="6">
        <f t="shared" si="28"/>
        <v>2.7755954636594013E-3</v>
      </c>
      <c r="S57" s="6">
        <f t="shared" si="29"/>
        <v>3.8203713043447281E-2</v>
      </c>
      <c r="T57" s="6">
        <f t="shared" si="30"/>
        <v>4.0979308507106682E-2</v>
      </c>
      <c r="U57" s="6">
        <f t="shared" si="31"/>
        <v>5.9962764246799187</v>
      </c>
      <c r="V57" s="6">
        <f t="shared" si="32"/>
        <v>23.331024558503522</v>
      </c>
      <c r="W57" s="6">
        <f t="shared" si="33"/>
        <v>2.0156307149178381</v>
      </c>
      <c r="X57" s="1"/>
      <c r="Y57" s="1">
        <f t="shared" si="34"/>
        <v>0.6286467382177493</v>
      </c>
      <c r="Z57" s="2">
        <v>15</v>
      </c>
      <c r="AA57">
        <f t="shared" si="35"/>
        <v>23.860777584762289</v>
      </c>
      <c r="AB57" s="5">
        <f t="shared" si="36"/>
        <v>5</v>
      </c>
      <c r="AC57">
        <f t="shared" si="37"/>
        <v>23.331024558503522</v>
      </c>
      <c r="AE57">
        <f t="shared" si="38"/>
        <v>1.19730066451849</v>
      </c>
      <c r="AF57">
        <v>15</v>
      </c>
      <c r="AG57">
        <f t="shared" si="39"/>
        <v>12.528181470635401</v>
      </c>
      <c r="AH57">
        <f t="shared" si="40"/>
        <v>11</v>
      </c>
      <c r="AI57" s="4">
        <f t="shared" si="41"/>
        <v>5.9962764246799187</v>
      </c>
    </row>
    <row r="58" spans="1:35" ht="13.8" x14ac:dyDescent="0.25">
      <c r="A58" s="7">
        <f>0.9*L45</f>
        <v>3341.9230972958167</v>
      </c>
      <c r="B58" s="6">
        <f t="shared" si="18"/>
        <v>0.77515027019527405</v>
      </c>
      <c r="C58" s="6">
        <f t="shared" si="19"/>
        <v>1.2091104320908026</v>
      </c>
      <c r="D58" s="6">
        <f t="shared" si="20"/>
        <v>0.56138992691068046</v>
      </c>
      <c r="E58" s="6">
        <f t="shared" si="21"/>
        <v>1.2271641543400358</v>
      </c>
      <c r="F58" s="6">
        <f t="shared" si="22"/>
        <v>1.044</v>
      </c>
      <c r="G58" s="23" t="s">
        <v>184</v>
      </c>
      <c r="H58" s="23" t="s">
        <v>185</v>
      </c>
      <c r="I58" s="23" t="s">
        <v>186</v>
      </c>
      <c r="J58" s="6">
        <v>8.7000000000000001E-4</v>
      </c>
      <c r="K58" s="6">
        <v>0.15</v>
      </c>
      <c r="L58" s="6">
        <f t="shared" si="23"/>
        <v>1.2091104320908026</v>
      </c>
      <c r="M58" s="6">
        <v>14.994999999999999</v>
      </c>
      <c r="N58" s="6">
        <f t="shared" si="24"/>
        <v>8.0634240219460002E-2</v>
      </c>
      <c r="O58" s="6">
        <f t="shared" si="25"/>
        <v>8.0626861017119758E-2</v>
      </c>
      <c r="P58" s="6">
        <f t="shared" si="26"/>
        <v>7.3623335460746883E-2</v>
      </c>
      <c r="Q58" s="6">
        <f t="shared" si="27"/>
        <v>7.0035255563728697E-3</v>
      </c>
      <c r="R58" s="6">
        <f t="shared" si="28"/>
        <v>1.0908612632390957E-3</v>
      </c>
      <c r="S58" s="6">
        <f t="shared" si="29"/>
        <v>3.5674009755925461E-2</v>
      </c>
      <c r="T58" s="6">
        <f t="shared" si="30"/>
        <v>3.6764871019164556E-2</v>
      </c>
      <c r="U58" s="6">
        <f t="shared" si="31"/>
        <v>5.3300234886043727</v>
      </c>
      <c r="V58" s="6">
        <f t="shared" si="32"/>
        <v>26.247402628316465</v>
      </c>
      <c r="W58" s="6">
        <f t="shared" si="33"/>
        <v>0.77515027019527405</v>
      </c>
      <c r="X58" s="1"/>
      <c r="Y58" s="1">
        <f t="shared" si="34"/>
        <v>0.56138992691068046</v>
      </c>
      <c r="Z58" s="2">
        <v>15</v>
      </c>
      <c r="AA58">
        <f t="shared" si="35"/>
        <v>26.719396414083796</v>
      </c>
      <c r="AB58" s="5">
        <f t="shared" si="36"/>
        <v>5</v>
      </c>
      <c r="AC58">
        <f t="shared" si="37"/>
        <v>26.247402628316465</v>
      </c>
      <c r="AE58">
        <f t="shared" si="38"/>
        <v>1.2271641543400358</v>
      </c>
      <c r="AF58">
        <v>15</v>
      </c>
      <c r="AG58">
        <f t="shared" si="39"/>
        <v>12.223303579191443</v>
      </c>
      <c r="AH58">
        <f t="shared" si="40"/>
        <v>11</v>
      </c>
      <c r="AI58" s="4">
        <f t="shared" si="41"/>
        <v>5.3300234886043727</v>
      </c>
    </row>
    <row r="59" spans="1:35" ht="13.8" x14ac:dyDescent="0.25">
      <c r="A59" s="7">
        <f>1*L45</f>
        <v>3713.2478858842405</v>
      </c>
      <c r="B59" s="6">
        <f t="shared" si="18"/>
        <v>0</v>
      </c>
      <c r="C59" s="6">
        <f t="shared" si="19"/>
        <v>1.2269722554804254</v>
      </c>
      <c r="D59" s="6">
        <f t="shared" si="20"/>
        <v>0.50694017370339373</v>
      </c>
      <c r="E59" s="6">
        <f t="shared" si="21"/>
        <v>1.2499504724960233</v>
      </c>
      <c r="F59" s="6">
        <f t="shared" si="22"/>
        <v>0</v>
      </c>
      <c r="G59" s="23" t="s">
        <v>189</v>
      </c>
      <c r="H59" s="23" t="s">
        <v>187</v>
      </c>
      <c r="I59" s="23" t="s">
        <v>188</v>
      </c>
      <c r="J59" s="6">
        <v>0</v>
      </c>
      <c r="K59" s="6">
        <v>0.13400000000000001</v>
      </c>
      <c r="L59" s="6">
        <f t="shared" si="23"/>
        <v>1.2269722554804254</v>
      </c>
      <c r="M59" s="6">
        <v>14.946</v>
      </c>
      <c r="N59" s="6">
        <f t="shared" si="24"/>
        <v>8.2093687640868829E-2</v>
      </c>
      <c r="O59" s="6">
        <f t="shared" si="25"/>
        <v>8.2093687640868829E-2</v>
      </c>
      <c r="P59" s="6">
        <f t="shared" si="26"/>
        <v>7.6382835647214903E-2</v>
      </c>
      <c r="Q59" s="6">
        <f t="shared" si="27"/>
        <v>5.710851993653932E-3</v>
      </c>
      <c r="R59" s="6">
        <f t="shared" si="28"/>
        <v>0</v>
      </c>
      <c r="S59" s="6">
        <f t="shared" si="29"/>
        <v>3.331000702847968E-2</v>
      </c>
      <c r="T59" s="6">
        <f t="shared" si="30"/>
        <v>3.3310007028479673E-2</v>
      </c>
      <c r="U59" s="6">
        <f t="shared" si="31"/>
        <v>4.7970211397439346</v>
      </c>
      <c r="V59" s="6">
        <f t="shared" si="32"/>
        <v>29.163780698129404</v>
      </c>
      <c r="W59" s="6">
        <f t="shared" si="33"/>
        <v>0</v>
      </c>
      <c r="X59" s="1"/>
      <c r="Y59" s="1">
        <f t="shared" si="34"/>
        <v>0.50694017370339373</v>
      </c>
      <c r="Z59" s="2">
        <v>15</v>
      </c>
      <c r="AA59">
        <f t="shared" si="35"/>
        <v>29.58929037014212</v>
      </c>
      <c r="AB59" s="5">
        <f t="shared" si="36"/>
        <v>5</v>
      </c>
      <c r="AC59">
        <f t="shared" si="37"/>
        <v>29.163780698129404</v>
      </c>
      <c r="AE59">
        <f t="shared" si="38"/>
        <v>1.2499504724960233</v>
      </c>
      <c r="AF59">
        <v>15</v>
      </c>
      <c r="AG59">
        <f t="shared" si="39"/>
        <v>12.000475482877761</v>
      </c>
      <c r="AH59">
        <f t="shared" si="40"/>
        <v>11</v>
      </c>
      <c r="AI59" s="4">
        <f t="shared" si="41"/>
        <v>4.7970211397439346</v>
      </c>
    </row>
    <row r="60" spans="1:35" ht="13.8" x14ac:dyDescent="0.25">
      <c r="A60" s="7">
        <f>1.1*L45</f>
        <v>4084.5726744726649</v>
      </c>
      <c r="B60" s="6">
        <f t="shared" si="18"/>
        <v>-0.49031834848399342</v>
      </c>
      <c r="C60" s="6">
        <f t="shared" si="19"/>
        <v>1.2447013520791623</v>
      </c>
      <c r="D60" s="6">
        <f t="shared" si="20"/>
        <v>0.46200089362844327</v>
      </c>
      <c r="E60" s="6">
        <f t="shared" si="21"/>
        <v>1.2676512703541858</v>
      </c>
      <c r="F60" s="6">
        <f t="shared" si="22"/>
        <v>0.49756097560975615</v>
      </c>
      <c r="G60" s="23" t="s">
        <v>190</v>
      </c>
      <c r="H60" s="23" t="s">
        <v>191</v>
      </c>
      <c r="I60" s="23" t="s">
        <v>192</v>
      </c>
      <c r="J60" s="6">
        <v>3.4000000000000002E-4</v>
      </c>
      <c r="K60" s="6">
        <v>0.123</v>
      </c>
      <c r="L60" s="6">
        <f t="shared" si="23"/>
        <v>1.2447013520791623</v>
      </c>
      <c r="M60" s="6">
        <v>14.941000000000001</v>
      </c>
      <c r="N60" s="6">
        <f t="shared" si="24"/>
        <v>8.3307767356881224E-2</v>
      </c>
      <c r="O60" s="6">
        <f t="shared" si="25"/>
        <v>8.3304716907127971E-2</v>
      </c>
      <c r="P60" s="6">
        <f t="shared" si="26"/>
        <v>7.8561498557939521E-2</v>
      </c>
      <c r="Q60" s="6">
        <f t="shared" si="27"/>
        <v>4.7432183491884477E-3</v>
      </c>
      <c r="R60" s="6">
        <f t="shared" si="28"/>
        <v>-7.1291164355208325E-4</v>
      </c>
      <c r="S60" s="6">
        <f t="shared" si="29"/>
        <v>3.1145551186148639E-2</v>
      </c>
      <c r="T60" s="6">
        <f t="shared" si="30"/>
        <v>3.0432639542596555E-2</v>
      </c>
      <c r="U60" s="6">
        <f t="shared" si="31"/>
        <v>4.3609283088581225</v>
      </c>
      <c r="V60" s="6">
        <f t="shared" si="32"/>
        <v>32.080158767942343</v>
      </c>
      <c r="W60" s="6">
        <f>ATAN(R60/O60)*180/PI()</f>
        <v>-0.49031834848399342</v>
      </c>
      <c r="X60" s="1"/>
      <c r="Y60" s="1">
        <f t="shared" si="34"/>
        <v>0.46200089362844327</v>
      </c>
      <c r="Z60" s="2">
        <v>15</v>
      </c>
      <c r="AA60">
        <f t="shared" si="35"/>
        <v>32.46746966698187</v>
      </c>
      <c r="AB60" s="5">
        <f t="shared" si="36"/>
        <v>5</v>
      </c>
      <c r="AC60">
        <f t="shared" si="37"/>
        <v>32.080158767942343</v>
      </c>
      <c r="AE60">
        <f t="shared" si="38"/>
        <v>1.2676512703541858</v>
      </c>
      <c r="AF60">
        <v>15</v>
      </c>
      <c r="AG60">
        <f t="shared" si="39"/>
        <v>11.832907323012387</v>
      </c>
      <c r="AH60">
        <f t="shared" si="40"/>
        <v>11</v>
      </c>
      <c r="AI60" s="4">
        <f t="shared" si="41"/>
        <v>4.3609283088581225</v>
      </c>
    </row>
    <row r="61" spans="1:35" ht="13.8" x14ac:dyDescent="0.25">
      <c r="A61" s="7">
        <f>1.2*L45</f>
        <v>4455.8974630610883</v>
      </c>
      <c r="B61" s="6">
        <f t="shared" si="18"/>
        <v>-0.80227086539350312</v>
      </c>
      <c r="C61" s="6">
        <f t="shared" si="19"/>
        <v>1.2591250968733538</v>
      </c>
      <c r="D61" s="6">
        <f t="shared" si="20"/>
        <v>0.42430521292943574</v>
      </c>
      <c r="E61" s="6">
        <f t="shared" si="21"/>
        <v>1.2816293514987969</v>
      </c>
      <c r="F61" s="6">
        <f t="shared" si="22"/>
        <v>0.74389380530973459</v>
      </c>
      <c r="G61" s="23" t="s">
        <v>195</v>
      </c>
      <c r="H61" s="23" t="s">
        <v>193</v>
      </c>
      <c r="I61" s="23" t="s">
        <v>194</v>
      </c>
      <c r="J61" s="6">
        <v>4.6700000000000002E-4</v>
      </c>
      <c r="K61" s="6">
        <v>0.113</v>
      </c>
      <c r="L61" s="6">
        <f t="shared" si="23"/>
        <v>1.2591250968733538</v>
      </c>
      <c r="M61" s="6">
        <v>14.933999999999999</v>
      </c>
      <c r="N61" s="6">
        <f t="shared" si="24"/>
        <v>8.4312648779520147E-2</v>
      </c>
      <c r="O61" s="6">
        <f t="shared" si="25"/>
        <v>8.4304383597559818E-2</v>
      </c>
      <c r="P61" s="6">
        <f t="shared" si="26"/>
        <v>8.0303607737135518E-2</v>
      </c>
      <c r="Q61" s="6">
        <f t="shared" si="27"/>
        <v>4.0007758604243063E-3</v>
      </c>
      <c r="R61" s="6">
        <f t="shared" si="28"/>
        <v>-1.1805297345711119E-3</v>
      </c>
      <c r="S61" s="6">
        <f t="shared" si="29"/>
        <v>2.9183189690359372E-2</v>
      </c>
      <c r="T61" s="6">
        <f t="shared" si="30"/>
        <v>2.800265995578826E-2</v>
      </c>
      <c r="U61" s="6">
        <f t="shared" si="31"/>
        <v>3.9975176164532793</v>
      </c>
      <c r="V61" s="6">
        <f t="shared" si="32"/>
        <v>34.996536837755279</v>
      </c>
      <c r="W61" s="6">
        <f>ATAN(R61/O61)*180/PI()</f>
        <v>-0.80227086539350312</v>
      </c>
      <c r="X61" s="1"/>
      <c r="Y61" s="1">
        <f t="shared" si="34"/>
        <v>0.42430521292943574</v>
      </c>
      <c r="Z61" s="2">
        <v>15</v>
      </c>
      <c r="AA61">
        <f t="shared" si="35"/>
        <v>35.351910707009345</v>
      </c>
      <c r="AB61" s="5">
        <f t="shared" si="36"/>
        <v>5</v>
      </c>
      <c r="AC61">
        <f t="shared" si="37"/>
        <v>34.996536837755279</v>
      </c>
      <c r="AE61">
        <f t="shared" si="38"/>
        <v>1.2816293514987969</v>
      </c>
      <c r="AF61">
        <v>15</v>
      </c>
      <c r="AG61">
        <f t="shared" si="39"/>
        <v>11.703851805873752</v>
      </c>
      <c r="AH61">
        <f t="shared" si="40"/>
        <v>11</v>
      </c>
      <c r="AI61" s="4">
        <f t="shared" si="41"/>
        <v>3.9975176164532793</v>
      </c>
    </row>
    <row r="62" spans="1:35" ht="13.8" x14ac:dyDescent="0.25">
      <c r="A62" s="7">
        <f>1.3*L45</f>
        <v>4827.2222516495131</v>
      </c>
      <c r="B62" s="6">
        <f t="shared" si="18"/>
        <v>-1.0000361791846359</v>
      </c>
      <c r="C62" s="6">
        <f t="shared" si="19"/>
        <v>1.270801218996314</v>
      </c>
      <c r="D62" s="6">
        <f t="shared" si="20"/>
        <v>0.39224714017278761</v>
      </c>
      <c r="E62" s="6">
        <f t="shared" si="21"/>
        <v>1.2928333995428296</v>
      </c>
      <c r="F62" s="6">
        <f t="shared" si="22"/>
        <v>1.5888461538461538</v>
      </c>
      <c r="G62" s="23" t="s">
        <v>196</v>
      </c>
      <c r="H62" s="23" t="s">
        <v>197</v>
      </c>
      <c r="I62" s="23" t="s">
        <v>198</v>
      </c>
      <c r="J62" s="6">
        <v>9.1799999999999998E-4</v>
      </c>
      <c r="K62" s="6">
        <v>0.104</v>
      </c>
      <c r="L62" s="6">
        <f t="shared" si="23"/>
        <v>1.270801218996314</v>
      </c>
      <c r="M62" s="6">
        <v>14.925000000000001</v>
      </c>
      <c r="N62" s="6">
        <f t="shared" si="24"/>
        <v>8.5145810318010981E-2</v>
      </c>
      <c r="O62" s="6">
        <f t="shared" si="25"/>
        <v>8.513284126034143E-2</v>
      </c>
      <c r="P62" s="6">
        <f t="shared" si="26"/>
        <v>8.1713778616480756E-2</v>
      </c>
      <c r="Q62" s="6">
        <f t="shared" si="27"/>
        <v>3.4190626438606775E-3</v>
      </c>
      <c r="R62" s="6">
        <f t="shared" si="28"/>
        <v>-1.48605304488501E-3</v>
      </c>
      <c r="S62" s="6">
        <f t="shared" si="29"/>
        <v>2.741137926095203E-2</v>
      </c>
      <c r="T62" s="6">
        <f t="shared" si="30"/>
        <v>2.592532621606702E-2</v>
      </c>
      <c r="U62" s="6">
        <f t="shared" si="31"/>
        <v>3.690016261341488</v>
      </c>
      <c r="V62" s="6">
        <f t="shared" si="32"/>
        <v>37.912914907568222</v>
      </c>
      <c r="W62" s="6">
        <f t="shared" si="33"/>
        <v>-1.0000361791846359</v>
      </c>
      <c r="X62" s="1"/>
      <c r="Y62" s="1">
        <f t="shared" si="34"/>
        <v>0.39224714017278761</v>
      </c>
      <c r="Z62" s="2">
        <v>15</v>
      </c>
      <c r="AA62">
        <f t="shared" si="35"/>
        <v>38.241196592006752</v>
      </c>
      <c r="AB62" s="5">
        <f t="shared" si="36"/>
        <v>5</v>
      </c>
      <c r="AC62">
        <f t="shared" si="37"/>
        <v>37.912914907568222</v>
      </c>
      <c r="AE62">
        <f t="shared" si="38"/>
        <v>1.2928333995428296</v>
      </c>
      <c r="AF62">
        <v>15</v>
      </c>
      <c r="AG62">
        <f t="shared" si="39"/>
        <v>11.602423023186347</v>
      </c>
      <c r="AH62">
        <f t="shared" si="40"/>
        <v>11</v>
      </c>
      <c r="AI62" s="4">
        <f t="shared" si="41"/>
        <v>3.690016261341488</v>
      </c>
    </row>
    <row r="63" spans="1:35" ht="13.8" x14ac:dyDescent="0.25">
      <c r="A63" s="7">
        <f>1.4*L45</f>
        <v>5198.547040237936</v>
      </c>
      <c r="B63" s="6">
        <f t="shared" si="18"/>
        <v>-1.1232622318831889</v>
      </c>
      <c r="C63" s="6">
        <f t="shared" si="19"/>
        <v>1.2805606342200329</v>
      </c>
      <c r="D63" s="6">
        <f t="shared" si="20"/>
        <v>0.36465912042289023</v>
      </c>
      <c r="E63" s="6">
        <f t="shared" si="21"/>
        <v>1.3019356163076081</v>
      </c>
      <c r="F63" s="6">
        <f t="shared" si="22"/>
        <v>1.0424999999999998</v>
      </c>
      <c r="G63" s="23" t="s">
        <v>201</v>
      </c>
      <c r="H63" s="23" t="s">
        <v>199</v>
      </c>
      <c r="I63" s="23" t="s">
        <v>200</v>
      </c>
      <c r="J63" s="6">
        <v>5.5599999999999996E-4</v>
      </c>
      <c r="K63" s="6">
        <v>9.6000000000000002E-2</v>
      </c>
      <c r="L63" s="6">
        <f t="shared" si="23"/>
        <v>1.2805606342200329</v>
      </c>
      <c r="M63" s="6">
        <v>14.917999999999999</v>
      </c>
      <c r="N63" s="6">
        <f t="shared" si="24"/>
        <v>8.5839967436655909E-2</v>
      </c>
      <c r="O63" s="6">
        <f t="shared" si="25"/>
        <v>8.5823472042893187E-2</v>
      </c>
      <c r="P63" s="6">
        <f t="shared" si="26"/>
        <v>8.2868443729391061E-2</v>
      </c>
      <c r="Q63" s="6">
        <f t="shared" si="27"/>
        <v>2.955028313502132E-3</v>
      </c>
      <c r="R63" s="6">
        <f t="shared" si="28"/>
        <v>-1.6827525156356861E-3</v>
      </c>
      <c r="S63" s="6">
        <f t="shared" si="29"/>
        <v>2.5813095869322702E-2</v>
      </c>
      <c r="T63" s="6">
        <f t="shared" si="30"/>
        <v>2.4130343353687016E-2</v>
      </c>
      <c r="U63" s="6">
        <f t="shared" si="31"/>
        <v>3.4264436712456678</v>
      </c>
      <c r="V63" s="6">
        <f t="shared" si="32"/>
        <v>40.829292977381158</v>
      </c>
      <c r="W63" s="6">
        <f t="shared" si="33"/>
        <v>-1.1232622318831889</v>
      </c>
      <c r="X63" s="1"/>
      <c r="Y63" s="1">
        <f t="shared" si="34"/>
        <v>0.36465912042289023</v>
      </c>
      <c r="Z63" s="2">
        <v>15</v>
      </c>
      <c r="AA63">
        <f t="shared" si="35"/>
        <v>41.134306424599238</v>
      </c>
      <c r="AB63" s="5">
        <f t="shared" si="36"/>
        <v>5</v>
      </c>
      <c r="AC63">
        <f t="shared" si="37"/>
        <v>40.829292977381158</v>
      </c>
      <c r="AE63">
        <f t="shared" si="38"/>
        <v>1.3019356163076081</v>
      </c>
      <c r="AF63">
        <v>15</v>
      </c>
      <c r="AG63">
        <f t="shared" si="39"/>
        <v>11.52130705398565</v>
      </c>
      <c r="AH63">
        <f t="shared" si="40"/>
        <v>11</v>
      </c>
      <c r="AI63" s="4">
        <f t="shared" si="41"/>
        <v>3.4264436712456678</v>
      </c>
    </row>
    <row r="64" spans="1:35" ht="13.8" x14ac:dyDescent="0.25">
      <c r="A64" s="7">
        <f>1.5*L45</f>
        <v>5569.8718288263608</v>
      </c>
      <c r="B64" s="6">
        <f t="shared" si="18"/>
        <v>-1.1970344954067391</v>
      </c>
      <c r="C64" s="6">
        <f t="shared" si="19"/>
        <v>1.2890698773811033</v>
      </c>
      <c r="D64" s="6">
        <f t="shared" si="20"/>
        <v>0.34067304760381312</v>
      </c>
      <c r="E64" s="6">
        <f t="shared" si="21"/>
        <v>1.3094206092518583</v>
      </c>
      <c r="F64" s="6">
        <f t="shared" si="22"/>
        <v>1.468</v>
      </c>
      <c r="G64" s="23" t="s">
        <v>202</v>
      </c>
      <c r="H64" s="23" t="s">
        <v>203</v>
      </c>
      <c r="I64" s="23" t="s">
        <v>204</v>
      </c>
      <c r="J64" s="6">
        <v>7.3399999999999995E-4</v>
      </c>
      <c r="K64" s="6">
        <v>0.09</v>
      </c>
      <c r="L64" s="6">
        <f t="shared" si="23"/>
        <v>1.2890698773811033</v>
      </c>
      <c r="M64" s="6">
        <v>14.916</v>
      </c>
      <c r="N64" s="6">
        <f t="shared" si="24"/>
        <v>8.6421954772130827E-2</v>
      </c>
      <c r="O64" s="6">
        <f t="shared" si="25"/>
        <v>8.6403094569275266E-2</v>
      </c>
      <c r="P64" s="6">
        <f t="shared" si="26"/>
        <v>8.3824025116749273E-2</v>
      </c>
      <c r="Q64" s="6">
        <f t="shared" si="27"/>
        <v>2.5790694525259978E-3</v>
      </c>
      <c r="R64" s="6">
        <f t="shared" si="28"/>
        <v>-1.8054128306572229E-3</v>
      </c>
      <c r="S64" s="6">
        <f t="shared" si="29"/>
        <v>2.4370037606271083E-2</v>
      </c>
      <c r="T64" s="6">
        <f t="shared" si="30"/>
        <v>2.256462477561386E-2</v>
      </c>
      <c r="U64" s="6">
        <f t="shared" si="31"/>
        <v>3.198014093162624</v>
      </c>
      <c r="V64" s="6">
        <f t="shared" si="32"/>
        <v>43.745671047194108</v>
      </c>
      <c r="W64" s="6">
        <f t="shared" si="33"/>
        <v>-1.1970344954067391</v>
      </c>
      <c r="X64" s="1"/>
      <c r="Y64" s="1">
        <f t="shared" si="34"/>
        <v>0.34067304760381312</v>
      </c>
      <c r="Z64" s="2">
        <v>15</v>
      </c>
      <c r="AA64">
        <f t="shared" si="35"/>
        <v>44.030486431213959</v>
      </c>
      <c r="AB64" s="5">
        <f t="shared" si="36"/>
        <v>5</v>
      </c>
      <c r="AC64">
        <f t="shared" si="37"/>
        <v>43.745671047194108</v>
      </c>
      <c r="AE64">
        <f t="shared" si="38"/>
        <v>1.3094206092518583</v>
      </c>
      <c r="AF64">
        <v>15</v>
      </c>
      <c r="AG64">
        <f t="shared" si="39"/>
        <v>11.455448229557268</v>
      </c>
      <c r="AH64">
        <f t="shared" si="40"/>
        <v>11</v>
      </c>
      <c r="AI64" s="4">
        <f t="shared" si="41"/>
        <v>3.198014093162624</v>
      </c>
    </row>
    <row r="65" spans="1:35" ht="13.8" x14ac:dyDescent="0.25">
      <c r="A65" s="7">
        <f>1.6*L45</f>
        <v>5941.1966174147856</v>
      </c>
      <c r="B65" s="6">
        <f t="shared" si="18"/>
        <v>-1.2375771054359404</v>
      </c>
      <c r="C65" s="6">
        <f t="shared" si="19"/>
        <v>1.2953548285682377</v>
      </c>
      <c r="D65" s="6">
        <f t="shared" si="20"/>
        <v>0.31963063859497304</v>
      </c>
      <c r="E65" s="6">
        <f t="shared" si="21"/>
        <v>1.3156435383782719</v>
      </c>
      <c r="F65" s="6">
        <f t="shared" si="22"/>
        <v>1.2057831325301203</v>
      </c>
      <c r="G65" s="6" t="s">
        <v>207</v>
      </c>
      <c r="H65" s="6" t="s">
        <v>205</v>
      </c>
      <c r="I65" s="6" t="s">
        <v>206</v>
      </c>
      <c r="J65" s="6">
        <v>5.5599999999999996E-4</v>
      </c>
      <c r="K65" s="6">
        <v>8.3000000000000004E-2</v>
      </c>
      <c r="L65" s="6">
        <f t="shared" si="23"/>
        <v>1.2953548285682377</v>
      </c>
      <c r="M65" s="6">
        <v>14.904</v>
      </c>
      <c r="N65" s="6">
        <f t="shared" si="24"/>
        <v>8.6913233264106132E-2</v>
      </c>
      <c r="O65" s="6">
        <f t="shared" si="25"/>
        <v>8.6892959317709517E-2</v>
      </c>
      <c r="P65" s="6">
        <f t="shared" si="26"/>
        <v>8.4622653870406628E-2</v>
      </c>
      <c r="Q65" s="6">
        <f t="shared" si="27"/>
        <v>2.2703054473028951E-3</v>
      </c>
      <c r="R65" s="6">
        <f t="shared" si="28"/>
        <v>-1.8771620686036487E-3</v>
      </c>
      <c r="S65" s="6">
        <f t="shared" si="29"/>
        <v>2.3064582927134918E-2</v>
      </c>
      <c r="T65" s="6">
        <f t="shared" si="30"/>
        <v>2.1187420858531269E-2</v>
      </c>
      <c r="U65" s="6">
        <f t="shared" si="31"/>
        <v>2.9981382123399594</v>
      </c>
      <c r="V65" s="6">
        <f t="shared" si="32"/>
        <v>46.662049117007044</v>
      </c>
      <c r="W65" s="6">
        <f t="shared" si="33"/>
        <v>-1.2375771054359404</v>
      </c>
      <c r="X65" s="1"/>
      <c r="Y65" s="1">
        <f t="shared" si="34"/>
        <v>0.31963063859497304</v>
      </c>
      <c r="Z65" s="2">
        <v>15</v>
      </c>
      <c r="AA65">
        <f t="shared" si="35"/>
        <v>46.929168198445389</v>
      </c>
      <c r="AB65" s="5">
        <f t="shared" si="36"/>
        <v>5</v>
      </c>
      <c r="AC65">
        <f t="shared" si="37"/>
        <v>46.662049117007044</v>
      </c>
      <c r="AE65">
        <f t="shared" si="38"/>
        <v>1.3156435383782719</v>
      </c>
      <c r="AF65">
        <v>15</v>
      </c>
      <c r="AG65">
        <f t="shared" si="39"/>
        <v>11.401264523740034</v>
      </c>
      <c r="AH65">
        <f t="shared" si="40"/>
        <v>11</v>
      </c>
      <c r="AI65" s="4">
        <f t="shared" si="41"/>
        <v>2.9981382123399594</v>
      </c>
    </row>
    <row r="66" spans="1:35" ht="13.8" x14ac:dyDescent="0.25">
      <c r="A66" s="7">
        <f>1.7*L45</f>
        <v>6312.5214060032085</v>
      </c>
      <c r="B66" s="6">
        <f t="shared" si="18"/>
        <v>-1.2555910830893191</v>
      </c>
      <c r="C66" s="6">
        <f t="shared" si="19"/>
        <v>1.301665681678061</v>
      </c>
      <c r="D66" s="6">
        <f t="shared" si="20"/>
        <v>0.30102399250510681</v>
      </c>
      <c r="E66" s="6">
        <f t="shared" si="21"/>
        <v>1.3208687378908981</v>
      </c>
      <c r="F66" s="6">
        <f t="shared" si="22"/>
        <v>1.0412658227848102</v>
      </c>
      <c r="G66" s="6" t="s">
        <v>208</v>
      </c>
      <c r="H66" s="6" t="s">
        <v>209</v>
      </c>
      <c r="I66" s="6" t="s">
        <v>210</v>
      </c>
      <c r="J66" s="6">
        <v>4.57E-4</v>
      </c>
      <c r="K66" s="6">
        <v>7.9000000000000001E-2</v>
      </c>
      <c r="L66" s="6">
        <f t="shared" si="23"/>
        <v>1.301665681678061</v>
      </c>
      <c r="M66" s="6">
        <v>14.904999999999999</v>
      </c>
      <c r="N66" s="6">
        <f t="shared" si="24"/>
        <v>8.7330807224291249E-2</v>
      </c>
      <c r="O66" s="6">
        <f t="shared" si="25"/>
        <v>8.7309838535248901E-2</v>
      </c>
      <c r="P66" s="6">
        <f t="shared" si="26"/>
        <v>8.5296162000499692E-2</v>
      </c>
      <c r="Q66" s="6">
        <f t="shared" si="27"/>
        <v>2.0136765347492126E-3</v>
      </c>
      <c r="R66" s="6">
        <f t="shared" si="28"/>
        <v>-1.9136314679390233E-3</v>
      </c>
      <c r="S66" s="6">
        <f t="shared" si="29"/>
        <v>2.1880614559113387E-2</v>
      </c>
      <c r="T66" s="6">
        <f t="shared" si="30"/>
        <v>1.9966983091174364E-2</v>
      </c>
      <c r="U66" s="6">
        <f t="shared" si="31"/>
        <v>2.8217771410258443</v>
      </c>
      <c r="V66" s="6">
        <f t="shared" si="32"/>
        <v>49.57842718681998</v>
      </c>
      <c r="W66" s="6">
        <f t="shared" si="33"/>
        <v>-1.2555910830893191</v>
      </c>
      <c r="X66" s="1"/>
      <c r="Y66" s="1">
        <f t="shared" si="34"/>
        <v>0.30102399250510681</v>
      </c>
      <c r="Z66" s="2">
        <v>15</v>
      </c>
      <c r="AA66">
        <f t="shared" si="35"/>
        <v>49.829915134573632</v>
      </c>
      <c r="AB66" s="5">
        <f t="shared" si="36"/>
        <v>5</v>
      </c>
      <c r="AC66">
        <f t="shared" si="37"/>
        <v>49.57842718681998</v>
      </c>
      <c r="AE66">
        <f t="shared" si="38"/>
        <v>1.3208687378908981</v>
      </c>
      <c r="AF66">
        <v>15</v>
      </c>
      <c r="AG66">
        <f t="shared" si="39"/>
        <v>11.356162478302958</v>
      </c>
      <c r="AH66">
        <f t="shared" si="40"/>
        <v>11</v>
      </c>
      <c r="AI66" s="4">
        <f t="shared" si="41"/>
        <v>2.8217771410258443</v>
      </c>
    </row>
    <row r="67" spans="1:35" ht="13.8" x14ac:dyDescent="0.25">
      <c r="A67" s="7">
        <f>1.8*L45</f>
        <v>6683.8461945916333</v>
      </c>
      <c r="B67" s="6">
        <f t="shared" si="18"/>
        <v>-1.2582571912455762</v>
      </c>
      <c r="C67" s="6">
        <f t="shared" si="19"/>
        <v>1.3069038853437391</v>
      </c>
      <c r="D67" s="6">
        <f t="shared" si="20"/>
        <v>0.28445517099865342</v>
      </c>
      <c r="E67" s="6">
        <f t="shared" si="21"/>
        <v>1.3252957840617534</v>
      </c>
      <c r="F67" s="6">
        <f t="shared" si="22"/>
        <v>1.4424000000000001</v>
      </c>
      <c r="G67" s="6" t="s">
        <v>213</v>
      </c>
      <c r="H67" s="6" t="s">
        <v>211</v>
      </c>
      <c r="I67" s="6" t="s">
        <v>212</v>
      </c>
      <c r="J67" s="6">
        <v>6.0099999999999997E-4</v>
      </c>
      <c r="K67" s="6">
        <v>7.4999999999999997E-2</v>
      </c>
      <c r="L67" s="6">
        <f t="shared" si="23"/>
        <v>1.3069038853437391</v>
      </c>
      <c r="M67" s="6">
        <v>14.904</v>
      </c>
      <c r="N67" s="6">
        <f t="shared" si="24"/>
        <v>8.768812971978926E-2</v>
      </c>
      <c r="O67" s="6">
        <f t="shared" si="25"/>
        <v>8.7666985730265781E-2</v>
      </c>
      <c r="P67" s="6">
        <f t="shared" si="26"/>
        <v>8.5868880301201933E-2</v>
      </c>
      <c r="Q67" s="6">
        <f t="shared" si="27"/>
        <v>1.798105429063848E-3</v>
      </c>
      <c r="R67" s="6">
        <f t="shared" si="28"/>
        <v>-1.9255406316053998E-3</v>
      </c>
      <c r="S67" s="6">
        <f t="shared" si="29"/>
        <v>2.0803779497525619E-2</v>
      </c>
      <c r="T67" s="6">
        <f t="shared" si="30"/>
        <v>1.887823886592022E-2</v>
      </c>
      <c r="U67" s="6">
        <f t="shared" si="31"/>
        <v>2.6650117443021863</v>
      </c>
      <c r="V67" s="6">
        <f t="shared" si="32"/>
        <v>52.49480525663293</v>
      </c>
      <c r="W67" s="6">
        <f t="shared" si="33"/>
        <v>-1.2582571912455762</v>
      </c>
      <c r="X67" s="1"/>
      <c r="Y67" s="1">
        <f t="shared" si="34"/>
        <v>0.28445517099865342</v>
      </c>
      <c r="Z67" s="2">
        <v>15</v>
      </c>
      <c r="AA67">
        <f t="shared" si="35"/>
        <v>52.732386433119224</v>
      </c>
      <c r="AB67" s="5">
        <f t="shared" si="36"/>
        <v>5</v>
      </c>
      <c r="AC67">
        <f t="shared" si="37"/>
        <v>52.49480525663293</v>
      </c>
      <c r="AE67">
        <f t="shared" si="38"/>
        <v>1.3252957840617534</v>
      </c>
      <c r="AF67">
        <v>15</v>
      </c>
      <c r="AG67">
        <f t="shared" si="39"/>
        <v>11.318228112088418</v>
      </c>
      <c r="AH67">
        <f t="shared" si="40"/>
        <v>11</v>
      </c>
      <c r="AI67" s="4">
        <f t="shared" si="41"/>
        <v>2.6650117443021863</v>
      </c>
    </row>
    <row r="68" spans="1:35" ht="13.8" x14ac:dyDescent="0.25">
      <c r="A68" s="7">
        <f>1.9*L45</f>
        <v>7055.1709831800563</v>
      </c>
      <c r="B68" s="6">
        <f t="shared" si="18"/>
        <v>-1.2504662386386924</v>
      </c>
      <c r="C68" s="6">
        <f t="shared" si="19"/>
        <v>1.3109624947427718</v>
      </c>
      <c r="D68" s="6">
        <f t="shared" si="20"/>
        <v>0.26960809228714011</v>
      </c>
      <c r="E68" s="6">
        <f t="shared" si="21"/>
        <v>1.3290773740879591</v>
      </c>
      <c r="F68" s="6">
        <f t="shared" si="22"/>
        <v>1.0140845070422537</v>
      </c>
      <c r="G68" s="6" t="s">
        <v>214</v>
      </c>
      <c r="H68" s="6" t="s">
        <v>215</v>
      </c>
      <c r="I68" s="6" t="s">
        <v>216</v>
      </c>
      <c r="J68" s="6">
        <v>4.0000000000000002E-4</v>
      </c>
      <c r="K68" s="6">
        <v>7.0999999999999994E-2</v>
      </c>
      <c r="L68" s="6">
        <f t="shared" si="23"/>
        <v>1.3109624947427718</v>
      </c>
      <c r="M68" s="6">
        <v>14.898</v>
      </c>
      <c r="N68" s="6">
        <f t="shared" si="24"/>
        <v>8.7995871576236534E-2</v>
      </c>
      <c r="O68" s="6">
        <f t="shared" si="25"/>
        <v>8.7974915318095787E-2</v>
      </c>
      <c r="P68" s="6">
        <f t="shared" si="26"/>
        <v>8.6359614797502204E-2</v>
      </c>
      <c r="Q68" s="6">
        <f t="shared" si="27"/>
        <v>1.6153005205935789E-3</v>
      </c>
      <c r="R68" s="6">
        <f t="shared" si="28"/>
        <v>-1.9203357090334799E-3</v>
      </c>
      <c r="S68" s="6">
        <f t="shared" si="29"/>
        <v>1.9821478363816328E-2</v>
      </c>
      <c r="T68" s="6">
        <f t="shared" si="30"/>
        <v>1.7901142654782848E-2</v>
      </c>
      <c r="U68" s="6">
        <f t="shared" si="31"/>
        <v>2.5247479682862819</v>
      </c>
      <c r="V68" s="6">
        <f t="shared" si="32"/>
        <v>55.411183326445858</v>
      </c>
      <c r="W68" s="6">
        <f t="shared" si="33"/>
        <v>-1.2504662386386924</v>
      </c>
      <c r="X68" s="1"/>
      <c r="Y68" s="1">
        <f t="shared" si="34"/>
        <v>0.26960809228714011</v>
      </c>
      <c r="Z68" s="2">
        <v>15</v>
      </c>
      <c r="AA68">
        <f t="shared" si="35"/>
        <v>55.636312221758473</v>
      </c>
      <c r="AB68" s="5">
        <f t="shared" si="36"/>
        <v>5</v>
      </c>
      <c r="AC68">
        <f t="shared" si="37"/>
        <v>55.411183326445858</v>
      </c>
      <c r="AE68">
        <f t="shared" si="38"/>
        <v>1.3290773740879591</v>
      </c>
      <c r="AF68">
        <v>15</v>
      </c>
      <c r="AG68">
        <f t="shared" si="39"/>
        <v>11.286024645700794</v>
      </c>
      <c r="AH68">
        <f t="shared" si="40"/>
        <v>11</v>
      </c>
      <c r="AI68" s="4">
        <f t="shared" si="41"/>
        <v>2.5247479682862819</v>
      </c>
    </row>
    <row r="69" spans="1:35" ht="13.8" x14ac:dyDescent="0.25">
      <c r="A69" s="7">
        <f>2*L45</f>
        <v>7426.4957717684811</v>
      </c>
      <c r="B69" s="6">
        <f>W69</f>
        <v>-1.2355916921755903</v>
      </c>
      <c r="C69" s="6">
        <f>L69</f>
        <v>1.3152000606049594</v>
      </c>
      <c r="D69" s="6">
        <f>Y69</f>
        <v>0.2562285922972754</v>
      </c>
      <c r="E69" s="6">
        <f>AE69</f>
        <v>1.3323317807349897</v>
      </c>
      <c r="F69" s="6">
        <f t="shared" si="22"/>
        <v>1.0746268656716418</v>
      </c>
      <c r="G69" s="6" t="s">
        <v>219</v>
      </c>
      <c r="H69" s="6" t="s">
        <v>217</v>
      </c>
      <c r="I69" s="6" t="s">
        <v>218</v>
      </c>
      <c r="J69" s="6">
        <v>4.0000000000000002E-4</v>
      </c>
      <c r="K69" s="6">
        <v>6.7000000000000004E-2</v>
      </c>
      <c r="L69" s="6">
        <f t="shared" si="23"/>
        <v>1.3152000606049594</v>
      </c>
      <c r="M69" s="6">
        <v>14.901</v>
      </c>
      <c r="N69" s="6">
        <f t="shared" si="24"/>
        <v>8.8262536783099088E-2</v>
      </c>
      <c r="O69" s="6">
        <f t="shared" si="25"/>
        <v>8.8242014093663876E-2</v>
      </c>
      <c r="P69" s="6">
        <f t="shared" si="26"/>
        <v>8.6783056504538464E-2</v>
      </c>
      <c r="Q69" s="6">
        <f t="shared" si="27"/>
        <v>1.4589575891254081E-3</v>
      </c>
      <c r="R69" s="6">
        <f t="shared" si="28"/>
        <v>-1.9032467211437913E-3</v>
      </c>
      <c r="S69" s="6">
        <f t="shared" si="29"/>
        <v>1.8922734391993788E-2</v>
      </c>
      <c r="T69" s="6">
        <f t="shared" si="30"/>
        <v>1.7019487670849997E-2</v>
      </c>
      <c r="U69" s="6">
        <f t="shared" si="31"/>
        <v>2.3985105698719673</v>
      </c>
      <c r="V69" s="6">
        <f t="shared" si="32"/>
        <v>58.327561396258808</v>
      </c>
      <c r="W69" s="6">
        <f t="shared" si="33"/>
        <v>-1.2355916921755903</v>
      </c>
      <c r="X69" s="1"/>
      <c r="Y69" s="1">
        <f t="shared" si="34"/>
        <v>0.2562285922972754</v>
      </c>
      <c r="Z69" s="2">
        <v>15</v>
      </c>
      <c r="AA69">
        <f t="shared" si="35"/>
        <v>58.541476052746916</v>
      </c>
      <c r="AB69" s="5">
        <f t="shared" si="36"/>
        <v>5</v>
      </c>
      <c r="AC69">
        <f t="shared" si="37"/>
        <v>58.327561396258808</v>
      </c>
      <c r="AE69">
        <f t="shared" si="38"/>
        <v>1.3323317807349897</v>
      </c>
      <c r="AF69">
        <v>15</v>
      </c>
      <c r="AG69">
        <f t="shared" si="39"/>
        <v>11.25845695261067</v>
      </c>
      <c r="AH69">
        <f t="shared" si="40"/>
        <v>11</v>
      </c>
      <c r="AI69" s="4">
        <f t="shared" si="41"/>
        <v>2.3985105698719673</v>
      </c>
    </row>
    <row r="70" spans="1:35" ht="13.8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35" ht="13.8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35" ht="13.8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35" ht="13.8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35" ht="13.8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35" ht="13.8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35" ht="13.8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35" ht="13.8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35" ht="13.8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35" ht="13.8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35" ht="13.8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8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8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8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8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8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8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8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8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8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8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8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8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8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8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8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8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8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8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8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8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8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8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8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8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8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8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8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8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8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8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8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8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8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8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8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8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8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8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8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8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8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8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8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8" x14ac:dyDescent="0.25">
      <c r="A124" s="1"/>
      <c r="B124" s="1"/>
      <c r="C124" s="24"/>
      <c r="D124" s="24"/>
      <c r="E124" s="24"/>
      <c r="F124" s="24"/>
      <c r="G124" s="24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8" x14ac:dyDescent="0.25">
      <c r="A125" s="1"/>
      <c r="B125" s="1"/>
      <c r="C125" s="24"/>
      <c r="D125" s="24"/>
      <c r="E125" s="24"/>
      <c r="F125" s="24"/>
      <c r="G125" s="24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8" x14ac:dyDescent="0.25">
      <c r="A126" s="1"/>
      <c r="B126" s="1"/>
      <c r="C126" s="24"/>
      <c r="D126" s="24"/>
      <c r="E126" s="24"/>
      <c r="F126" s="24"/>
      <c r="G126" s="24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8" x14ac:dyDescent="0.25">
      <c r="A127" s="1"/>
      <c r="B127" s="1"/>
      <c r="C127" s="24"/>
      <c r="D127" s="24"/>
      <c r="E127" s="24"/>
      <c r="F127" s="24"/>
      <c r="G127" s="2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8" x14ac:dyDescent="0.25">
      <c r="A128" s="1"/>
      <c r="B128" s="1"/>
      <c r="C128" s="24"/>
      <c r="D128" s="24"/>
      <c r="E128" s="24"/>
      <c r="F128" s="24"/>
      <c r="G128" s="2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8" x14ac:dyDescent="0.25">
      <c r="A129" s="1"/>
      <c r="B129" s="1"/>
      <c r="C129" s="24"/>
      <c r="D129" s="24"/>
      <c r="E129" s="24"/>
      <c r="F129" s="24"/>
      <c r="G129" s="2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8" x14ac:dyDescent="0.25">
      <c r="A130" s="1"/>
      <c r="B130" s="1"/>
      <c r="C130" s="24"/>
      <c r="D130" s="24"/>
      <c r="E130" s="24"/>
      <c r="F130" s="24"/>
      <c r="G130" s="24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8" x14ac:dyDescent="0.25">
      <c r="A131" s="1"/>
      <c r="B131" s="1"/>
      <c r="C131" s="24"/>
      <c r="D131" s="24"/>
      <c r="E131" s="24"/>
      <c r="F131" s="24"/>
      <c r="G131" s="24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8" x14ac:dyDescent="0.25">
      <c r="A132" s="1"/>
      <c r="B132" s="1"/>
      <c r="C132" s="24"/>
      <c r="D132" s="24"/>
      <c r="E132" s="24"/>
      <c r="F132" s="24"/>
      <c r="G132" s="24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8" x14ac:dyDescent="0.25">
      <c r="A133" s="1"/>
      <c r="B133" s="1"/>
      <c r="C133" s="24"/>
      <c r="D133" s="24"/>
      <c r="E133" s="24"/>
      <c r="F133" s="24"/>
      <c r="G133" s="24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8" x14ac:dyDescent="0.25">
      <c r="A134" s="1"/>
      <c r="B134" s="1"/>
      <c r="C134" s="24"/>
      <c r="D134" s="24"/>
      <c r="E134" s="24"/>
      <c r="F134" s="24"/>
      <c r="G134" s="24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8" x14ac:dyDescent="0.25">
      <c r="A135" s="1"/>
      <c r="B135" s="1"/>
      <c r="C135" s="24"/>
      <c r="D135" s="24"/>
      <c r="E135" s="24"/>
      <c r="F135" s="24"/>
      <c r="G135" s="24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8" x14ac:dyDescent="0.25">
      <c r="A136" s="1"/>
      <c r="B136" s="1"/>
      <c r="C136" s="24"/>
      <c r="D136" s="24"/>
      <c r="E136" s="24"/>
      <c r="F136" s="24"/>
      <c r="G136" s="24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8" x14ac:dyDescent="0.25">
      <c r="A137" s="1"/>
      <c r="B137" s="1"/>
      <c r="C137" s="24"/>
      <c r="D137" s="24"/>
      <c r="E137" s="24"/>
      <c r="F137" s="24"/>
      <c r="G137" s="24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8" x14ac:dyDescent="0.25">
      <c r="A138" s="1"/>
      <c r="B138" s="1"/>
      <c r="C138" s="24"/>
      <c r="D138" s="24"/>
      <c r="E138" s="24"/>
      <c r="F138" s="24"/>
      <c r="G138" s="24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8" x14ac:dyDescent="0.25">
      <c r="A139" s="1"/>
      <c r="B139" s="1"/>
      <c r="C139" s="24"/>
      <c r="D139" s="24"/>
      <c r="E139" s="24"/>
      <c r="F139" s="24"/>
      <c r="G139" s="24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8" x14ac:dyDescent="0.25">
      <c r="A140" s="1"/>
      <c r="B140" s="1"/>
      <c r="C140" s="24"/>
      <c r="D140" s="24"/>
      <c r="E140" s="24"/>
      <c r="F140" s="24"/>
      <c r="G140" s="24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8" x14ac:dyDescent="0.25">
      <c r="A141" s="1"/>
      <c r="B141" s="1"/>
      <c r="C141" s="24"/>
      <c r="D141" s="24"/>
      <c r="E141" s="24"/>
      <c r="F141" s="24"/>
      <c r="G141" s="24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8" x14ac:dyDescent="0.25">
      <c r="A142" s="1"/>
      <c r="B142" s="1"/>
      <c r="C142" s="24"/>
      <c r="D142" s="24"/>
      <c r="E142" s="24"/>
      <c r="F142" s="24"/>
      <c r="G142" s="24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8" x14ac:dyDescent="0.25">
      <c r="A143" s="1"/>
      <c r="B143" s="1"/>
      <c r="C143" s="24"/>
      <c r="D143" s="24"/>
      <c r="E143" s="24"/>
      <c r="F143" s="24"/>
      <c r="G143" s="24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8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8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8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8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8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8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8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8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8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8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8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8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8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8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8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8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8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8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8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8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8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8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8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8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8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8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8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8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8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8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8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8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8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8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8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8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8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8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8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8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8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8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8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8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8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8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8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8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8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8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8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8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8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8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8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8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8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8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8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8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8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8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8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8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8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8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8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8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8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8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8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8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8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8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8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8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8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8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8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8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8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8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8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8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8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8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8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8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8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8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8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8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8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8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8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8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8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8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8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8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8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8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8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8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8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8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8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8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8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8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8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8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8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8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8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8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8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8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8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8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8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8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8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8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8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8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8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8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8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8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8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8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8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8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8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8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8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8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8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8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8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8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8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8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8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8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8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8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8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8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8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8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8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8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8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8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8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8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8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8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8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8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8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8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8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8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8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8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8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8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8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8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8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8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8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8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8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8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8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8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8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8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8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8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8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8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8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8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8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8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8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8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8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8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8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8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8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8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8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8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8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8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8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8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8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8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8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8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8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8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8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8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8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8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8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8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8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8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8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8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8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8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8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8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8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8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8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8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8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8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8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8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8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8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8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8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8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8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8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8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8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8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8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8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8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8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8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8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8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8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8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8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8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8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8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8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8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8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8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8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8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8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8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8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8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8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8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8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8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8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8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8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8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8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8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8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8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8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8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8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8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8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8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8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8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8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8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8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8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8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8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8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8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8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8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8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8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8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8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8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8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8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8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8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8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8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8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8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8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8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8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8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8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8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8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8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8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8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8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8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8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8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8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8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8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8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8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8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8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8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8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8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8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8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8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8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8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8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8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8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8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8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8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8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8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8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8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8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8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8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8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8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8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8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8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8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8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8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8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8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8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8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8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8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8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8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8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8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8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8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8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8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8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8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8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8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8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8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8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8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8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8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8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8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8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8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8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8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8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8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8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8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8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8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8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8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8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8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8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8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8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8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8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8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8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8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8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8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8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8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8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8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8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8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8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8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8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8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8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8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8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8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8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8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8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8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8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8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8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8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8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8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8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8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8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8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8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8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8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8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8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8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8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8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8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8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8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8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8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8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8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8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8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8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8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8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8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8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8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8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8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8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8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8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8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8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8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8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8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8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8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8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8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8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8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8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8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8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8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8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8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8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8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8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8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8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8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8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8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8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8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8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8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8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8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8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8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8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8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8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8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8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8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8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8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8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8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8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8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8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8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8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8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8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8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8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8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8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8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8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8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8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8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8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8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8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8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8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8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8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8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8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8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8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8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8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8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8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8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8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8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8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8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8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8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8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8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8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8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8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8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8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8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8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8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8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8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8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8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8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8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8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8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8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8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8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8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8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8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8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8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8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8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8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8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8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8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8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8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8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8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8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8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8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8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8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8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8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8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8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8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8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8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8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8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8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8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8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8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8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8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8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8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8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8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8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8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8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8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8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8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8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8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8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8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8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8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8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8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8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8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8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8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8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8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8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8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8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8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8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8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8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8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8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8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8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8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8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8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8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8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8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8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8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8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8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8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8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8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8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8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8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8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8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8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8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8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8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8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8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8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8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8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8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8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8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8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8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8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8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8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8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8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8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8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8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8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8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8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8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8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8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8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8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8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8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8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8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8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8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8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8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8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8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8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8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8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8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8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8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8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8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8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8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8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8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8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8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8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8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8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8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8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8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8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8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8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8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8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8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8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8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8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8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8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8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8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8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8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8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8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8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8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8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8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8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8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8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8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8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8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8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8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8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8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8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8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8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8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8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8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8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8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8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8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8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8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8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8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8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8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8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8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8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8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8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8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8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8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8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8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8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8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8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8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8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8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8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8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8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8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8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8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8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8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8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8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8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8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8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8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8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8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8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8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8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8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8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8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8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8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8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8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8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8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8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8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8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8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8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8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8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8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8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8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8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8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8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8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8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8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8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8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8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8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8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8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8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8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8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8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8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8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8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8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8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8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8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8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8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8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8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8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8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8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8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8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8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8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23">
    <mergeCell ref="C49:D49"/>
    <mergeCell ref="G49:I49"/>
    <mergeCell ref="D21:F21"/>
    <mergeCell ref="I21:K21"/>
    <mergeCell ref="A45:A48"/>
    <mergeCell ref="B45:I45"/>
    <mergeCell ref="B46:E46"/>
    <mergeCell ref="F46:I46"/>
    <mergeCell ref="B47:E47"/>
    <mergeCell ref="F47:I47"/>
    <mergeCell ref="K8:K9"/>
    <mergeCell ref="A17:A20"/>
    <mergeCell ref="B17:K17"/>
    <mergeCell ref="B18:F18"/>
    <mergeCell ref="G18:K18"/>
    <mergeCell ref="B19:F19"/>
    <mergeCell ref="G19:K19"/>
    <mergeCell ref="A2:A5"/>
    <mergeCell ref="B2:E3"/>
    <mergeCell ref="F2:H3"/>
    <mergeCell ref="I2:J3"/>
    <mergeCell ref="B5:C5"/>
    <mergeCell ref="K6:K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Рустам Акберов</dc:creator>
  <cp:lastModifiedBy>Рустам Акберов</cp:lastModifiedBy>
  <dcterms:created xsi:type="dcterms:W3CDTF">2023-03-15T21:44:35Z</dcterms:created>
  <dcterms:modified xsi:type="dcterms:W3CDTF">2023-03-23T12:40:41Z</dcterms:modified>
</cp:coreProperties>
</file>