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d6d9094337beacf/Рабочий стол/уник/4 sem/Электро/"/>
    </mc:Choice>
  </mc:AlternateContent>
  <xr:revisionPtr revIDLastSave="411" documentId="8_{7A82DA93-7C7A-4AFB-9E12-927C0B9C0A19}" xr6:coauthVersionLast="47" xr6:coauthVersionMax="47" xr10:uidLastSave="{FD709E73-6FF2-4EAB-BD83-A598897DDE44}"/>
  <bookViews>
    <workbookView xWindow="-108" yWindow="-108" windowWidth="23256" windowHeight="12576" xr2:uid="{00000000-000D-0000-FFFF-FFFF00000000}"/>
  </bookViews>
  <sheets>
    <sheet name="Лист1" sheetId="1" r:id="rId1"/>
    <sheet name="Лист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N18" i="1" s="1"/>
  <c r="M18" i="1"/>
  <c r="L33" i="1"/>
  <c r="G33" i="1" s="1"/>
  <c r="L34" i="1"/>
  <c r="L35" i="1"/>
  <c r="G35" i="1" s="1"/>
  <c r="L36" i="1"/>
  <c r="G36" i="1" s="1"/>
  <c r="L37" i="1"/>
  <c r="G37" i="1" s="1"/>
  <c r="L38" i="1"/>
  <c r="G38" i="1" s="1"/>
  <c r="L39" i="1"/>
  <c r="G39" i="1" s="1"/>
  <c r="L40" i="1"/>
  <c r="G40" i="1" s="1"/>
  <c r="L41" i="1"/>
  <c r="G41" i="1" s="1"/>
  <c r="L32" i="1"/>
  <c r="G32" i="1" s="1"/>
  <c r="G34" i="1"/>
  <c r="L25" i="1"/>
  <c r="G25" i="1" s="1"/>
  <c r="L26" i="1"/>
  <c r="G26" i="1" s="1"/>
  <c r="L27" i="1"/>
  <c r="G27" i="1" s="1"/>
  <c r="L28" i="1"/>
  <c r="G28" i="1" s="1"/>
  <c r="L29" i="1"/>
  <c r="G29" i="1" s="1"/>
  <c r="L30" i="1"/>
  <c r="G30" i="1" s="1"/>
  <c r="L31" i="1"/>
  <c r="G31" i="1" s="1"/>
  <c r="Q41" i="1"/>
  <c r="U41" i="1"/>
  <c r="R41" i="1" s="1"/>
  <c r="B41" i="1" s="1"/>
  <c r="V41" i="1"/>
  <c r="Q25" i="1"/>
  <c r="U25" i="1"/>
  <c r="R25" i="1" s="1"/>
  <c r="B25" i="1" s="1"/>
  <c r="V25" i="1"/>
  <c r="Q26" i="1"/>
  <c r="S26" i="1" s="1"/>
  <c r="P26" i="1" s="1"/>
  <c r="C26" i="1" s="1"/>
  <c r="R26" i="1"/>
  <c r="B26" i="1" s="1"/>
  <c r="U26" i="1"/>
  <c r="V26" i="1"/>
  <c r="W26" i="1"/>
  <c r="Q27" i="1"/>
  <c r="U27" i="1"/>
  <c r="R27" i="1" s="1"/>
  <c r="V27" i="1"/>
  <c r="W27" i="1"/>
  <c r="Q28" i="1"/>
  <c r="U28" i="1"/>
  <c r="W28" i="1" s="1"/>
  <c r="V28" i="1"/>
  <c r="Q29" i="1"/>
  <c r="U29" i="1"/>
  <c r="R29" i="1" s="1"/>
  <c r="V29" i="1"/>
  <c r="Q30" i="1"/>
  <c r="S30" i="1" s="1"/>
  <c r="P30" i="1" s="1"/>
  <c r="C30" i="1" s="1"/>
  <c r="R30" i="1"/>
  <c r="B30" i="1" s="1"/>
  <c r="U30" i="1"/>
  <c r="V30" i="1"/>
  <c r="W30" i="1"/>
  <c r="Q31" i="1"/>
  <c r="R31" i="1"/>
  <c r="B31" i="1" s="1"/>
  <c r="S31" i="1"/>
  <c r="P31" i="1" s="1"/>
  <c r="C31" i="1" s="1"/>
  <c r="U31" i="1"/>
  <c r="W31" i="1" s="1"/>
  <c r="V31" i="1"/>
  <c r="Q32" i="1"/>
  <c r="U32" i="1"/>
  <c r="R32" i="1" s="1"/>
  <c r="V32" i="1"/>
  <c r="W32" i="1"/>
  <c r="Q33" i="1"/>
  <c r="U33" i="1"/>
  <c r="W33" i="1" s="1"/>
  <c r="V33" i="1"/>
  <c r="Q34" i="1"/>
  <c r="U34" i="1"/>
  <c r="R34" i="1" s="1"/>
  <c r="V34" i="1"/>
  <c r="W34" i="1"/>
  <c r="Q35" i="1"/>
  <c r="U35" i="1"/>
  <c r="V35" i="1"/>
  <c r="R35" i="1" s="1"/>
  <c r="W35" i="1"/>
  <c r="Q36" i="1"/>
  <c r="U36" i="1"/>
  <c r="R36" i="1" s="1"/>
  <c r="V36" i="1"/>
  <c r="Q37" i="1"/>
  <c r="U37" i="1"/>
  <c r="R37" i="1" s="1"/>
  <c r="B37" i="1" s="1"/>
  <c r="V37" i="1"/>
  <c r="W37" i="1"/>
  <c r="Q38" i="1"/>
  <c r="S38" i="1" s="1"/>
  <c r="P38" i="1" s="1"/>
  <c r="C38" i="1" s="1"/>
  <c r="R38" i="1"/>
  <c r="B38" i="1" s="1"/>
  <c r="U38" i="1"/>
  <c r="V38" i="1"/>
  <c r="W38" i="1"/>
  <c r="Q39" i="1"/>
  <c r="U39" i="1"/>
  <c r="R39" i="1" s="1"/>
  <c r="V39" i="1"/>
  <c r="W39" i="1"/>
  <c r="Q40" i="1"/>
  <c r="U40" i="1"/>
  <c r="W40" i="1" s="1"/>
  <c r="V40" i="1"/>
  <c r="Q24" i="1"/>
  <c r="U24" i="1"/>
  <c r="R24" i="1" s="1"/>
  <c r="V24" i="1"/>
  <c r="W24" i="1"/>
  <c r="G24" i="1"/>
  <c r="L24" i="1"/>
  <c r="B22" i="1"/>
  <c r="W22" i="1"/>
  <c r="V22" i="1"/>
  <c r="R22" i="1" s="1"/>
  <c r="S22" i="1" s="1"/>
  <c r="P22" i="1" s="1"/>
  <c r="C22" i="1" s="1"/>
  <c r="U22" i="1"/>
  <c r="B23" i="1"/>
  <c r="W23" i="1"/>
  <c r="V23" i="1"/>
  <c r="U23" i="1"/>
  <c r="R23" i="1" s="1"/>
  <c r="S23" i="1" s="1"/>
  <c r="P23" i="1" s="1"/>
  <c r="C23" i="1" s="1"/>
  <c r="Q23" i="1"/>
  <c r="G23" i="1"/>
  <c r="L23" i="1"/>
  <c r="A33" i="3"/>
  <c r="A30" i="3"/>
  <c r="Q22" i="3"/>
  <c r="L22" i="3"/>
  <c r="G22" i="3" s="1"/>
  <c r="U18" i="3"/>
  <c r="A41" i="3" s="1"/>
  <c r="N18" i="3"/>
  <c r="M18" i="3"/>
  <c r="U17" i="3"/>
  <c r="P12" i="3"/>
  <c r="M12" i="3"/>
  <c r="J12" i="3"/>
  <c r="I12" i="3"/>
  <c r="AD8" i="3"/>
  <c r="AC8" i="3"/>
  <c r="H13" i="3" s="1"/>
  <c r="Z8" i="3"/>
  <c r="X8" i="3"/>
  <c r="Q8" i="3"/>
  <c r="M8" i="3"/>
  <c r="J8" i="3"/>
  <c r="AD7" i="3"/>
  <c r="AC7" i="3"/>
  <c r="AB7" i="3"/>
  <c r="AA7" i="3"/>
  <c r="AA8" i="3" s="1"/>
  <c r="H11" i="3" s="1"/>
  <c r="Z7" i="3"/>
  <c r="Y7" i="3"/>
  <c r="Y8" i="3" s="1"/>
  <c r="X7" i="3"/>
  <c r="W7" i="3"/>
  <c r="W8" i="3" s="1"/>
  <c r="I7" i="3"/>
  <c r="AD6" i="3"/>
  <c r="AC6" i="3"/>
  <c r="AB6" i="3"/>
  <c r="AB8" i="3" s="1"/>
  <c r="H12" i="3" s="1"/>
  <c r="AA6" i="3"/>
  <c r="Z6" i="3"/>
  <c r="Y6" i="3"/>
  <c r="X6" i="3"/>
  <c r="W6" i="3"/>
  <c r="V6" i="3"/>
  <c r="V8" i="3" s="1"/>
  <c r="M6" i="3"/>
  <c r="I6" i="3"/>
  <c r="L4" i="3"/>
  <c r="I8" i="3" s="1"/>
  <c r="K4" i="3"/>
  <c r="J11" i="3" s="1"/>
  <c r="K1" i="3"/>
  <c r="J7" i="3" s="1"/>
  <c r="Q22" i="1"/>
  <c r="L22" i="1"/>
  <c r="G22" i="1" s="1"/>
  <c r="M12" i="1"/>
  <c r="L4" i="1"/>
  <c r="J11" i="1" s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U18" i="1"/>
  <c r="U17" i="1"/>
  <c r="P12" i="1"/>
  <c r="O6" i="1"/>
  <c r="S6" i="1"/>
  <c r="K4" i="1"/>
  <c r="AD8" i="1"/>
  <c r="AD7" i="1"/>
  <c r="AD6" i="1"/>
  <c r="H13" i="1"/>
  <c r="AC8" i="1"/>
  <c r="AC7" i="1"/>
  <c r="AC6" i="1"/>
  <c r="H12" i="1"/>
  <c r="AB8" i="1"/>
  <c r="AB7" i="1"/>
  <c r="AB6" i="1"/>
  <c r="H11" i="1"/>
  <c r="AA8" i="1"/>
  <c r="AA7" i="1"/>
  <c r="AA6" i="1"/>
  <c r="Y7" i="1"/>
  <c r="Z8" i="1"/>
  <c r="Z7" i="1"/>
  <c r="Z6" i="1"/>
  <c r="Y8" i="1"/>
  <c r="Y6" i="1"/>
  <c r="X8" i="1"/>
  <c r="X7" i="1"/>
  <c r="X6" i="1"/>
  <c r="W8" i="1"/>
  <c r="V8" i="1"/>
  <c r="W7" i="1"/>
  <c r="W6" i="1"/>
  <c r="V6" i="1"/>
  <c r="M6" i="1"/>
  <c r="I6" i="1"/>
  <c r="K1" i="1"/>
  <c r="D23" i="1" l="1"/>
  <c r="F23" i="1"/>
  <c r="E23" i="1"/>
  <c r="S41" i="1"/>
  <c r="P41" i="1" s="1"/>
  <c r="C41" i="1" s="1"/>
  <c r="W41" i="1"/>
  <c r="S37" i="1"/>
  <c r="P37" i="1" s="1"/>
  <c r="C37" i="1" s="1"/>
  <c r="D37" i="1" s="1"/>
  <c r="B27" i="1"/>
  <c r="S27" i="1"/>
  <c r="P27" i="1" s="1"/>
  <c r="C27" i="1" s="1"/>
  <c r="S36" i="1"/>
  <c r="P36" i="1" s="1"/>
  <c r="C36" i="1" s="1"/>
  <c r="F36" i="1" s="1"/>
  <c r="B36" i="1"/>
  <c r="D30" i="1"/>
  <c r="E30" i="1"/>
  <c r="F30" i="1"/>
  <c r="S40" i="1"/>
  <c r="P40" i="1" s="1"/>
  <c r="C40" i="1" s="1"/>
  <c r="S35" i="1"/>
  <c r="P35" i="1" s="1"/>
  <c r="C35" i="1" s="1"/>
  <c r="B35" i="1"/>
  <c r="B32" i="1"/>
  <c r="S32" i="1"/>
  <c r="P32" i="1" s="1"/>
  <c r="C32" i="1" s="1"/>
  <c r="S39" i="1"/>
  <c r="P39" i="1" s="1"/>
  <c r="C39" i="1" s="1"/>
  <c r="B39" i="1"/>
  <c r="B29" i="1"/>
  <c r="S29" i="1"/>
  <c r="P29" i="1" s="1"/>
  <c r="C29" i="1" s="1"/>
  <c r="F29" i="1" s="1"/>
  <c r="D26" i="1"/>
  <c r="E26" i="1"/>
  <c r="F26" i="1"/>
  <c r="E38" i="1"/>
  <c r="D38" i="1"/>
  <c r="F38" i="1"/>
  <c r="E31" i="1"/>
  <c r="F31" i="1"/>
  <c r="D31" i="1"/>
  <c r="B34" i="1"/>
  <c r="S34" i="1"/>
  <c r="P34" i="1" s="1"/>
  <c r="C34" i="1" s="1"/>
  <c r="S25" i="1"/>
  <c r="P25" i="1" s="1"/>
  <c r="C25" i="1" s="1"/>
  <c r="D25" i="1" s="1"/>
  <c r="R40" i="1"/>
  <c r="B40" i="1" s="1"/>
  <c r="W36" i="1"/>
  <c r="R28" i="1"/>
  <c r="B28" i="1" s="1"/>
  <c r="R33" i="1"/>
  <c r="B33" i="1" s="1"/>
  <c r="W29" i="1"/>
  <c r="W25" i="1"/>
  <c r="F32" i="1"/>
  <c r="S24" i="1"/>
  <c r="P24" i="1" s="1"/>
  <c r="C24" i="1" s="1"/>
  <c r="F24" i="1" s="1"/>
  <c r="B24" i="1"/>
  <c r="F22" i="1"/>
  <c r="D22" i="1"/>
  <c r="E22" i="1"/>
  <c r="A31" i="3"/>
  <c r="O8" i="3"/>
  <c r="M9" i="3" s="1"/>
  <c r="Q9" i="3" s="1"/>
  <c r="I14" i="3" s="1"/>
  <c r="A34" i="3"/>
  <c r="I9" i="3"/>
  <c r="A22" i="3"/>
  <c r="A32" i="3"/>
  <c r="J9" i="3"/>
  <c r="S8" i="3"/>
  <c r="O9" i="3" s="1"/>
  <c r="A23" i="3"/>
  <c r="A35" i="3"/>
  <c r="S6" i="3"/>
  <c r="O7" i="3" s="1"/>
  <c r="J13" i="3" s="1"/>
  <c r="A24" i="3"/>
  <c r="A36" i="3"/>
  <c r="I10" i="3"/>
  <c r="A25" i="3"/>
  <c r="A37" i="3"/>
  <c r="J10" i="3"/>
  <c r="A26" i="3"/>
  <c r="A38" i="3"/>
  <c r="A27" i="3"/>
  <c r="A28" i="3"/>
  <c r="A40" i="3"/>
  <c r="A39" i="3"/>
  <c r="I11" i="3"/>
  <c r="O6" i="3"/>
  <c r="M7" i="3" s="1"/>
  <c r="A29" i="3"/>
  <c r="M8" i="1"/>
  <c r="I7" i="1"/>
  <c r="I11" i="1"/>
  <c r="Q8" i="1"/>
  <c r="I12" i="1"/>
  <c r="J8" i="1"/>
  <c r="I8" i="1"/>
  <c r="I9" i="1"/>
  <c r="O7" i="1"/>
  <c r="O8" i="1"/>
  <c r="M9" i="1" s="1"/>
  <c r="J9" i="1"/>
  <c r="J12" i="1"/>
  <c r="M7" i="1"/>
  <c r="J7" i="1"/>
  <c r="S8" i="1"/>
  <c r="I10" i="1"/>
  <c r="J10" i="1"/>
  <c r="F25" i="1" l="1"/>
  <c r="E25" i="1"/>
  <c r="E41" i="1"/>
  <c r="D41" i="1"/>
  <c r="F41" i="1"/>
  <c r="D35" i="1"/>
  <c r="E35" i="1"/>
  <c r="E37" i="1"/>
  <c r="E40" i="1"/>
  <c r="D40" i="1"/>
  <c r="F40" i="1"/>
  <c r="D34" i="1"/>
  <c r="F34" i="1"/>
  <c r="E34" i="1"/>
  <c r="F37" i="1"/>
  <c r="F35" i="1"/>
  <c r="D29" i="1"/>
  <c r="E36" i="1"/>
  <c r="D36" i="1"/>
  <c r="S28" i="1"/>
  <c r="P28" i="1" s="1"/>
  <c r="C28" i="1" s="1"/>
  <c r="E29" i="1"/>
  <c r="F39" i="1"/>
  <c r="E39" i="1"/>
  <c r="D39" i="1"/>
  <c r="F27" i="1"/>
  <c r="D27" i="1"/>
  <c r="E27" i="1"/>
  <c r="S33" i="1"/>
  <c r="P33" i="1" s="1"/>
  <c r="C33" i="1" s="1"/>
  <c r="E32" i="1"/>
  <c r="D32" i="1"/>
  <c r="D24" i="1"/>
  <c r="E24" i="1"/>
  <c r="J14" i="3"/>
  <c r="V22" i="3"/>
  <c r="U22" i="3"/>
  <c r="Q7" i="3"/>
  <c r="I13" i="3" s="1"/>
  <c r="Q7" i="1"/>
  <c r="I13" i="1" s="1"/>
  <c r="J13" i="1"/>
  <c r="O9" i="1"/>
  <c r="J14" i="1" s="1"/>
  <c r="D33" i="1" l="1"/>
  <c r="E33" i="1"/>
  <c r="F33" i="1"/>
  <c r="D28" i="1"/>
  <c r="E28" i="1"/>
  <c r="F28" i="1"/>
  <c r="R22" i="3"/>
  <c r="W22" i="3"/>
  <c r="Q9" i="1"/>
  <c r="I14" i="1" s="1"/>
  <c r="B22" i="3" l="1"/>
  <c r="S22" i="3"/>
  <c r="P22" i="3" s="1"/>
  <c r="C22" i="3" s="1"/>
  <c r="E22" i="3" l="1"/>
  <c r="D22" i="3"/>
  <c r="F22" i="3"/>
</calcChain>
</file>

<file path=xl/sharedStrings.xml><?xml version="1.0" encoding="utf-8"?>
<sst xmlns="http://schemas.openxmlformats.org/spreadsheetml/2006/main" count="303" uniqueCount="150">
  <si>
    <t>Таблица 2.2</t>
  </si>
  <si>
    <t>Номер схемы цепи</t>
  </si>
  <si>
    <t>Параметры двухполюсников</t>
  </si>
  <si>
    <t>Результаты измерений</t>
  </si>
  <si>
    <t>Результаты вычислений</t>
  </si>
  <si>
    <t>X_L</t>
  </si>
  <si>
    <t>X_c</t>
  </si>
  <si>
    <t>omega</t>
  </si>
  <si>
    <t>R1</t>
  </si>
  <si>
    <t>Rk</t>
  </si>
  <si>
    <t>L</t>
  </si>
  <si>
    <t>C</t>
  </si>
  <si>
    <t>U</t>
  </si>
  <si>
    <t>I</t>
  </si>
  <si>
    <t>φ</t>
  </si>
  <si>
    <t>Ом</t>
  </si>
  <si>
    <t>мГн</t>
  </si>
  <si>
    <t>мкФ</t>
  </si>
  <si>
    <t>В</t>
  </si>
  <si>
    <t>А</t>
  </si>
  <si>
    <t>°</t>
  </si>
  <si>
    <t>для 8</t>
  </si>
  <si>
    <t>G1</t>
  </si>
  <si>
    <t>Gk</t>
  </si>
  <si>
    <t>B1</t>
  </si>
  <si>
    <t>Bk</t>
  </si>
  <si>
    <t>G</t>
  </si>
  <si>
    <t>B</t>
  </si>
  <si>
    <t>Y</t>
  </si>
  <si>
    <t>для 9</t>
  </si>
  <si>
    <t>R2</t>
  </si>
  <si>
    <t>Таблица 2.3</t>
  </si>
  <si>
    <t>f</t>
  </si>
  <si>
    <t>U = 8 В; R1= 55 Ом; Rk = 5 Ом; L = 7.217 мГн; C = 21.196 мкФ; f0 = 636.62 Гц</t>
  </si>
  <si>
    <t>rho</t>
  </si>
  <si>
    <t>Qp</t>
  </si>
  <si>
    <t>Qe</t>
  </si>
  <si>
    <t>Расчет</t>
  </si>
  <si>
    <t>Эксперимент</t>
  </si>
  <si>
    <t>Qp=</t>
  </si>
  <si>
    <t>Qc=</t>
  </si>
  <si>
    <t>UR1</t>
  </si>
  <si>
    <t>Uk</t>
  </si>
  <si>
    <t>UC</t>
  </si>
  <si>
    <t>Ur1</t>
  </si>
  <si>
    <t>Uc</t>
  </si>
  <si>
    <t>f0, Гц</t>
  </si>
  <si>
    <t>Таблица 2.4</t>
  </si>
  <si>
    <t>I1</t>
  </si>
  <si>
    <t>I2</t>
  </si>
  <si>
    <t>f'0, Гц</t>
  </si>
  <si>
    <t>250.49mA</t>
  </si>
  <si>
    <t>h</t>
  </si>
  <si>
    <t>delta h</t>
  </si>
  <si>
    <t>132.39mA</t>
  </si>
  <si>
    <t>fi</t>
  </si>
  <si>
    <t>117.73mA</t>
  </si>
  <si>
    <t>230,93mA</t>
  </si>
  <si>
    <t>115.18mA</t>
  </si>
  <si>
    <t>283.47mA</t>
  </si>
  <si>
    <t>delta</t>
  </si>
  <si>
    <t>113.56mA</t>
  </si>
  <si>
    <t>R</t>
  </si>
  <si>
    <t>X</t>
  </si>
  <si>
    <t>Z</t>
  </si>
  <si>
    <t>U = 15 В; R1= 11 Ом; Rk = 5 Ом; L = 1,25 мГн; C = 8,935 мкФ; f0 = 1505,975 Гц</t>
  </si>
  <si>
    <t>Z_k</t>
  </si>
  <si>
    <t>1.4188V</t>
  </si>
  <si>
    <t>14.762V</t>
  </si>
  <si>
    <t>665.97mV</t>
  </si>
  <si>
    <t>R_k</t>
  </si>
  <si>
    <t>я смотрел U в лтспайсе, он чутка отличается от данного в исходных(справа фоточка с тем, как определял его)</t>
  </si>
  <si>
    <t>2.7969V</t>
  </si>
  <si>
    <t>15.025V</t>
  </si>
  <si>
    <t>1.4076V</t>
  </si>
  <si>
    <t>254.07mA</t>
  </si>
  <si>
    <t>382.45mA</t>
  </si>
  <si>
    <t>4.197V</t>
  </si>
  <si>
    <t>15.047V</t>
  </si>
  <si>
    <t>2.3411V</t>
  </si>
  <si>
    <t>5.5748V</t>
  </si>
  <si>
    <t>14.989V</t>
  </si>
  <si>
    <t>3.4914V</t>
  </si>
  <si>
    <t>506.53mA</t>
  </si>
  <si>
    <t>626.35mA</t>
  </si>
  <si>
    <t>Если ток слева, тогда знак минус</t>
  </si>
  <si>
    <t>6.88V</t>
  </si>
  <si>
    <t>14.867V</t>
  </si>
  <si>
    <t>4.8555V</t>
  </si>
  <si>
    <t>8.0891V</t>
  </si>
  <si>
    <t>14.474V</t>
  </si>
  <si>
    <t>6.3801V</t>
  </si>
  <si>
    <t>734.51mA</t>
  </si>
  <si>
    <t>822.97mA</t>
  </si>
  <si>
    <t>9.0671V</t>
  </si>
  <si>
    <t>13.9V</t>
  </si>
  <si>
    <t>7.9624V</t>
  </si>
  <si>
    <t>9.7814V</t>
  </si>
  <si>
    <t>13.117V</t>
  </si>
  <si>
    <t>9.5017V</t>
  </si>
  <si>
    <t>887.36mA</t>
  </si>
  <si>
    <t>923.37mA</t>
  </si>
  <si>
    <t>10.184V</t>
  </si>
  <si>
    <t>12.135V</t>
  </si>
  <si>
    <t>10.869V</t>
  </si>
  <si>
    <t>10.308V</t>
  </si>
  <si>
    <t>11.045V</t>
  </si>
  <si>
    <t>12.006V</t>
  </si>
  <si>
    <t>934.01mA</t>
  </si>
  <si>
    <t>924.31mA</t>
  </si>
  <si>
    <t>10.207V</t>
  </si>
  <si>
    <t>12.894V</t>
  </si>
  <si>
    <t>9.9325V</t>
  </si>
  <si>
    <t>9.9492V</t>
  </si>
  <si>
    <t>13.558V</t>
  </si>
  <si>
    <t>900.3mA</t>
  </si>
  <si>
    <t>867.51mA</t>
  </si>
  <si>
    <t>9.5734V</t>
  </si>
  <si>
    <t>13.92V</t>
  </si>
  <si>
    <t>9.1902V</t>
  </si>
  <si>
    <t>14.383V</t>
  </si>
  <si>
    <t>830.36mA</t>
  </si>
  <si>
    <t>7.010V</t>
  </si>
  <si>
    <t>7.904V</t>
  </si>
  <si>
    <t>8.866V</t>
  </si>
  <si>
    <t>791.83mA</t>
  </si>
  <si>
    <t>8.7909V</t>
  </si>
  <si>
    <t>6.2223V</t>
  </si>
  <si>
    <t>14.6V</t>
  </si>
  <si>
    <t>8.3572V</t>
  </si>
  <si>
    <t>5.5638V</t>
  </si>
  <si>
    <t>14.776V</t>
  </si>
  <si>
    <t>753.69mA</t>
  </si>
  <si>
    <t>717.04mA</t>
  </si>
  <si>
    <t>8.0466V</t>
  </si>
  <si>
    <t>4.9215V</t>
  </si>
  <si>
    <t>14.735V</t>
  </si>
  <si>
    <t>7.5753V</t>
  </si>
  <si>
    <t>4.477V</t>
  </si>
  <si>
    <t>14.956V</t>
  </si>
  <si>
    <t>679.67mA</t>
  </si>
  <si>
    <t>649.73mA</t>
  </si>
  <si>
    <t>7.0726V</t>
  </si>
  <si>
    <t>4.1156V</t>
  </si>
  <si>
    <t>15.26V</t>
  </si>
  <si>
    <t>6.8878V</t>
  </si>
  <si>
    <t>3.6581V</t>
  </si>
  <si>
    <t>15.026V</t>
  </si>
  <si>
    <t>619.47mA</t>
  </si>
  <si>
    <t>Qp=0,018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</si>
</sst>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#,##0.000000"/>
  </numFmts>
  <fonts count="3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3" fontId="2" fillId="0" borderId="0" xfId="0" applyNumberFormat="1" applyFont="1"/>
    <xf numFmtId="165" fontId="2" fillId="0" borderId="0" xfId="0" applyNumberFormat="1" applyFont="1"/>
    <xf numFmtId="0" fontId="2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579120</xdr:colOff>
      <xdr:row>13</xdr:row>
      <xdr:rowOff>190500</xdr:rowOff>
    </xdr:from>
    <xdr:to>
      <xdr:col>41</xdr:col>
      <xdr:colOff>287274</xdr:colOff>
      <xdr:row>35</xdr:row>
      <xdr:rowOff>65389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99C1CBE-B59A-BB4D-8913-B4451B950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61640" y="2766060"/>
          <a:ext cx="7526274" cy="4233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579120</xdr:colOff>
      <xdr:row>13</xdr:row>
      <xdr:rowOff>190500</xdr:rowOff>
    </xdr:from>
    <xdr:to>
      <xdr:col>41</xdr:col>
      <xdr:colOff>287274</xdr:colOff>
      <xdr:row>35</xdr:row>
      <xdr:rowOff>65389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E793079-C67D-4674-B7EE-71B42C14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61640" y="2766060"/>
          <a:ext cx="7526274" cy="4233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topLeftCell="G2" zoomScale="116" workbookViewId="0">
      <selection activeCell="O18" sqref="O18"/>
    </sheetView>
  </sheetViews>
  <sheetFormatPr defaultColWidth="12.6640625" defaultRowHeight="15.75" customHeight="1" x14ac:dyDescent="0.25"/>
  <cols>
    <col min="2" max="2" width="12.44140625" customWidth="1"/>
  </cols>
  <sheetData>
    <row r="1" spans="1:30" x14ac:dyDescent="0.25">
      <c r="A1" s="1" t="s">
        <v>0</v>
      </c>
      <c r="B1" s="1"/>
      <c r="C1" s="1"/>
      <c r="F1" s="1">
        <v>1E-3</v>
      </c>
      <c r="G1" s="1">
        <v>9.9999999999999995E-7</v>
      </c>
      <c r="H1" s="1"/>
      <c r="I1" s="1"/>
      <c r="J1" s="1"/>
      <c r="K1" s="1">
        <f>180/PI()</f>
        <v>57.295779513082323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x14ac:dyDescent="0.25">
      <c r="A2" s="19" t="s">
        <v>1</v>
      </c>
      <c r="B2" s="25" t="s">
        <v>2</v>
      </c>
      <c r="C2" s="20"/>
      <c r="D2" s="20"/>
      <c r="E2" s="20"/>
      <c r="F2" s="24" t="s">
        <v>3</v>
      </c>
      <c r="G2" s="20"/>
      <c r="H2" s="20"/>
      <c r="I2" s="21" t="s">
        <v>4</v>
      </c>
      <c r="J2" s="2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0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1" t="s">
        <v>5</v>
      </c>
      <c r="L3" s="1" t="s">
        <v>6</v>
      </c>
      <c r="M3" s="1" t="s">
        <v>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0" x14ac:dyDescent="0.25">
      <c r="A4" s="20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3" t="s">
        <v>13</v>
      </c>
      <c r="J4" s="4" t="s">
        <v>14</v>
      </c>
      <c r="K4" s="1">
        <f>M4*2*PI()*D7*F1</f>
        <v>1.2500004469552088</v>
      </c>
      <c r="L4" s="1">
        <f>1/(M4*2*PI()*E7*G1)</f>
        <v>111.91937800066712</v>
      </c>
      <c r="M4" s="1">
        <v>159.155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0" x14ac:dyDescent="0.25">
      <c r="A5" s="20"/>
      <c r="B5" s="23" t="s">
        <v>15</v>
      </c>
      <c r="C5" s="20"/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19</v>
      </c>
      <c r="J5" s="5" t="s">
        <v>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0" x14ac:dyDescent="0.25">
      <c r="A6" s="2">
        <v>1</v>
      </c>
      <c r="B6" s="6">
        <v>60</v>
      </c>
      <c r="C6" s="7">
        <v>5</v>
      </c>
      <c r="D6" s="7">
        <v>1.25</v>
      </c>
      <c r="E6" s="7">
        <v>8.9350000000000005</v>
      </c>
      <c r="F6" s="7">
        <v>15.03</v>
      </c>
      <c r="G6" s="6" t="s">
        <v>51</v>
      </c>
      <c r="H6" s="8">
        <v>0</v>
      </c>
      <c r="I6" s="9">
        <f>F6/B6</f>
        <v>0.2505</v>
      </c>
      <c r="J6" s="10">
        <v>0</v>
      </c>
      <c r="K6" s="22" t="s">
        <v>21</v>
      </c>
      <c r="L6" s="1" t="s">
        <v>22</v>
      </c>
      <c r="M6" s="1">
        <f>1/B13</f>
        <v>1.6666666666666666E-2</v>
      </c>
      <c r="N6" s="1" t="s">
        <v>23</v>
      </c>
      <c r="O6" s="11">
        <f>C13/(C13*C13+K4*K4)</f>
        <v>0.18823528619926996</v>
      </c>
      <c r="P6" s="1" t="s">
        <v>24</v>
      </c>
      <c r="Q6" s="1">
        <v>0</v>
      </c>
      <c r="R6" s="1" t="s">
        <v>25</v>
      </c>
      <c r="S6" s="1">
        <f>K4/(C9*C9+K4*K4)</f>
        <v>4.7058838376365819E-2</v>
      </c>
      <c r="T6" s="1"/>
      <c r="U6" s="1" t="s">
        <v>52</v>
      </c>
      <c r="V6" s="1">
        <f>59.696-56.547</f>
        <v>3.1490000000000009</v>
      </c>
      <c r="W6" s="1">
        <f>72.253-69.113</f>
        <v>3.1400000000000006</v>
      </c>
      <c r="X6" s="1">
        <f>72.263-69.12</f>
        <v>3.1430000000000007</v>
      </c>
      <c r="Y6" s="1">
        <f>72.254-69.125</f>
        <v>3.1290000000000049</v>
      </c>
      <c r="Z6" s="1">
        <f>65.977-62.832</f>
        <v>3.1450000000000031</v>
      </c>
      <c r="AA6">
        <f>65.964-62.832</f>
        <v>3.1319999999999979</v>
      </c>
      <c r="AB6">
        <f>65.969-62.825</f>
        <v>3.1439999999999912</v>
      </c>
      <c r="AC6">
        <f>65.98-62.837</f>
        <v>3.1430000000000007</v>
      </c>
      <c r="AD6">
        <f>65.964-62.837</f>
        <v>3.1269999999999953</v>
      </c>
    </row>
    <row r="7" spans="1:30" x14ac:dyDescent="0.25">
      <c r="A7" s="2">
        <v>2</v>
      </c>
      <c r="B7" s="6">
        <v>60</v>
      </c>
      <c r="C7" s="7">
        <v>5</v>
      </c>
      <c r="D7" s="7">
        <v>1.25</v>
      </c>
      <c r="E7" s="7">
        <v>8.9350000000000005</v>
      </c>
      <c r="F7" s="12">
        <v>15.178000000000001</v>
      </c>
      <c r="G7" s="7" t="s">
        <v>54</v>
      </c>
      <c r="H7" s="13">
        <v>-90</v>
      </c>
      <c r="I7" s="9">
        <f>F7/(L4)</f>
        <v>0.13561547849121827</v>
      </c>
      <c r="J7" s="14">
        <f>-PI()/2*K1</f>
        <v>-90</v>
      </c>
      <c r="K7" s="20"/>
      <c r="L7" s="1" t="s">
        <v>26</v>
      </c>
      <c r="M7" s="1">
        <f>M6+O6</f>
        <v>0.20490195286593663</v>
      </c>
      <c r="N7" s="1" t="s">
        <v>27</v>
      </c>
      <c r="O7" s="1">
        <f>S6-Q6</f>
        <v>4.7058838376365819E-2</v>
      </c>
      <c r="P7" s="1" t="s">
        <v>28</v>
      </c>
      <c r="Q7" s="1">
        <f>SQRT(M7*M7+O7*O7)</f>
        <v>0.21023640159974066</v>
      </c>
      <c r="R7" s="1"/>
      <c r="S7" s="1"/>
      <c r="T7" s="1"/>
      <c r="U7" s="1" t="s">
        <v>53</v>
      </c>
      <c r="V7" s="1">
        <v>0</v>
      </c>
      <c r="W7" s="1">
        <f>69.113-67.543</f>
        <v>1.5699999999999932</v>
      </c>
      <c r="X7" s="1">
        <f>69.12-67.862</f>
        <v>1.2580000000000098</v>
      </c>
      <c r="Y7" s="1">
        <f>69.124-69.35</f>
        <v>-0.22599999999999909</v>
      </c>
      <c r="Z7" s="1">
        <f>62.832-62.603</f>
        <v>0.2289999999999992</v>
      </c>
      <c r="AA7">
        <f>62.832-61.793</f>
        <v>1.0390000000000015</v>
      </c>
      <c r="AB7">
        <f>62.328-62.826</f>
        <v>-0.49799999999999756</v>
      </c>
      <c r="AC7">
        <f>63.062-62.838</f>
        <v>0.22399999999999665</v>
      </c>
      <c r="AD7">
        <f>62.837-62.824</f>
        <v>1.300000000000523E-2</v>
      </c>
    </row>
    <row r="8" spans="1:30" x14ac:dyDescent="0.25">
      <c r="A8" s="2">
        <v>3</v>
      </c>
      <c r="B8" s="6">
        <v>60</v>
      </c>
      <c r="C8" s="7">
        <v>5</v>
      </c>
      <c r="D8" s="7">
        <v>1.25</v>
      </c>
      <c r="E8" s="7">
        <v>8.9350000000000005</v>
      </c>
      <c r="F8" s="7">
        <v>15.21</v>
      </c>
      <c r="G8" s="7" t="s">
        <v>56</v>
      </c>
      <c r="H8" s="13">
        <v>-61.713999999999999</v>
      </c>
      <c r="I8" s="9">
        <f>F8/(SQRT(B8*B8+L4*L4))</f>
        <v>0.11977511532404268</v>
      </c>
      <c r="J8" s="9">
        <f>ATAN(-L4/B9)*K1</f>
        <v>-61.804232417520957</v>
      </c>
      <c r="K8" s="22" t="s">
        <v>29</v>
      </c>
      <c r="L8" s="1" t="s">
        <v>22</v>
      </c>
      <c r="M8" s="1">
        <f>B14/(B11*B13+L4*L4)</f>
        <v>3.7207116803638536E-3</v>
      </c>
      <c r="N8" s="1" t="s">
        <v>23</v>
      </c>
      <c r="O8" s="1">
        <f>C11/(C10*C12+K4*K4)</f>
        <v>0.18823528619926996</v>
      </c>
      <c r="P8" s="1" t="s">
        <v>24</v>
      </c>
      <c r="Q8" s="1">
        <f>L4/(B9*B10+L4*L4)</f>
        <v>6.9403289497689908E-3</v>
      </c>
      <c r="R8" s="1" t="s">
        <v>25</v>
      </c>
      <c r="S8" s="1">
        <f>K4/(C9*C12+K4*K4)</f>
        <v>4.7058838376365819E-2</v>
      </c>
      <c r="T8" s="1"/>
      <c r="U8" s="1" t="s">
        <v>55</v>
      </c>
      <c r="V8" s="1">
        <f t="shared" ref="V8:AD8" si="0">180*(V7/V6)</f>
        <v>0</v>
      </c>
      <c r="W8" s="1">
        <f t="shared" si="0"/>
        <v>89.999999999999588</v>
      </c>
      <c r="X8" s="1">
        <f t="shared" si="0"/>
        <v>72.045816099268762</v>
      </c>
      <c r="Y8" s="1">
        <f t="shared" si="0"/>
        <v>-13.00095877277078</v>
      </c>
      <c r="Z8" s="1">
        <f t="shared" si="0"/>
        <v>13.106518282988812</v>
      </c>
      <c r="AA8" s="1">
        <f t="shared" si="0"/>
        <v>59.712643678161044</v>
      </c>
      <c r="AB8" s="1">
        <f t="shared" si="0"/>
        <v>-28.511450381679328</v>
      </c>
      <c r="AC8" s="1">
        <f t="shared" si="0"/>
        <v>12.828507795100027</v>
      </c>
      <c r="AD8" s="1">
        <f t="shared" si="0"/>
        <v>0.74832107451261431</v>
      </c>
    </row>
    <row r="9" spans="1:30" x14ac:dyDescent="0.25">
      <c r="A9" s="2">
        <v>4</v>
      </c>
      <c r="B9" s="6">
        <v>60</v>
      </c>
      <c r="C9" s="7">
        <v>5</v>
      </c>
      <c r="D9" s="7">
        <v>1.25</v>
      </c>
      <c r="E9" s="7">
        <v>8.9350000000000005</v>
      </c>
      <c r="F9" s="7">
        <v>14.943</v>
      </c>
      <c r="G9" s="7">
        <v>2.9253</v>
      </c>
      <c r="H9" s="13">
        <v>13.000999999999999</v>
      </c>
      <c r="I9" s="9">
        <f>F9/(SQRT(C9*C9+K4*K4))</f>
        <v>2.8993678149513848</v>
      </c>
      <c r="J9" s="9">
        <f>ATAN(K4/C9)*K1</f>
        <v>14.036248288377598</v>
      </c>
      <c r="K9" s="20"/>
      <c r="L9" s="1" t="s">
        <v>26</v>
      </c>
      <c r="M9" s="1">
        <f>M8+O8</f>
        <v>0.19195599787963383</v>
      </c>
      <c r="N9" s="1" t="s">
        <v>27</v>
      </c>
      <c r="O9" s="1">
        <f>S8-Q8</f>
        <v>4.0118509426596831E-2</v>
      </c>
      <c r="P9" s="1" t="s">
        <v>28</v>
      </c>
      <c r="Q9" s="1">
        <f>SQRT(M9*M9+O9*O9)</f>
        <v>0.19610354387562179</v>
      </c>
      <c r="R9" s="1"/>
      <c r="S9" s="1"/>
      <c r="T9" s="1"/>
      <c r="U9" s="1"/>
      <c r="V9" s="1"/>
      <c r="W9" s="1"/>
      <c r="X9" s="1"/>
      <c r="Y9" s="1"/>
      <c r="Z9" s="1"/>
    </row>
    <row r="10" spans="1:30" x14ac:dyDescent="0.25">
      <c r="A10" s="2">
        <v>5</v>
      </c>
      <c r="B10" s="6">
        <v>60</v>
      </c>
      <c r="C10" s="7">
        <v>5</v>
      </c>
      <c r="D10" s="7">
        <v>1.25</v>
      </c>
      <c r="E10" s="7">
        <v>8.9350000000000005</v>
      </c>
      <c r="F10" s="7">
        <v>15.015000000000001</v>
      </c>
      <c r="G10" s="7" t="s">
        <v>57</v>
      </c>
      <c r="H10" s="13">
        <v>0</v>
      </c>
      <c r="I10" s="9">
        <f>F10/(SQRT((B10+C10)*(B10+C10)+K4*K4))</f>
        <v>0.23095729731636519</v>
      </c>
      <c r="J10" s="9">
        <f>ATAN(K4/(B10+C10))*K1</f>
        <v>1.1017065090399123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0" x14ac:dyDescent="0.25">
      <c r="A11" s="2">
        <v>6</v>
      </c>
      <c r="B11" s="6">
        <v>60</v>
      </c>
      <c r="C11" s="7">
        <v>5</v>
      </c>
      <c r="D11" s="7">
        <v>1.25</v>
      </c>
      <c r="E11" s="7">
        <v>8.9350000000000005</v>
      </c>
      <c r="F11" s="7">
        <v>14.943</v>
      </c>
      <c r="G11" s="7" t="s">
        <v>58</v>
      </c>
      <c r="H11" s="13">
        <f>AA8</f>
        <v>59.712643678161044</v>
      </c>
      <c r="I11" s="9">
        <f>F11/(SQRT((B11+C11)*(B11+C11)+(K4-L4)*(K4-L4)))</f>
        <v>0.11642741503082427</v>
      </c>
      <c r="J11" s="9">
        <f>ATAN((K4-L4)/(B11+C11))*$K$1</f>
        <v>-59.572792350145249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0" x14ac:dyDescent="0.25">
      <c r="A12" s="2">
        <v>7</v>
      </c>
      <c r="B12" s="6">
        <v>60</v>
      </c>
      <c r="C12" s="7">
        <v>5</v>
      </c>
      <c r="D12" s="7">
        <v>1.25</v>
      </c>
      <c r="E12" s="7">
        <v>8.9350000000000005</v>
      </c>
      <c r="F12" s="7">
        <v>15.176</v>
      </c>
      <c r="G12" s="7" t="s">
        <v>59</v>
      </c>
      <c r="H12" s="13">
        <f>AB8</f>
        <v>-28.511450381679328</v>
      </c>
      <c r="I12" s="9">
        <f>F12*(SQRT(1/(B12*B12)+1/(L4*L4)))</f>
        <v>0.28698777419589838</v>
      </c>
      <c r="J12" s="9">
        <f>ATAN(B10/-L4)*$K$1</f>
        <v>-28.19576758247905</v>
      </c>
      <c r="K12" s="1"/>
      <c r="L12" s="1"/>
      <c r="M12" s="1">
        <f>1.134/3.307*180</f>
        <v>61.723616570910181</v>
      </c>
      <c r="N12" s="1"/>
      <c r="O12" s="1"/>
      <c r="P12" s="1">
        <f>180*3/48</f>
        <v>11.25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0" x14ac:dyDescent="0.25">
      <c r="A13" s="2">
        <v>8</v>
      </c>
      <c r="B13" s="6">
        <v>60</v>
      </c>
      <c r="C13" s="7">
        <v>5</v>
      </c>
      <c r="D13" s="7">
        <v>1.25</v>
      </c>
      <c r="E13" s="7">
        <v>8.9350000000000005</v>
      </c>
      <c r="F13" s="7">
        <v>15.244</v>
      </c>
      <c r="G13" s="7">
        <v>3.1863999999999999</v>
      </c>
      <c r="H13" s="13">
        <f>AC8</f>
        <v>12.828507795100027</v>
      </c>
      <c r="I13" s="9">
        <f>F13*Q7</f>
        <v>3.2048437059864465</v>
      </c>
      <c r="J13" s="9">
        <f>ATAN(O7/M7)*$K$1</f>
        <v>12.934541779337684</v>
      </c>
      <c r="R13" s="1"/>
      <c r="S13" s="1"/>
      <c r="T13" s="1"/>
      <c r="U13" s="1"/>
      <c r="V13" s="1"/>
      <c r="W13" s="1"/>
      <c r="X13" s="1"/>
      <c r="Y13" s="1"/>
      <c r="Z13" s="1"/>
    </row>
    <row r="14" spans="1:30" x14ac:dyDescent="0.25">
      <c r="A14" s="2">
        <v>9</v>
      </c>
      <c r="B14" s="6">
        <v>60</v>
      </c>
      <c r="C14" s="7">
        <v>5</v>
      </c>
      <c r="D14" s="7">
        <v>1.25</v>
      </c>
      <c r="E14" s="7">
        <v>8.9350000000000005</v>
      </c>
      <c r="F14" s="7">
        <v>14.943</v>
      </c>
      <c r="G14" s="7">
        <v>2.9525000000000001</v>
      </c>
      <c r="H14" s="13">
        <v>11.25</v>
      </c>
      <c r="I14" s="9">
        <f>F14*Q9</f>
        <v>2.9303752561334164</v>
      </c>
      <c r="J14" s="9">
        <f>ATAN(O9/M9)*$K$1</f>
        <v>11.804808221001892</v>
      </c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0" x14ac:dyDescent="0.25">
      <c r="B15" s="12"/>
      <c r="C15" s="12"/>
      <c r="D15" s="12"/>
      <c r="E15" s="12"/>
      <c r="F15" s="12"/>
      <c r="G15" s="12"/>
      <c r="H15" s="15"/>
      <c r="I15" s="16"/>
      <c r="J15" s="16"/>
      <c r="K15" s="1"/>
      <c r="L15" s="1"/>
      <c r="M15" s="1"/>
      <c r="N15" s="1" t="s">
        <v>30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0" x14ac:dyDescent="0.25">
      <c r="A16" s="1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>
        <f>Q22</f>
        <v>16</v>
      </c>
      <c r="O16" s="1"/>
      <c r="P16" s="1" t="s">
        <v>70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9" t="s">
        <v>32</v>
      </c>
      <c r="B17" s="19" t="s">
        <v>65</v>
      </c>
      <c r="C17" s="20"/>
      <c r="D17" s="20"/>
      <c r="E17" s="20"/>
      <c r="F17" s="20"/>
      <c r="G17" s="20"/>
      <c r="H17" s="20"/>
      <c r="I17" s="20"/>
      <c r="J17" s="20"/>
      <c r="K17" s="20"/>
      <c r="L17" s="1"/>
      <c r="M17" s="1" t="s">
        <v>34</v>
      </c>
      <c r="N17" s="1" t="s">
        <v>35</v>
      </c>
      <c r="O17" s="1" t="s">
        <v>36</v>
      </c>
      <c r="P17" s="1">
        <v>11</v>
      </c>
      <c r="Q17" s="1"/>
      <c r="R17" s="1"/>
      <c r="S17" s="1"/>
      <c r="T17" s="1"/>
      <c r="U17" s="1">
        <f>1/SQRT(D6*E6*G1*F1)</f>
        <v>9462.3218300383887</v>
      </c>
      <c r="V17" s="1"/>
      <c r="W17" s="1"/>
      <c r="X17" s="1"/>
      <c r="Y17" s="1"/>
      <c r="Z17" s="1"/>
    </row>
    <row r="18" spans="1:26" x14ac:dyDescent="0.25">
      <c r="A18" s="20"/>
      <c r="B18" s="24" t="s">
        <v>37</v>
      </c>
      <c r="C18" s="20"/>
      <c r="D18" s="20"/>
      <c r="E18" s="20"/>
      <c r="F18" s="20"/>
      <c r="G18" s="21" t="s">
        <v>38</v>
      </c>
      <c r="H18" s="20"/>
      <c r="I18" s="20"/>
      <c r="J18" s="20"/>
      <c r="K18" s="20"/>
      <c r="L18" s="1"/>
      <c r="M18" s="1">
        <f>SQRT(D6/E6)</f>
        <v>0.37403111170567466</v>
      </c>
      <c r="N18" s="1">
        <f>M18/(N16+C10)</f>
        <v>1.7811005319317841E-2</v>
      </c>
      <c r="O18" s="1"/>
      <c r="P18" s="1"/>
      <c r="Q18" s="1"/>
      <c r="R18" s="1"/>
      <c r="S18" s="1"/>
      <c r="T18" s="1"/>
      <c r="U18" s="1">
        <f>U17/(2*PI())</f>
        <v>1505.9752923769588</v>
      </c>
      <c r="V18" s="1"/>
      <c r="W18" s="1"/>
      <c r="X18" s="1"/>
      <c r="Y18" s="1"/>
      <c r="Z18" s="1"/>
    </row>
    <row r="19" spans="1:26" x14ac:dyDescent="0.25">
      <c r="A19" s="20"/>
      <c r="B19" s="24" t="s">
        <v>149</v>
      </c>
      <c r="C19" s="20"/>
      <c r="D19" s="20"/>
      <c r="E19" s="20"/>
      <c r="F19" s="20"/>
      <c r="G19" s="21" t="s">
        <v>40</v>
      </c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0"/>
      <c r="B20" s="17" t="s">
        <v>14</v>
      </c>
      <c r="C20" s="18" t="s">
        <v>13</v>
      </c>
      <c r="D20" s="17" t="s">
        <v>41</v>
      </c>
      <c r="E20" s="17" t="s">
        <v>42</v>
      </c>
      <c r="F20" s="17" t="s">
        <v>43</v>
      </c>
      <c r="G20" s="17" t="s">
        <v>14</v>
      </c>
      <c r="H20" s="18" t="s">
        <v>13</v>
      </c>
      <c r="I20" s="17" t="s">
        <v>44</v>
      </c>
      <c r="J20" s="17" t="s">
        <v>42</v>
      </c>
      <c r="K20" s="18" t="s">
        <v>45</v>
      </c>
      <c r="L20" s="1"/>
      <c r="M20" s="1" t="s">
        <v>85</v>
      </c>
      <c r="N20" s="1"/>
      <c r="O20" s="1"/>
      <c r="P20" s="1"/>
      <c r="Q20" s="1"/>
      <c r="R20" s="1"/>
      <c r="S20" s="1"/>
      <c r="T20" s="1" t="s">
        <v>71</v>
      </c>
      <c r="U20" s="1"/>
      <c r="V20" s="1"/>
      <c r="W20" s="1"/>
      <c r="X20" s="1"/>
      <c r="Y20" s="1"/>
      <c r="Z20" s="1"/>
    </row>
    <row r="21" spans="1:26" x14ac:dyDescent="0.25">
      <c r="A21" s="2" t="s">
        <v>46</v>
      </c>
      <c r="B21" s="17" t="s">
        <v>20</v>
      </c>
      <c r="C21" s="18" t="s">
        <v>19</v>
      </c>
      <c r="D21" s="26" t="s">
        <v>18</v>
      </c>
      <c r="E21" s="20"/>
      <c r="F21" s="20"/>
      <c r="G21" s="17" t="s">
        <v>20</v>
      </c>
      <c r="H21" s="18" t="s">
        <v>19</v>
      </c>
      <c r="I21" s="26" t="s">
        <v>18</v>
      </c>
      <c r="J21" s="20"/>
      <c r="K21" s="20"/>
      <c r="L21" s="1" t="s">
        <v>55</v>
      </c>
      <c r="M21" s="1" t="s">
        <v>60</v>
      </c>
      <c r="N21" s="1" t="s">
        <v>52</v>
      </c>
      <c r="O21" s="1"/>
      <c r="P21" s="1" t="s">
        <v>13</v>
      </c>
      <c r="Q21" s="1" t="s">
        <v>62</v>
      </c>
      <c r="R21" s="1" t="s">
        <v>63</v>
      </c>
      <c r="S21" s="1" t="s">
        <v>64</v>
      </c>
      <c r="T21" s="1" t="s">
        <v>12</v>
      </c>
      <c r="U21" s="1" t="s">
        <v>5</v>
      </c>
      <c r="V21" s="1" t="s">
        <v>6</v>
      </c>
      <c r="W21" s="1" t="s">
        <v>66</v>
      </c>
      <c r="X21" s="1"/>
      <c r="Y21" s="1"/>
      <c r="Z21" s="1"/>
    </row>
    <row r="22" spans="1:26" x14ac:dyDescent="0.25">
      <c r="A22" s="2">
        <f>0.1*$U$18</f>
        <v>150.59752923769588</v>
      </c>
      <c r="B22" s="1">
        <f>ATAN(R22/Q22)*180/PI()</f>
        <v>-82.219303194207868</v>
      </c>
      <c r="C22" s="1">
        <f>P22</f>
        <v>0.12438200811088689</v>
      </c>
      <c r="D22" s="1">
        <f>C22*$P$17</f>
        <v>1.3682020892197557</v>
      </c>
      <c r="E22" s="1">
        <f>C22*W22</f>
        <v>0.63907413703720695</v>
      </c>
      <c r="F22" s="1">
        <f>V22*C22</f>
        <v>14.71178238264571</v>
      </c>
      <c r="G22" s="1">
        <f>L22</f>
        <v>-82.263922518159816</v>
      </c>
      <c r="H22" s="1" t="s">
        <v>61</v>
      </c>
      <c r="I22" s="1" t="s">
        <v>67</v>
      </c>
      <c r="J22" s="1" t="s">
        <v>69</v>
      </c>
      <c r="K22" s="1" t="s">
        <v>68</v>
      </c>
      <c r="L22" s="1">
        <f>-180*M22/N22</f>
        <v>-82.263922518159816</v>
      </c>
      <c r="M22" s="1">
        <v>1.51</v>
      </c>
      <c r="N22" s="1">
        <v>3.3039999999999998</v>
      </c>
      <c r="O22" s="1"/>
      <c r="P22" s="1">
        <f>T22/S22</f>
        <v>0.12438200811088689</v>
      </c>
      <c r="Q22" s="7">
        <f>$P$17+$C$6</f>
        <v>16</v>
      </c>
      <c r="R22" s="1">
        <f>U22-V22</f>
        <v>-117.09623264672506</v>
      </c>
      <c r="S22" s="1">
        <f>SQRT(Q22*Q22+R22*R22)</f>
        <v>118.18429548825833</v>
      </c>
      <c r="T22" s="1">
        <v>14.7</v>
      </c>
      <c r="U22" s="1">
        <f>A22*2*PI()*$D$6*$F$1</f>
        <v>1.1827902287547987</v>
      </c>
      <c r="V22" s="1">
        <f>1/(A22*2*PI()*$E$7*$G$1)</f>
        <v>118.27902287547985</v>
      </c>
      <c r="W22" s="1">
        <f>SQRT($C$6*$C$6+U22*U22)</f>
        <v>5.1379950102387051</v>
      </c>
      <c r="X22" s="1"/>
      <c r="Y22" s="1"/>
      <c r="Z22" s="1"/>
    </row>
    <row r="23" spans="1:26" x14ac:dyDescent="0.25">
      <c r="A23" s="2">
        <f>0.2*U18</f>
        <v>301.19505847539176</v>
      </c>
      <c r="B23" s="1">
        <f>ATAN(R23/Q23)*180/PI()</f>
        <v>-74.261129380485059</v>
      </c>
      <c r="C23" s="1">
        <f>P23</f>
        <v>0.25426624325377567</v>
      </c>
      <c r="D23" s="1">
        <f>C23*$P$17</f>
        <v>2.7969286757915324</v>
      </c>
      <c r="E23" s="1">
        <f>C23*W23</f>
        <v>1.4064387582276259</v>
      </c>
      <c r="F23" s="1">
        <f>V23*C23</f>
        <v>15.037181401137829</v>
      </c>
      <c r="G23" s="1">
        <f>L23</f>
        <v>-73.823884197828718</v>
      </c>
      <c r="H23" s="1" t="s">
        <v>75</v>
      </c>
      <c r="I23" s="1" t="s">
        <v>72</v>
      </c>
      <c r="J23" s="1" t="s">
        <v>74</v>
      </c>
      <c r="K23" s="1" t="s">
        <v>73</v>
      </c>
      <c r="L23" s="1">
        <f>-180*M23/N23</f>
        <v>-73.823884197828718</v>
      </c>
      <c r="M23" s="1">
        <v>0.68</v>
      </c>
      <c r="N23" s="1">
        <v>1.6579999999999999</v>
      </c>
      <c r="O23" s="1"/>
      <c r="P23" s="1">
        <f>T23/S23</f>
        <v>0.25426624325377567</v>
      </c>
      <c r="Q23" s="7">
        <f>$P$17+$C$6</f>
        <v>16</v>
      </c>
      <c r="R23" s="1">
        <f>U23-V23</f>
        <v>-56.773930980230332</v>
      </c>
      <c r="S23" s="1">
        <f>SQRT(Q23*Q23+R23*R23)</f>
        <v>58.985415476607074</v>
      </c>
      <c r="T23" s="1">
        <v>14.997999999999999</v>
      </c>
      <c r="U23" s="1">
        <f>A23*2*PI()*$D$6*$F$1</f>
        <v>2.3655804575095973</v>
      </c>
      <c r="V23" s="1">
        <f>1/(A23*2*PI()*$E$7*$G$1)</f>
        <v>59.139511437739927</v>
      </c>
      <c r="W23" s="1">
        <f>SQRT($C$6*$C$6+U23*U23)</f>
        <v>5.5313624814281805</v>
      </c>
      <c r="X23" s="1"/>
      <c r="Y23" s="1"/>
      <c r="Z23" s="1"/>
    </row>
    <row r="24" spans="1:26" x14ac:dyDescent="0.25">
      <c r="A24" s="2">
        <f>0.3*U18</f>
        <v>451.79258771308764</v>
      </c>
      <c r="B24" s="1">
        <f>ATAN(R24/Q24)*180/PI()</f>
        <v>-65.965226162569124</v>
      </c>
      <c r="C24" s="1">
        <f>P24</f>
        <v>0.38147894718071879</v>
      </c>
      <c r="D24" s="1">
        <f>C24*$P$17</f>
        <v>4.1962684189879065</v>
      </c>
      <c r="E24" s="1">
        <f>C24*W24</f>
        <v>2.338902600119003</v>
      </c>
      <c r="F24" s="1">
        <f>V24*C24</f>
        <v>15.040319040034069</v>
      </c>
      <c r="G24" s="1">
        <f>L24</f>
        <v>-66.702997275204353</v>
      </c>
      <c r="H24" s="1" t="s">
        <v>76</v>
      </c>
      <c r="I24" s="1" t="s">
        <v>77</v>
      </c>
      <c r="J24" s="1" t="s">
        <v>79</v>
      </c>
      <c r="K24" s="1" t="s">
        <v>78</v>
      </c>
      <c r="L24" s="1">
        <f>-180*M24/N24</f>
        <v>-66.702997275204353</v>
      </c>
      <c r="M24" s="1">
        <v>0.40799999999999997</v>
      </c>
      <c r="N24" s="1">
        <v>1.101</v>
      </c>
      <c r="O24" s="1"/>
      <c r="P24" s="1">
        <f>T24/S24</f>
        <v>0.38147894718071879</v>
      </c>
      <c r="Q24" s="7">
        <f>$P$17+$C$6</f>
        <v>16</v>
      </c>
      <c r="R24" s="1">
        <f>U24-V24</f>
        <v>-35.877970272228886</v>
      </c>
      <c r="S24" s="1">
        <f>SQRT(Q24*Q24+R24*R24)</f>
        <v>39.283950295953431</v>
      </c>
      <c r="T24" s="1">
        <v>14.986000000000001</v>
      </c>
      <c r="U24" s="1">
        <f>A24*2*PI()*$D$6*$F$1</f>
        <v>3.5483706862643958</v>
      </c>
      <c r="V24" s="1">
        <f>1/(A24*2*PI()*$E$7*$G$1)</f>
        <v>39.426340958493284</v>
      </c>
      <c r="W24" s="1">
        <f>SQRT($C$6*$C$6+U24*U24)</f>
        <v>6.131144634335457</v>
      </c>
      <c r="X24" s="1"/>
      <c r="Y24" s="1"/>
      <c r="Z24" s="1"/>
    </row>
    <row r="25" spans="1:26" x14ac:dyDescent="0.25">
      <c r="A25" s="2">
        <f>0.4*U18</f>
        <v>602.39011695078352</v>
      </c>
      <c r="B25" s="1">
        <f t="shared" ref="B25:B40" si="1">ATAN(R25/Q25)*180/PI()</f>
        <v>-57.212033001736721</v>
      </c>
      <c r="C25" s="1">
        <f t="shared" ref="C25:C40" si="2">P25</f>
        <v>0.50687363967810439</v>
      </c>
      <c r="D25" s="1">
        <f t="shared" ref="D25:D40" si="3">C25*$P$17</f>
        <v>5.5756100364591479</v>
      </c>
      <c r="E25" s="1">
        <f t="shared" ref="E25:E40" si="4">C25*W25</f>
        <v>3.4891129798368392</v>
      </c>
      <c r="F25" s="1">
        <f t="shared" ref="F25:F40" si="5">V25*C25</f>
        <v>14.988129705616061</v>
      </c>
      <c r="G25" s="1">
        <f t="shared" ref="G25:G41" si="6">L25</f>
        <v>-57.243047158403876</v>
      </c>
      <c r="H25" s="1" t="s">
        <v>83</v>
      </c>
      <c r="I25" s="1" t="s">
        <v>80</v>
      </c>
      <c r="J25" s="1" t="s">
        <v>82</v>
      </c>
      <c r="K25" s="1" t="s">
        <v>81</v>
      </c>
      <c r="L25" s="1">
        <f t="shared" ref="L25:L41" si="7">-180*M25/N25</f>
        <v>-57.243047158403876</v>
      </c>
      <c r="M25" s="1">
        <v>0.26300000000000001</v>
      </c>
      <c r="N25" s="1">
        <v>0.82699999999999996</v>
      </c>
      <c r="O25" s="1"/>
      <c r="P25" s="1">
        <f t="shared" ref="P25:P40" si="8">T25/S25</f>
        <v>0.50687363967810439</v>
      </c>
      <c r="Q25" s="7">
        <f t="shared" ref="Q25:Q40" si="9">$P$17+$C$6</f>
        <v>16</v>
      </c>
      <c r="R25" s="1">
        <f t="shared" ref="R25:R40" si="10">U25-V25</f>
        <v>-24.838594803850768</v>
      </c>
      <c r="S25" s="1">
        <f t="shared" ref="S25:S40" si="11">SQRT(Q25*Q25+R25*R25)</f>
        <v>29.545825285983845</v>
      </c>
      <c r="T25" s="1">
        <v>14.976000000000001</v>
      </c>
      <c r="U25" s="1">
        <f t="shared" ref="U25:U40" si="12">A25*2*PI()*$D$6*$F$1</f>
        <v>4.7311609150191947</v>
      </c>
      <c r="V25" s="1">
        <f t="shared" ref="V25:V40" si="13">1/(A25*2*PI()*$E$7*$G$1)</f>
        <v>29.569755718869963</v>
      </c>
      <c r="W25" s="1">
        <f t="shared" ref="W25:W40" si="14">SQRT($C$6*$C$6+U25*U25)</f>
        <v>6.883595252758929</v>
      </c>
      <c r="X25" s="1"/>
      <c r="Y25" s="1"/>
      <c r="Z25" s="1"/>
    </row>
    <row r="26" spans="1:26" x14ac:dyDescent="0.25">
      <c r="A26" s="2">
        <f>0.5*U18</f>
        <v>752.9876461884794</v>
      </c>
      <c r="B26" s="1">
        <f t="shared" si="1"/>
        <v>-47.955152947748843</v>
      </c>
      <c r="C26" s="1">
        <f t="shared" si="2"/>
        <v>0.62685050886664029</v>
      </c>
      <c r="D26" s="1">
        <f t="shared" si="3"/>
        <v>6.8953555975330429</v>
      </c>
      <c r="E26" s="1">
        <f t="shared" si="4"/>
        <v>4.8545441212394289</v>
      </c>
      <c r="F26" s="1">
        <f t="shared" si="5"/>
        <v>14.828653135548707</v>
      </c>
      <c r="G26" s="1">
        <f t="shared" si="6"/>
        <v>-47.496251874062963</v>
      </c>
      <c r="H26" s="1" t="s">
        <v>84</v>
      </c>
      <c r="I26" s="1" t="s">
        <v>86</v>
      </c>
      <c r="J26" s="1" t="s">
        <v>88</v>
      </c>
      <c r="K26" s="1" t="s">
        <v>87</v>
      </c>
      <c r="L26" s="1">
        <f t="shared" si="7"/>
        <v>-47.496251874062963</v>
      </c>
      <c r="M26" s="1">
        <v>0.17599999999999999</v>
      </c>
      <c r="N26" s="1">
        <v>0.66700000000000004</v>
      </c>
      <c r="O26" s="1"/>
      <c r="P26" s="1">
        <f t="shared" si="8"/>
        <v>0.62685050886664029</v>
      </c>
      <c r="Q26" s="7">
        <f t="shared" si="9"/>
        <v>16</v>
      </c>
      <c r="R26" s="1">
        <f t="shared" si="10"/>
        <v>-17.741853431321978</v>
      </c>
      <c r="S26" s="1">
        <f t="shared" si="11"/>
        <v>23.890863592145667</v>
      </c>
      <c r="T26" s="1">
        <v>14.976000000000001</v>
      </c>
      <c r="U26" s="1">
        <f t="shared" si="12"/>
        <v>5.9139511437739927</v>
      </c>
      <c r="V26" s="1">
        <f t="shared" si="13"/>
        <v>23.655804575095971</v>
      </c>
      <c r="W26" s="1">
        <f t="shared" si="14"/>
        <v>7.7443410391682592</v>
      </c>
      <c r="X26" s="1"/>
      <c r="Y26" s="1"/>
      <c r="Z26" s="1"/>
    </row>
    <row r="27" spans="1:26" x14ac:dyDescent="0.25">
      <c r="A27" s="2">
        <f>0.6*U18</f>
        <v>903.58517542617528</v>
      </c>
      <c r="B27" s="1">
        <f t="shared" si="1"/>
        <v>-38.256726732157674</v>
      </c>
      <c r="C27" s="1">
        <f t="shared" si="2"/>
        <v>0.73528307672387705</v>
      </c>
      <c r="D27" s="1">
        <f t="shared" si="3"/>
        <v>8.0881138439626472</v>
      </c>
      <c r="E27" s="1">
        <f t="shared" si="4"/>
        <v>6.383160817909828</v>
      </c>
      <c r="F27" s="1">
        <f t="shared" si="5"/>
        <v>14.494760641962777</v>
      </c>
      <c r="G27" s="1">
        <f t="shared" si="6"/>
        <v>-37.230215827338128</v>
      </c>
      <c r="H27" s="1" t="s">
        <v>92</v>
      </c>
      <c r="I27" s="1" t="s">
        <v>89</v>
      </c>
      <c r="J27" s="1" t="s">
        <v>91</v>
      </c>
      <c r="K27" s="1" t="s">
        <v>90</v>
      </c>
      <c r="L27" s="1">
        <f t="shared" si="7"/>
        <v>-37.230215827338128</v>
      </c>
      <c r="M27" s="1">
        <v>0.115</v>
      </c>
      <c r="N27" s="1">
        <v>0.55600000000000005</v>
      </c>
      <c r="O27" s="1"/>
      <c r="P27" s="1">
        <f t="shared" si="8"/>
        <v>0.73528307672387705</v>
      </c>
      <c r="Q27" s="7">
        <f t="shared" si="9"/>
        <v>16</v>
      </c>
      <c r="R27" s="1">
        <f t="shared" si="10"/>
        <v>-12.616429106717851</v>
      </c>
      <c r="S27" s="1">
        <f t="shared" si="11"/>
        <v>20.375825956383643</v>
      </c>
      <c r="T27" s="1">
        <v>14.981999999999999</v>
      </c>
      <c r="U27" s="1">
        <f t="shared" si="12"/>
        <v>7.0967413725287916</v>
      </c>
      <c r="V27" s="1">
        <f t="shared" si="13"/>
        <v>19.713170479246642</v>
      </c>
      <c r="W27" s="1">
        <f t="shared" si="14"/>
        <v>8.6812290667025849</v>
      </c>
      <c r="X27" s="1"/>
      <c r="Y27" s="1"/>
      <c r="Z27" s="1"/>
    </row>
    <row r="28" spans="1:26" x14ac:dyDescent="0.25">
      <c r="A28" s="2">
        <f>0.7*U18</f>
        <v>1054.1827046638712</v>
      </c>
      <c r="B28" s="1">
        <f t="shared" si="1"/>
        <v>-28.306549283570543</v>
      </c>
      <c r="C28" s="1">
        <f t="shared" si="2"/>
        <v>0.82429618014568939</v>
      </c>
      <c r="D28" s="1">
        <f t="shared" si="3"/>
        <v>9.0672579816025838</v>
      </c>
      <c r="E28" s="1">
        <f t="shared" si="4"/>
        <v>7.9727230278056407</v>
      </c>
      <c r="F28" s="1">
        <f t="shared" si="5"/>
        <v>13.928135249660381</v>
      </c>
      <c r="G28" s="1">
        <f t="shared" si="6"/>
        <v>-27.983193277310921</v>
      </c>
      <c r="H28" t="s">
        <v>93</v>
      </c>
      <c r="I28" t="s">
        <v>94</v>
      </c>
      <c r="J28" t="s">
        <v>96</v>
      </c>
      <c r="K28" s="1" t="s">
        <v>95</v>
      </c>
      <c r="L28" s="1">
        <f t="shared" si="7"/>
        <v>-27.983193277310921</v>
      </c>
      <c r="M28" s="1">
        <v>7.3999999999999996E-2</v>
      </c>
      <c r="N28" s="1">
        <v>0.47599999999999998</v>
      </c>
      <c r="O28" s="1"/>
      <c r="P28" s="1">
        <f t="shared" si="8"/>
        <v>0.82429618014568939</v>
      </c>
      <c r="Q28" s="7">
        <f t="shared" si="9"/>
        <v>16</v>
      </c>
      <c r="R28" s="1">
        <f t="shared" si="10"/>
        <v>-8.6174716666421034</v>
      </c>
      <c r="S28" s="1">
        <f t="shared" si="11"/>
        <v>18.173079483823855</v>
      </c>
      <c r="T28" s="1">
        <v>14.98</v>
      </c>
      <c r="U28" s="1">
        <f t="shared" si="12"/>
        <v>8.2795316012835904</v>
      </c>
      <c r="V28" s="1">
        <f t="shared" si="13"/>
        <v>16.897003267925694</v>
      </c>
      <c r="W28" s="1">
        <f t="shared" si="14"/>
        <v>9.6721581633394322</v>
      </c>
      <c r="X28" s="1"/>
      <c r="Y28" s="1"/>
      <c r="Z28" s="1"/>
    </row>
    <row r="29" spans="1:26" x14ac:dyDescent="0.25">
      <c r="A29" s="2">
        <f>0.8*U18</f>
        <v>1204.780233901567</v>
      </c>
      <c r="B29" s="1">
        <f t="shared" si="1"/>
        <v>-18.400207767705737</v>
      </c>
      <c r="C29" s="1">
        <f t="shared" si="2"/>
        <v>0.88921435975806562</v>
      </c>
      <c r="D29" s="1">
        <f t="shared" si="3"/>
        <v>9.7813579573387219</v>
      </c>
      <c r="E29" s="1">
        <f t="shared" si="4"/>
        <v>9.5164855106645803</v>
      </c>
      <c r="F29" s="1">
        <f t="shared" si="5"/>
        <v>13.146925699878677</v>
      </c>
      <c r="G29" s="1">
        <f t="shared" si="6"/>
        <v>-18.216867469879521</v>
      </c>
      <c r="H29" t="s">
        <v>100</v>
      </c>
      <c r="I29" t="s">
        <v>97</v>
      </c>
      <c r="J29" t="s">
        <v>99</v>
      </c>
      <c r="K29" s="1" t="s">
        <v>98</v>
      </c>
      <c r="L29" s="1">
        <f t="shared" si="7"/>
        <v>-18.216867469879521</v>
      </c>
      <c r="M29" s="1">
        <v>4.2000000000000003E-2</v>
      </c>
      <c r="N29" s="1">
        <v>0.41499999999999998</v>
      </c>
      <c r="O29" s="1"/>
      <c r="P29" s="1">
        <f t="shared" si="8"/>
        <v>0.88921435975806562</v>
      </c>
      <c r="Q29" s="7">
        <f t="shared" si="9"/>
        <v>16</v>
      </c>
      <c r="R29" s="1">
        <f t="shared" si="10"/>
        <v>-5.3225560293965923</v>
      </c>
      <c r="S29" s="1">
        <f t="shared" si="11"/>
        <v>16.862075871198837</v>
      </c>
      <c r="T29" s="1">
        <v>14.994</v>
      </c>
      <c r="U29" s="1">
        <f t="shared" si="12"/>
        <v>9.4623218300383893</v>
      </c>
      <c r="V29" s="1">
        <f t="shared" si="13"/>
        <v>14.784877859434982</v>
      </c>
      <c r="W29" s="1">
        <f t="shared" si="14"/>
        <v>10.702127564891994</v>
      </c>
      <c r="X29" s="1"/>
      <c r="Y29" s="1"/>
      <c r="Z29" s="1"/>
    </row>
    <row r="30" spans="1:26" x14ac:dyDescent="0.25">
      <c r="A30" s="2">
        <f>0.9*U18</f>
        <v>1355.3777631392629</v>
      </c>
      <c r="B30" s="1">
        <f t="shared" si="1"/>
        <v>-8.8701774931310595</v>
      </c>
      <c r="C30" s="1">
        <f t="shared" si="2"/>
        <v>0.92560846498173255</v>
      </c>
      <c r="D30" s="1">
        <f t="shared" si="3"/>
        <v>10.181693114799058</v>
      </c>
      <c r="E30" s="1">
        <f t="shared" si="4"/>
        <v>10.8859745055176</v>
      </c>
      <c r="F30" s="1">
        <f t="shared" si="5"/>
        <v>12.164451644812459</v>
      </c>
      <c r="G30" s="1">
        <f t="shared" si="6"/>
        <v>-8.337874659400546</v>
      </c>
      <c r="H30" t="s">
        <v>101</v>
      </c>
      <c r="I30" t="s">
        <v>102</v>
      </c>
      <c r="J30" t="s">
        <v>104</v>
      </c>
      <c r="K30" s="1" t="s">
        <v>103</v>
      </c>
      <c r="L30" s="1">
        <f t="shared" si="7"/>
        <v>-8.337874659400546</v>
      </c>
      <c r="M30" s="1">
        <v>1.7000000000000001E-2</v>
      </c>
      <c r="N30" s="1">
        <v>0.36699999999999999</v>
      </c>
      <c r="O30" s="1"/>
      <c r="P30" s="1">
        <f t="shared" si="8"/>
        <v>0.92560846498173255</v>
      </c>
      <c r="Q30" s="7">
        <f t="shared" si="9"/>
        <v>16</v>
      </c>
      <c r="R30" s="1">
        <f t="shared" si="10"/>
        <v>-2.497001594037906</v>
      </c>
      <c r="S30" s="1">
        <f t="shared" si="11"/>
        <v>16.193672127118909</v>
      </c>
      <c r="T30" s="1">
        <v>14.989000000000001</v>
      </c>
      <c r="U30" s="1">
        <f t="shared" si="12"/>
        <v>10.645112058793188</v>
      </c>
      <c r="V30" s="1">
        <f t="shared" si="13"/>
        <v>13.142113652831094</v>
      </c>
      <c r="W30" s="1">
        <f t="shared" si="14"/>
        <v>11.760884777271826</v>
      </c>
      <c r="X30" s="1"/>
      <c r="Y30" s="1"/>
      <c r="Z30" s="1"/>
    </row>
    <row r="31" spans="1:26" x14ac:dyDescent="0.25">
      <c r="A31" s="2">
        <f>1*U18</f>
        <v>1505.9752923769588</v>
      </c>
      <c r="B31" s="1">
        <f t="shared" si="1"/>
        <v>0</v>
      </c>
      <c r="C31" s="1">
        <f t="shared" si="2"/>
        <v>0.93668750000000001</v>
      </c>
      <c r="D31" s="1">
        <f t="shared" si="3"/>
        <v>10.3035625</v>
      </c>
      <c r="E31" s="1">
        <f t="shared" si="4"/>
        <v>12.028295655054624</v>
      </c>
      <c r="F31" s="1">
        <f t="shared" si="5"/>
        <v>11.079048223967604</v>
      </c>
      <c r="G31" s="1">
        <f t="shared" si="6"/>
        <v>0</v>
      </c>
      <c r="H31" t="s">
        <v>108</v>
      </c>
      <c r="I31" t="s">
        <v>105</v>
      </c>
      <c r="J31" t="s">
        <v>107</v>
      </c>
      <c r="K31" t="s">
        <v>106</v>
      </c>
      <c r="L31" s="1">
        <f t="shared" si="7"/>
        <v>0</v>
      </c>
      <c r="M31" s="1">
        <v>0</v>
      </c>
      <c r="N31" s="1">
        <v>0.33</v>
      </c>
      <c r="O31" s="1"/>
      <c r="P31" s="1">
        <f t="shared" si="8"/>
        <v>0.93668750000000001</v>
      </c>
      <c r="Q31" s="7">
        <f t="shared" si="9"/>
        <v>16</v>
      </c>
      <c r="R31" s="1">
        <f t="shared" si="10"/>
        <v>0</v>
      </c>
      <c r="S31" s="1">
        <f t="shared" si="11"/>
        <v>16</v>
      </c>
      <c r="T31" s="1">
        <v>14.987</v>
      </c>
      <c r="U31" s="1">
        <f t="shared" si="12"/>
        <v>11.827902287547985</v>
      </c>
      <c r="V31" s="1">
        <f t="shared" si="13"/>
        <v>11.827902287547985</v>
      </c>
      <c r="W31" s="1">
        <f t="shared" si="14"/>
        <v>12.841311168404216</v>
      </c>
      <c r="X31" s="1"/>
      <c r="Y31" s="1"/>
      <c r="Z31" s="1"/>
    </row>
    <row r="32" spans="1:26" x14ac:dyDescent="0.25">
      <c r="A32" s="2">
        <f>1.1*U18</f>
        <v>1656.5728216146549</v>
      </c>
      <c r="B32" s="1">
        <f t="shared" si="1"/>
        <v>8.0330091244259894</v>
      </c>
      <c r="C32" s="1">
        <f t="shared" si="2"/>
        <v>0.9275583507285482</v>
      </c>
      <c r="D32" s="1">
        <f t="shared" si="3"/>
        <v>10.20314185801403</v>
      </c>
      <c r="E32" s="1">
        <f t="shared" si="4"/>
        <v>12.928650207908291</v>
      </c>
      <c r="F32" s="1">
        <f t="shared" si="5"/>
        <v>9.9736995803785735</v>
      </c>
      <c r="G32" s="1">
        <f t="shared" si="6"/>
        <v>7.7483443708609272</v>
      </c>
      <c r="H32" t="s">
        <v>109</v>
      </c>
      <c r="I32" t="s">
        <v>110</v>
      </c>
      <c r="J32" t="s">
        <v>112</v>
      </c>
      <c r="K32" s="1" t="s">
        <v>111</v>
      </c>
      <c r="L32" s="1">
        <f>180*M32/N32</f>
        <v>7.7483443708609272</v>
      </c>
      <c r="M32" s="1">
        <v>1.2999999999999999E-2</v>
      </c>
      <c r="N32" s="1">
        <v>0.30199999999999999</v>
      </c>
      <c r="O32" s="1"/>
      <c r="P32" s="1">
        <f t="shared" si="8"/>
        <v>0.9275583507285482</v>
      </c>
      <c r="Q32" s="7">
        <f t="shared" si="9"/>
        <v>16</v>
      </c>
      <c r="R32" s="1">
        <f t="shared" si="10"/>
        <v>2.2580540730773464</v>
      </c>
      <c r="S32" s="1">
        <f t="shared" si="11"/>
        <v>16.158552168958121</v>
      </c>
      <c r="T32" s="1">
        <v>14.988</v>
      </c>
      <c r="U32" s="1">
        <f t="shared" si="12"/>
        <v>13.010692516302786</v>
      </c>
      <c r="V32" s="1">
        <f t="shared" si="13"/>
        <v>10.75263844322544</v>
      </c>
      <c r="W32" s="1">
        <f t="shared" si="14"/>
        <v>13.938368618808205</v>
      </c>
      <c r="X32" s="1"/>
      <c r="Y32" s="1"/>
      <c r="Z32" s="1"/>
    </row>
    <row r="33" spans="1:26" x14ac:dyDescent="0.25">
      <c r="A33" s="2">
        <f>1.2*U18</f>
        <v>1807.1703508523506</v>
      </c>
      <c r="B33" s="1">
        <f t="shared" si="1"/>
        <v>15.165958417274899</v>
      </c>
      <c r="C33" s="1">
        <f t="shared" si="2"/>
        <v>0.90394399548110438</v>
      </c>
      <c r="D33" s="1">
        <f t="shared" si="3"/>
        <v>9.9433839502921479</v>
      </c>
      <c r="E33" s="1">
        <f t="shared" si="4"/>
        <v>13.602929138887154</v>
      </c>
      <c r="F33" s="1">
        <f t="shared" si="5"/>
        <v>8.9098010433051833</v>
      </c>
      <c r="G33" s="1">
        <f t="shared" si="6"/>
        <v>15.054545454545453</v>
      </c>
      <c r="H33" t="s">
        <v>115</v>
      </c>
      <c r="I33" t="s">
        <v>113</v>
      </c>
      <c r="J33" t="s">
        <v>114</v>
      </c>
      <c r="K33" s="1" t="s">
        <v>124</v>
      </c>
      <c r="L33" s="1">
        <f t="shared" ref="L33:L41" si="15">180*M33/N33</f>
        <v>15.054545454545453</v>
      </c>
      <c r="M33" s="1">
        <v>2.3E-2</v>
      </c>
      <c r="N33" s="1">
        <v>0.27500000000000002</v>
      </c>
      <c r="O33" s="1"/>
      <c r="P33" s="1">
        <f t="shared" si="8"/>
        <v>0.90394399548110438</v>
      </c>
      <c r="Q33" s="7">
        <f t="shared" si="9"/>
        <v>16</v>
      </c>
      <c r="R33" s="1">
        <f t="shared" si="10"/>
        <v>4.336897505434262</v>
      </c>
      <c r="S33" s="1">
        <f t="shared" si="11"/>
        <v>16.577354432256129</v>
      </c>
      <c r="T33" s="1">
        <v>14.984999999999999</v>
      </c>
      <c r="U33" s="1">
        <f t="shared" si="12"/>
        <v>14.193482745057583</v>
      </c>
      <c r="V33" s="1">
        <f t="shared" si="13"/>
        <v>9.8565852396233211</v>
      </c>
      <c r="W33" s="1">
        <f t="shared" si="14"/>
        <v>15.048420263743544</v>
      </c>
      <c r="X33" s="1"/>
      <c r="Y33" s="1"/>
      <c r="Z33" s="1"/>
    </row>
    <row r="34" spans="1:26" x14ac:dyDescent="0.25">
      <c r="A34" s="2">
        <f>1.3*U18</f>
        <v>1957.7678800900464</v>
      </c>
      <c r="B34" s="1">
        <f t="shared" si="1"/>
        <v>21.423449215326098</v>
      </c>
      <c r="C34" s="1">
        <f t="shared" si="2"/>
        <v>0.87156112282731502</v>
      </c>
      <c r="D34" s="1">
        <f t="shared" si="3"/>
        <v>9.587172351100465</v>
      </c>
      <c r="E34" s="1">
        <f t="shared" si="4"/>
        <v>14.092088780664502</v>
      </c>
      <c r="F34" s="1">
        <f t="shared" si="5"/>
        <v>7.9297998449439167</v>
      </c>
      <c r="G34" s="1">
        <f t="shared" si="6"/>
        <v>21.17647058823529</v>
      </c>
      <c r="H34" t="s">
        <v>116</v>
      </c>
      <c r="I34" t="s">
        <v>117</v>
      </c>
      <c r="J34" t="s">
        <v>118</v>
      </c>
      <c r="K34" s="1" t="s">
        <v>123</v>
      </c>
      <c r="L34" s="1">
        <f t="shared" si="15"/>
        <v>21.17647058823529</v>
      </c>
      <c r="M34" s="1">
        <v>0.03</v>
      </c>
      <c r="N34" s="1">
        <v>0.255</v>
      </c>
      <c r="O34" s="1"/>
      <c r="P34" s="1">
        <f t="shared" si="8"/>
        <v>0.87156112282731502</v>
      </c>
      <c r="Q34" s="7">
        <f t="shared" si="9"/>
        <v>16</v>
      </c>
      <c r="R34" s="1">
        <f t="shared" si="10"/>
        <v>6.2778865987754688</v>
      </c>
      <c r="S34" s="1">
        <f t="shared" si="11"/>
        <v>17.187549567843714</v>
      </c>
      <c r="T34" s="1">
        <v>14.98</v>
      </c>
      <c r="U34" s="1">
        <f t="shared" si="12"/>
        <v>15.376272973812382</v>
      </c>
      <c r="V34" s="1">
        <f t="shared" si="13"/>
        <v>9.0983863750369132</v>
      </c>
      <c r="W34" s="1">
        <f t="shared" si="14"/>
        <v>16.168790015495688</v>
      </c>
      <c r="X34" s="1"/>
      <c r="Y34" s="1"/>
      <c r="Z34" s="1"/>
    </row>
    <row r="35" spans="1:26" x14ac:dyDescent="0.25">
      <c r="A35" s="2">
        <f>1.4*U18</f>
        <v>2108.3654093277423</v>
      </c>
      <c r="B35" s="1">
        <f t="shared" si="1"/>
        <v>26.880910483814525</v>
      </c>
      <c r="C35" s="1">
        <f t="shared" si="2"/>
        <v>0.83491928068260723</v>
      </c>
      <c r="D35" s="1">
        <f t="shared" si="3"/>
        <v>9.1841120875086801</v>
      </c>
      <c r="E35" s="1">
        <f t="shared" si="4"/>
        <v>14.441993762111105</v>
      </c>
      <c r="F35" s="1">
        <f t="shared" si="5"/>
        <v>7.0538169070740917</v>
      </c>
      <c r="G35" s="1">
        <f t="shared" si="6"/>
        <v>27.341772151898734</v>
      </c>
      <c r="H35" t="s">
        <v>121</v>
      </c>
      <c r="I35" t="s">
        <v>119</v>
      </c>
      <c r="J35" t="s">
        <v>120</v>
      </c>
      <c r="K35" s="1" t="s">
        <v>122</v>
      </c>
      <c r="L35" s="1">
        <f t="shared" si="15"/>
        <v>27.341772151898734</v>
      </c>
      <c r="M35" s="1">
        <v>3.5999999999999997E-2</v>
      </c>
      <c r="N35" s="1">
        <v>0.23699999999999999</v>
      </c>
      <c r="O35" s="1"/>
      <c r="P35" s="1">
        <f t="shared" si="8"/>
        <v>0.83491928068260723</v>
      </c>
      <c r="Q35" s="7">
        <f t="shared" si="9"/>
        <v>16</v>
      </c>
      <c r="R35" s="1">
        <f t="shared" si="10"/>
        <v>8.110561568604334</v>
      </c>
      <c r="S35" s="1">
        <f t="shared" si="11"/>
        <v>17.938261034953239</v>
      </c>
      <c r="T35" s="1">
        <v>14.977</v>
      </c>
      <c r="U35" s="1">
        <f t="shared" si="12"/>
        <v>16.559063202567181</v>
      </c>
      <c r="V35" s="1">
        <f t="shared" si="13"/>
        <v>8.4485016339628469</v>
      </c>
      <c r="W35" s="1">
        <f t="shared" si="14"/>
        <v>17.29747305668127</v>
      </c>
      <c r="X35" s="1"/>
      <c r="Y35" s="1"/>
      <c r="Z35" s="1"/>
    </row>
    <row r="36" spans="1:26" x14ac:dyDescent="0.25">
      <c r="A36" s="2">
        <f>1.5*U18</f>
        <v>2258.962938565438</v>
      </c>
      <c r="B36" s="1">
        <f t="shared" si="1"/>
        <v>31.634588526329665</v>
      </c>
      <c r="C36" s="1">
        <f t="shared" si="2"/>
        <v>0.79692018796683572</v>
      </c>
      <c r="D36" s="1">
        <f t="shared" si="3"/>
        <v>8.7661220676351927</v>
      </c>
      <c r="E36" s="1">
        <f t="shared" si="4"/>
        <v>14.689583871537376</v>
      </c>
      <c r="F36" s="1">
        <f t="shared" si="5"/>
        <v>6.2839294094974054</v>
      </c>
      <c r="G36" s="1">
        <f t="shared" si="6"/>
        <v>31.621621621621621</v>
      </c>
      <c r="H36" t="s">
        <v>125</v>
      </c>
      <c r="I36" t="s">
        <v>126</v>
      </c>
      <c r="J36" t="s">
        <v>128</v>
      </c>
      <c r="K36" s="1" t="s">
        <v>127</v>
      </c>
      <c r="L36" s="1">
        <f t="shared" si="15"/>
        <v>31.621621621621621</v>
      </c>
      <c r="M36" s="1">
        <v>3.9E-2</v>
      </c>
      <c r="N36" s="1">
        <v>0.222</v>
      </c>
      <c r="O36" s="1"/>
      <c r="P36" s="1">
        <f t="shared" si="8"/>
        <v>0.79692018796683572</v>
      </c>
      <c r="Q36" s="7">
        <f t="shared" si="9"/>
        <v>16</v>
      </c>
      <c r="R36" s="1">
        <f t="shared" si="10"/>
        <v>9.8565852396233211</v>
      </c>
      <c r="S36" s="1">
        <f t="shared" si="11"/>
        <v>18.792346117128652</v>
      </c>
      <c r="T36" s="1">
        <v>14.976000000000001</v>
      </c>
      <c r="U36" s="1">
        <f t="shared" si="12"/>
        <v>17.741853431321978</v>
      </c>
      <c r="V36" s="1">
        <f t="shared" si="13"/>
        <v>7.8852681916986578</v>
      </c>
      <c r="W36" s="1">
        <f t="shared" si="14"/>
        <v>18.432942336439709</v>
      </c>
      <c r="X36" s="1"/>
      <c r="Y36" s="1"/>
      <c r="Z36" s="1"/>
    </row>
    <row r="37" spans="1:26" x14ac:dyDescent="0.25">
      <c r="A37" s="2">
        <f>1.6*U18</f>
        <v>2409.5604678031341</v>
      </c>
      <c r="B37" s="1">
        <f t="shared" si="1"/>
        <v>35.782660413661532</v>
      </c>
      <c r="C37" s="1">
        <f t="shared" si="2"/>
        <v>0.75916928982199594</v>
      </c>
      <c r="D37" s="1">
        <f t="shared" si="3"/>
        <v>8.3508621880419547</v>
      </c>
      <c r="E37" s="1">
        <f t="shared" si="4"/>
        <v>14.85999251008862</v>
      </c>
      <c r="F37" s="1">
        <f t="shared" si="5"/>
        <v>5.6121126123261034</v>
      </c>
      <c r="G37" s="1">
        <f t="shared" si="6"/>
        <v>35.480769230769234</v>
      </c>
      <c r="H37" t="s">
        <v>132</v>
      </c>
      <c r="I37" t="s">
        <v>129</v>
      </c>
      <c r="J37" t="s">
        <v>131</v>
      </c>
      <c r="K37" s="1" t="s">
        <v>130</v>
      </c>
      <c r="L37" s="1">
        <f t="shared" si="15"/>
        <v>35.480769230769234</v>
      </c>
      <c r="M37" s="1">
        <v>4.1000000000000002E-2</v>
      </c>
      <c r="N37" s="1">
        <v>0.20799999999999999</v>
      </c>
      <c r="O37" s="1"/>
      <c r="P37" s="1">
        <f t="shared" si="8"/>
        <v>0.75916928982199594</v>
      </c>
      <c r="Q37" s="7">
        <f t="shared" si="9"/>
        <v>16</v>
      </c>
      <c r="R37" s="1">
        <f t="shared" si="10"/>
        <v>11.532204730359288</v>
      </c>
      <c r="S37" s="1">
        <f t="shared" si="11"/>
        <v>19.722873673552776</v>
      </c>
      <c r="T37" s="1">
        <v>14.973000000000001</v>
      </c>
      <c r="U37" s="1">
        <f t="shared" si="12"/>
        <v>18.924643660076779</v>
      </c>
      <c r="V37" s="1">
        <f t="shared" si="13"/>
        <v>7.3924389297174908</v>
      </c>
      <c r="W37" s="1">
        <f t="shared" si="14"/>
        <v>19.574016901517282</v>
      </c>
      <c r="X37" s="1"/>
      <c r="Y37" s="1"/>
      <c r="Z37" s="1"/>
    </row>
    <row r="38" spans="1:26" x14ac:dyDescent="0.25">
      <c r="A38" s="2">
        <f>1.7*U18</f>
        <v>2560.1579970408297</v>
      </c>
      <c r="B38" s="1">
        <f t="shared" si="1"/>
        <v>39.415597614860353</v>
      </c>
      <c r="C38" s="1">
        <f t="shared" si="2"/>
        <v>0.72277886886760101</v>
      </c>
      <c r="D38" s="1">
        <f t="shared" si="3"/>
        <v>7.9505675575436108</v>
      </c>
      <c r="E38" s="1">
        <f t="shared" si="4"/>
        <v>14.975812425087796</v>
      </c>
      <c r="F38" s="1">
        <f t="shared" si="5"/>
        <v>5.0287987273355554</v>
      </c>
      <c r="G38" s="1">
        <f t="shared" si="6"/>
        <v>39.489795918367342</v>
      </c>
      <c r="H38" t="s">
        <v>133</v>
      </c>
      <c r="I38" t="s">
        <v>134</v>
      </c>
      <c r="J38" t="s">
        <v>136</v>
      </c>
      <c r="K38" s="1" t="s">
        <v>135</v>
      </c>
      <c r="L38" s="1">
        <f t="shared" si="15"/>
        <v>39.489795918367342</v>
      </c>
      <c r="M38" s="1">
        <v>4.2999999999999997E-2</v>
      </c>
      <c r="N38" s="1">
        <v>0.19600000000000001</v>
      </c>
      <c r="O38" s="1"/>
      <c r="P38" s="1">
        <f t="shared" si="8"/>
        <v>0.72277886886760101</v>
      </c>
      <c r="Q38" s="7">
        <f t="shared" si="9"/>
        <v>16</v>
      </c>
      <c r="R38" s="1">
        <f t="shared" si="10"/>
        <v>13.149844307920995</v>
      </c>
      <c r="S38" s="1">
        <f t="shared" si="11"/>
        <v>20.710345369466008</v>
      </c>
      <c r="T38" s="1">
        <v>14.968999999999999</v>
      </c>
      <c r="U38" s="1">
        <f t="shared" si="12"/>
        <v>20.107433888831576</v>
      </c>
      <c r="V38" s="1">
        <f t="shared" si="13"/>
        <v>6.9575895809105806</v>
      </c>
      <c r="W38" s="1">
        <f t="shared" si="14"/>
        <v>20.719770693560594</v>
      </c>
      <c r="X38" s="1"/>
      <c r="Y38" s="1"/>
      <c r="Z38" s="1"/>
    </row>
    <row r="39" spans="1:26" x14ac:dyDescent="0.25">
      <c r="A39" s="2">
        <f>1.8*U18</f>
        <v>2710.7555262785258</v>
      </c>
      <c r="B39" s="1">
        <f t="shared" si="1"/>
        <v>42.612440937023251</v>
      </c>
      <c r="C39" s="1">
        <f t="shared" si="2"/>
        <v>0.67146246892251449</v>
      </c>
      <c r="D39" s="1">
        <f t="shared" si="3"/>
        <v>7.3860871581476593</v>
      </c>
      <c r="E39" s="1">
        <f t="shared" si="4"/>
        <v>14.684527167263072</v>
      </c>
      <c r="F39" s="1">
        <f t="shared" si="5"/>
        <v>4.4122180400951256</v>
      </c>
      <c r="G39" s="1">
        <f t="shared" si="6"/>
        <v>42.810810810810814</v>
      </c>
      <c r="H39" s="1" t="s">
        <v>140</v>
      </c>
      <c r="I39" s="1" t="s">
        <v>137</v>
      </c>
      <c r="J39" s="1" t="s">
        <v>139</v>
      </c>
      <c r="K39" s="1" t="s">
        <v>138</v>
      </c>
      <c r="L39" s="1">
        <f t="shared" si="15"/>
        <v>42.810810810810814</v>
      </c>
      <c r="M39" s="1">
        <v>4.3999999999999997E-2</v>
      </c>
      <c r="N39" s="1">
        <v>0.185</v>
      </c>
      <c r="O39" s="1"/>
      <c r="P39" s="1">
        <f t="shared" si="8"/>
        <v>0.67146246892251449</v>
      </c>
      <c r="Q39" s="7">
        <f t="shared" si="9"/>
        <v>16</v>
      </c>
      <c r="R39" s="1">
        <f t="shared" si="10"/>
        <v>14.71916729117083</v>
      </c>
      <c r="S39" s="1">
        <f t="shared" si="11"/>
        <v>21.740604539558536</v>
      </c>
      <c r="T39" s="1">
        <v>14.598000000000001</v>
      </c>
      <c r="U39" s="1">
        <f t="shared" si="12"/>
        <v>21.290224117586376</v>
      </c>
      <c r="V39" s="1">
        <f t="shared" si="13"/>
        <v>6.5710568264155471</v>
      </c>
      <c r="W39" s="1">
        <f t="shared" si="14"/>
        <v>21.869468282906574</v>
      </c>
      <c r="X39" s="1"/>
      <c r="Y39" s="1"/>
      <c r="Z39" s="1"/>
    </row>
    <row r="40" spans="1:26" x14ac:dyDescent="0.25">
      <c r="A40" s="2">
        <f>1.9*U18</f>
        <v>2861.3530555162215</v>
      </c>
      <c r="B40" s="1">
        <f t="shared" si="1"/>
        <v>45.440270761131394</v>
      </c>
      <c r="C40" s="1">
        <f t="shared" si="2"/>
        <v>0.65626428548315174</v>
      </c>
      <c r="D40" s="1">
        <f t="shared" si="3"/>
        <v>7.218907140314669</v>
      </c>
      <c r="E40" s="1">
        <f t="shared" si="4"/>
        <v>15.108856877591187</v>
      </c>
      <c r="F40" s="1">
        <f t="shared" si="5"/>
        <v>4.0853841281590606</v>
      </c>
      <c r="G40" s="1">
        <f t="shared" si="6"/>
        <v>45.25714285714286</v>
      </c>
      <c r="H40" s="1" t="s">
        <v>141</v>
      </c>
      <c r="I40" s="1" t="s">
        <v>142</v>
      </c>
      <c r="J40" s="1" t="s">
        <v>144</v>
      </c>
      <c r="K40" s="1" t="s">
        <v>143</v>
      </c>
      <c r="L40" s="1">
        <f t="shared" si="15"/>
        <v>45.25714285714286</v>
      </c>
      <c r="M40" s="1">
        <v>4.3999999999999997E-2</v>
      </c>
      <c r="N40" s="1">
        <v>0.17499999999999999</v>
      </c>
      <c r="O40" s="1"/>
      <c r="P40" s="1">
        <f t="shared" si="8"/>
        <v>0.65626428548315174</v>
      </c>
      <c r="Q40" s="7">
        <f t="shared" si="9"/>
        <v>16</v>
      </c>
      <c r="R40" s="1">
        <f t="shared" si="10"/>
        <v>16.247802616052759</v>
      </c>
      <c r="S40" s="1">
        <f t="shared" si="11"/>
        <v>22.803313133187704</v>
      </c>
      <c r="T40" s="1">
        <v>14.965</v>
      </c>
      <c r="U40" s="1">
        <f t="shared" si="12"/>
        <v>22.473014346341174</v>
      </c>
      <c r="V40" s="1">
        <f t="shared" si="13"/>
        <v>6.2252117302884136</v>
      </c>
      <c r="W40" s="1">
        <f t="shared" si="14"/>
        <v>23.022518841578918</v>
      </c>
      <c r="X40" s="1"/>
      <c r="Y40" s="1"/>
      <c r="Z40" s="1"/>
    </row>
    <row r="41" spans="1:26" x14ac:dyDescent="0.25">
      <c r="A41" s="2">
        <f>2*U18</f>
        <v>3011.9505847539176</v>
      </c>
      <c r="B41" s="1">
        <f>ATAN(R41/Q41)*180/PI()</f>
        <v>47.955152947748843</v>
      </c>
      <c r="C41" s="1">
        <f>P41</f>
        <v>0.62630636779991566</v>
      </c>
      <c r="D41" s="1">
        <f>C41*$P$17</f>
        <v>6.8893700457990725</v>
      </c>
      <c r="E41" s="1">
        <f>C41*W41</f>
        <v>15.143112609631533</v>
      </c>
      <c r="F41" s="1">
        <f>V41*C41</f>
        <v>3.7039452602032461</v>
      </c>
      <c r="G41" s="1">
        <f t="shared" si="6"/>
        <v>47.710843373493972</v>
      </c>
      <c r="H41" s="1" t="s">
        <v>148</v>
      </c>
      <c r="I41" s="1" t="s">
        <v>145</v>
      </c>
      <c r="J41" s="1" t="s">
        <v>147</v>
      </c>
      <c r="K41" s="1" t="s">
        <v>146</v>
      </c>
      <c r="L41" s="1">
        <f t="shared" si="15"/>
        <v>47.710843373493972</v>
      </c>
      <c r="M41" s="1">
        <v>4.3999999999999997E-2</v>
      </c>
      <c r="N41" s="1">
        <v>0.16600000000000001</v>
      </c>
      <c r="O41" s="1"/>
      <c r="P41" s="1">
        <f>T41/S41</f>
        <v>0.62630636779991566</v>
      </c>
      <c r="Q41" s="7">
        <f>$P$17+$C$6</f>
        <v>16</v>
      </c>
      <c r="R41" s="1">
        <f>U41-V41</f>
        <v>17.741853431321978</v>
      </c>
      <c r="S41" s="1">
        <f>SQRT(Q41*Q41+R41*R41)</f>
        <v>23.890863592145667</v>
      </c>
      <c r="T41" s="1">
        <v>14.962999999999999</v>
      </c>
      <c r="U41" s="1">
        <f>A41*2*PI()*$D$6*$F$1</f>
        <v>23.655804575095971</v>
      </c>
      <c r="V41" s="1">
        <f>1/(A41*2*PI()*$E$7*$G$1)</f>
        <v>5.9139511437739927</v>
      </c>
      <c r="W41" s="1">
        <f>SQRT($C$6*$C$6+U41*U41)</f>
        <v>24.178442673074116</v>
      </c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9" t="s">
        <v>32</v>
      </c>
      <c r="B45" s="19" t="s">
        <v>33</v>
      </c>
      <c r="C45" s="20"/>
      <c r="D45" s="20"/>
      <c r="E45" s="20"/>
      <c r="F45" s="20"/>
      <c r="G45" s="20"/>
      <c r="H45" s="20"/>
      <c r="I45" s="2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0"/>
      <c r="B46" s="24" t="s">
        <v>37</v>
      </c>
      <c r="C46" s="20"/>
      <c r="D46" s="20"/>
      <c r="E46" s="20"/>
      <c r="F46" s="21" t="s">
        <v>38</v>
      </c>
      <c r="G46" s="20"/>
      <c r="H46" s="20"/>
      <c r="I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0"/>
      <c r="B47" s="22"/>
      <c r="C47" s="20"/>
      <c r="D47" s="20"/>
      <c r="E47" s="20"/>
      <c r="F47" s="22"/>
      <c r="G47" s="20"/>
      <c r="H47" s="20"/>
      <c r="I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0"/>
      <c r="B48" s="17" t="s">
        <v>14</v>
      </c>
      <c r="C48" s="18" t="s">
        <v>13</v>
      </c>
      <c r="D48" s="17" t="s">
        <v>48</v>
      </c>
      <c r="E48" s="17" t="s">
        <v>49</v>
      </c>
      <c r="F48" s="17" t="s">
        <v>14</v>
      </c>
      <c r="G48" s="18" t="s">
        <v>13</v>
      </c>
      <c r="H48" s="17" t="s">
        <v>48</v>
      </c>
      <c r="I48" s="17" t="s">
        <v>49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50</v>
      </c>
      <c r="B49" s="17" t="s">
        <v>20</v>
      </c>
      <c r="C49" s="26" t="s">
        <v>19</v>
      </c>
      <c r="D49" s="20"/>
      <c r="E49" s="18"/>
      <c r="F49" s="17" t="s">
        <v>20</v>
      </c>
      <c r="G49" s="26" t="s">
        <v>19</v>
      </c>
      <c r="H49" s="20"/>
      <c r="I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>
        <v>0.1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>
        <v>0.2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>
        <v>0.3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>
        <v>0.4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>
        <v>0.5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>
        <v>0.6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>
        <v>0.7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>
        <v>0.8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>
        <v>0.9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>
        <v>1.1000000000000001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>
        <v>1.2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>
        <v>1.3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>
        <v>1.4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>
        <v>1.5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>
        <v>1.6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>
        <v>1.7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>
        <v>1.8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>
        <v>1.9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3">
    <mergeCell ref="D21:F21"/>
    <mergeCell ref="I21:K21"/>
    <mergeCell ref="B17:K17"/>
    <mergeCell ref="A45:A48"/>
    <mergeCell ref="C49:D49"/>
    <mergeCell ref="B47:E47"/>
    <mergeCell ref="B46:E46"/>
    <mergeCell ref="F46:I46"/>
    <mergeCell ref="G49:I49"/>
    <mergeCell ref="F47:I47"/>
    <mergeCell ref="B45:I45"/>
    <mergeCell ref="B18:F18"/>
    <mergeCell ref="B19:F19"/>
    <mergeCell ref="A2:A5"/>
    <mergeCell ref="A17:A20"/>
    <mergeCell ref="G18:K18"/>
    <mergeCell ref="K6:K7"/>
    <mergeCell ref="K8:K9"/>
    <mergeCell ref="G19:K19"/>
    <mergeCell ref="B5:C5"/>
    <mergeCell ref="F2:H3"/>
    <mergeCell ref="I2:J3"/>
    <mergeCell ref="B2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BBD6-5B01-4504-994E-8A70A45C7DEC}">
  <sheetPr>
    <outlinePr summaryBelow="0" summaryRight="0"/>
  </sheetPr>
  <dimension ref="A1:AD1001"/>
  <sheetViews>
    <sheetView workbookViewId="0">
      <selection activeCell="I25" sqref="I25"/>
    </sheetView>
  </sheetViews>
  <sheetFormatPr defaultColWidth="12.6640625" defaultRowHeight="15.75" customHeight="1" x14ac:dyDescent="0.25"/>
  <cols>
    <col min="2" max="2" width="12.44140625" customWidth="1"/>
  </cols>
  <sheetData>
    <row r="1" spans="1:30" x14ac:dyDescent="0.25">
      <c r="A1" s="1" t="s">
        <v>0</v>
      </c>
      <c r="B1" s="1"/>
      <c r="C1" s="1"/>
      <c r="F1" s="1">
        <v>1E-3</v>
      </c>
      <c r="G1" s="1">
        <v>9.9999999999999995E-7</v>
      </c>
      <c r="H1" s="1"/>
      <c r="I1" s="1"/>
      <c r="J1" s="1"/>
      <c r="K1" s="1">
        <f>180/PI()</f>
        <v>57.295779513082323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x14ac:dyDescent="0.25">
      <c r="A2" s="19" t="s">
        <v>1</v>
      </c>
      <c r="B2" s="25" t="s">
        <v>2</v>
      </c>
      <c r="C2" s="20"/>
      <c r="D2" s="20"/>
      <c r="E2" s="20"/>
      <c r="F2" s="24" t="s">
        <v>3</v>
      </c>
      <c r="G2" s="20"/>
      <c r="H2" s="20"/>
      <c r="I2" s="21" t="s">
        <v>4</v>
      </c>
      <c r="J2" s="2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0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1" t="s">
        <v>5</v>
      </c>
      <c r="L3" s="1" t="s">
        <v>6</v>
      </c>
      <c r="M3" s="1" t="s">
        <v>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0" x14ac:dyDescent="0.25">
      <c r="A4" s="20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3" t="s">
        <v>13</v>
      </c>
      <c r="J4" s="4" t="s">
        <v>14</v>
      </c>
      <c r="K4" s="1">
        <f>M4*2*PI()*D7*F1</f>
        <v>1.2500004469552088</v>
      </c>
      <c r="L4" s="1">
        <f>1/(M4*2*PI()*E7*G1)</f>
        <v>111.91937800066712</v>
      </c>
      <c r="M4" s="1">
        <v>159.155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0" x14ac:dyDescent="0.25">
      <c r="A5" s="20"/>
      <c r="B5" s="23" t="s">
        <v>15</v>
      </c>
      <c r="C5" s="20"/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19</v>
      </c>
      <c r="J5" s="5" t="s">
        <v>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0" x14ac:dyDescent="0.25">
      <c r="A6" s="2">
        <v>1</v>
      </c>
      <c r="B6" s="6">
        <v>60</v>
      </c>
      <c r="C6" s="7">
        <v>5</v>
      </c>
      <c r="D6" s="7">
        <v>1.25</v>
      </c>
      <c r="E6" s="7">
        <v>8.9350000000000005</v>
      </c>
      <c r="F6" s="7">
        <v>15.03</v>
      </c>
      <c r="G6" s="6" t="s">
        <v>51</v>
      </c>
      <c r="H6" s="8">
        <v>0</v>
      </c>
      <c r="I6" s="9">
        <f>F6/B6</f>
        <v>0.2505</v>
      </c>
      <c r="J6" s="10">
        <v>0</v>
      </c>
      <c r="K6" s="22" t="s">
        <v>21</v>
      </c>
      <c r="L6" s="1" t="s">
        <v>22</v>
      </c>
      <c r="M6" s="1">
        <f>1/B13</f>
        <v>1.6666666666666666E-2</v>
      </c>
      <c r="N6" s="1" t="s">
        <v>23</v>
      </c>
      <c r="O6" s="11">
        <f>C13/(C13*C13+K4*K4)</f>
        <v>0.18823528619926996</v>
      </c>
      <c r="P6" s="1" t="s">
        <v>24</v>
      </c>
      <c r="Q6" s="1">
        <v>0</v>
      </c>
      <c r="R6" s="1" t="s">
        <v>25</v>
      </c>
      <c r="S6" s="1">
        <f>K4/(C9*C9+K4*K4)</f>
        <v>4.7058838376365819E-2</v>
      </c>
      <c r="T6" s="1"/>
      <c r="U6" s="1" t="s">
        <v>52</v>
      </c>
      <c r="V6" s="1">
        <f>59.696-56.547</f>
        <v>3.1490000000000009</v>
      </c>
      <c r="W6" s="1">
        <f>72.253-69.113</f>
        <v>3.1400000000000006</v>
      </c>
      <c r="X6" s="1">
        <f>72.263-69.12</f>
        <v>3.1430000000000007</v>
      </c>
      <c r="Y6" s="1">
        <f>72.254-69.125</f>
        <v>3.1290000000000049</v>
      </c>
      <c r="Z6" s="1">
        <f>65.977-62.832</f>
        <v>3.1450000000000031</v>
      </c>
      <c r="AA6">
        <f>65.964-62.832</f>
        <v>3.1319999999999979</v>
      </c>
      <c r="AB6">
        <f>65.969-62.825</f>
        <v>3.1439999999999912</v>
      </c>
      <c r="AC6">
        <f>65.98-62.837</f>
        <v>3.1430000000000007</v>
      </c>
      <c r="AD6">
        <f>65.964-62.837</f>
        <v>3.1269999999999953</v>
      </c>
    </row>
    <row r="7" spans="1:30" x14ac:dyDescent="0.25">
      <c r="A7" s="2">
        <v>2</v>
      </c>
      <c r="B7" s="6">
        <v>60</v>
      </c>
      <c r="C7" s="7">
        <v>5</v>
      </c>
      <c r="D7" s="7">
        <v>1.25</v>
      </c>
      <c r="E7" s="7">
        <v>8.9350000000000005</v>
      </c>
      <c r="F7" s="12">
        <v>15.178000000000001</v>
      </c>
      <c r="G7" s="7" t="s">
        <v>54</v>
      </c>
      <c r="H7" s="13">
        <v>-90</v>
      </c>
      <c r="I7" s="9">
        <f>F7/(L4)</f>
        <v>0.13561547849121827</v>
      </c>
      <c r="J7" s="14">
        <f>-PI()/2*K1</f>
        <v>-90</v>
      </c>
      <c r="K7" s="20"/>
      <c r="L7" s="1" t="s">
        <v>26</v>
      </c>
      <c r="M7" s="1">
        <f>M6+O6</f>
        <v>0.20490195286593663</v>
      </c>
      <c r="N7" s="1" t="s">
        <v>27</v>
      </c>
      <c r="O7" s="1">
        <f>S6-Q6</f>
        <v>4.7058838376365819E-2</v>
      </c>
      <c r="P7" s="1" t="s">
        <v>28</v>
      </c>
      <c r="Q7" s="1">
        <f>SQRT(M7*M7+O7*O7)</f>
        <v>0.21023640159974066</v>
      </c>
      <c r="R7" s="1"/>
      <c r="S7" s="1"/>
      <c r="T7" s="1"/>
      <c r="U7" s="1" t="s">
        <v>53</v>
      </c>
      <c r="V7" s="1">
        <v>0</v>
      </c>
      <c r="W7" s="1">
        <f>69.113-67.543</f>
        <v>1.5699999999999932</v>
      </c>
      <c r="X7" s="1">
        <f>69.12-67.862</f>
        <v>1.2580000000000098</v>
      </c>
      <c r="Y7" s="1">
        <f>69.124-69.35</f>
        <v>-0.22599999999999909</v>
      </c>
      <c r="Z7" s="1">
        <f>62.832-62.603</f>
        <v>0.2289999999999992</v>
      </c>
      <c r="AA7">
        <f>62.832-61.793</f>
        <v>1.0390000000000015</v>
      </c>
      <c r="AB7">
        <f>62.328-62.826</f>
        <v>-0.49799999999999756</v>
      </c>
      <c r="AC7">
        <f>63.062-62.838</f>
        <v>0.22399999999999665</v>
      </c>
      <c r="AD7">
        <f>62.837-62.824</f>
        <v>1.300000000000523E-2</v>
      </c>
    </row>
    <row r="8" spans="1:30" x14ac:dyDescent="0.25">
      <c r="A8" s="2">
        <v>3</v>
      </c>
      <c r="B8" s="6">
        <v>60</v>
      </c>
      <c r="C8" s="7">
        <v>5</v>
      </c>
      <c r="D8" s="7">
        <v>1.25</v>
      </c>
      <c r="E8" s="7">
        <v>8.9350000000000005</v>
      </c>
      <c r="F8" s="7">
        <v>15.21</v>
      </c>
      <c r="G8" s="7" t="s">
        <v>56</v>
      </c>
      <c r="H8" s="13">
        <v>-61.713999999999999</v>
      </c>
      <c r="I8" s="9">
        <f>F8/(SQRT(B8*B8+L4*L4))</f>
        <v>0.11977511532404268</v>
      </c>
      <c r="J8" s="9">
        <f>ATAN(-L4/B9)*K1</f>
        <v>-61.804232417520957</v>
      </c>
      <c r="K8" s="22" t="s">
        <v>29</v>
      </c>
      <c r="L8" s="1" t="s">
        <v>22</v>
      </c>
      <c r="M8" s="1">
        <f>B14/(B11*B13+L4*L4)</f>
        <v>3.7207116803638536E-3</v>
      </c>
      <c r="N8" s="1" t="s">
        <v>23</v>
      </c>
      <c r="O8" s="1">
        <f>C11/(C10*C12+K4*K4)</f>
        <v>0.18823528619926996</v>
      </c>
      <c r="P8" s="1" t="s">
        <v>24</v>
      </c>
      <c r="Q8" s="1">
        <f>L4/(B9*B10+L4*L4)</f>
        <v>6.9403289497689908E-3</v>
      </c>
      <c r="R8" s="1" t="s">
        <v>25</v>
      </c>
      <c r="S8" s="1">
        <f>K4/(C9*C12+K4*K4)</f>
        <v>4.7058838376365819E-2</v>
      </c>
      <c r="T8" s="1"/>
      <c r="U8" s="1" t="s">
        <v>55</v>
      </c>
      <c r="V8" s="1">
        <f t="shared" ref="V8:AD8" si="0">180*(V7/V6)</f>
        <v>0</v>
      </c>
      <c r="W8" s="1">
        <f t="shared" si="0"/>
        <v>89.999999999999588</v>
      </c>
      <c r="X8" s="1">
        <f t="shared" si="0"/>
        <v>72.045816099268762</v>
      </c>
      <c r="Y8" s="1">
        <f t="shared" si="0"/>
        <v>-13.00095877277078</v>
      </c>
      <c r="Z8" s="1">
        <f t="shared" si="0"/>
        <v>13.106518282988812</v>
      </c>
      <c r="AA8" s="1">
        <f t="shared" si="0"/>
        <v>59.712643678161044</v>
      </c>
      <c r="AB8" s="1">
        <f t="shared" si="0"/>
        <v>-28.511450381679328</v>
      </c>
      <c r="AC8" s="1">
        <f t="shared" si="0"/>
        <v>12.828507795100027</v>
      </c>
      <c r="AD8" s="1">
        <f t="shared" si="0"/>
        <v>0.74832107451261431</v>
      </c>
    </row>
    <row r="9" spans="1:30" x14ac:dyDescent="0.25">
      <c r="A9" s="2">
        <v>4</v>
      </c>
      <c r="B9" s="6">
        <v>60</v>
      </c>
      <c r="C9" s="7">
        <v>5</v>
      </c>
      <c r="D9" s="7">
        <v>1.25</v>
      </c>
      <c r="E9" s="7">
        <v>8.9350000000000005</v>
      </c>
      <c r="F9" s="7">
        <v>14.943</v>
      </c>
      <c r="G9" s="7">
        <v>2.9253</v>
      </c>
      <c r="H9" s="13">
        <v>13.000999999999999</v>
      </c>
      <c r="I9" s="9">
        <f>F9/(SQRT(C9*C9+K4*K4))</f>
        <v>2.8993678149513848</v>
      </c>
      <c r="J9" s="9">
        <f>ATAN(K4/C9)*K1</f>
        <v>14.036248288377598</v>
      </c>
      <c r="K9" s="20"/>
      <c r="L9" s="1" t="s">
        <v>26</v>
      </c>
      <c r="M9" s="1">
        <f>M8+O8</f>
        <v>0.19195599787963383</v>
      </c>
      <c r="N9" s="1" t="s">
        <v>27</v>
      </c>
      <c r="O9" s="1">
        <f>S8-Q8</f>
        <v>4.0118509426596831E-2</v>
      </c>
      <c r="P9" s="1" t="s">
        <v>28</v>
      </c>
      <c r="Q9" s="1">
        <f>SQRT(M9*M9+O9*O9)</f>
        <v>0.19610354387562179</v>
      </c>
      <c r="R9" s="1"/>
      <c r="S9" s="1"/>
      <c r="T9" s="1"/>
      <c r="U9" s="1"/>
      <c r="V9" s="1"/>
      <c r="W9" s="1"/>
      <c r="X9" s="1"/>
      <c r="Y9" s="1"/>
      <c r="Z9" s="1"/>
    </row>
    <row r="10" spans="1:30" x14ac:dyDescent="0.25">
      <c r="A10" s="2">
        <v>5</v>
      </c>
      <c r="B10" s="6">
        <v>60</v>
      </c>
      <c r="C10" s="7">
        <v>5</v>
      </c>
      <c r="D10" s="7">
        <v>1.25</v>
      </c>
      <c r="E10" s="7">
        <v>8.9350000000000005</v>
      </c>
      <c r="F10" s="7">
        <v>15.015000000000001</v>
      </c>
      <c r="G10" s="7" t="s">
        <v>57</v>
      </c>
      <c r="H10" s="13">
        <v>0</v>
      </c>
      <c r="I10" s="9">
        <f>F10/(SQRT((B10+C10)*(B10+C10)+K4*K4))</f>
        <v>0.23095729731636519</v>
      </c>
      <c r="J10" s="9">
        <f>ATAN(K4/(B10+C10))*K1</f>
        <v>1.1017065090399123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0" x14ac:dyDescent="0.25">
      <c r="A11" s="2">
        <v>6</v>
      </c>
      <c r="B11" s="6">
        <v>60</v>
      </c>
      <c r="C11" s="7">
        <v>5</v>
      </c>
      <c r="D11" s="7">
        <v>1.25</v>
      </c>
      <c r="E11" s="7">
        <v>8.9350000000000005</v>
      </c>
      <c r="F11" s="7">
        <v>14.943</v>
      </c>
      <c r="G11" s="7" t="s">
        <v>58</v>
      </c>
      <c r="H11" s="13">
        <f>AA8</f>
        <v>59.712643678161044</v>
      </c>
      <c r="I11" s="9">
        <f>F11/(SQRT((B11+C11)*(B11+C11)+(K4-L4)*(K4-L4)))</f>
        <v>0.11642741503082427</v>
      </c>
      <c r="J11" s="9">
        <f>ATAN((K4-L4)/(B11+C11))*$K$1</f>
        <v>-59.572792350145249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0" x14ac:dyDescent="0.25">
      <c r="A12" s="2">
        <v>7</v>
      </c>
      <c r="B12" s="6">
        <v>60</v>
      </c>
      <c r="C12" s="7">
        <v>5</v>
      </c>
      <c r="D12" s="7">
        <v>1.25</v>
      </c>
      <c r="E12" s="7">
        <v>8.9350000000000005</v>
      </c>
      <c r="F12" s="7">
        <v>15.176</v>
      </c>
      <c r="G12" s="7" t="s">
        <v>59</v>
      </c>
      <c r="H12" s="13">
        <f>AB8</f>
        <v>-28.511450381679328</v>
      </c>
      <c r="I12" s="9">
        <f>F12*(SQRT(1/(B12*B12)+1/(L4*L4)))</f>
        <v>0.28698777419589838</v>
      </c>
      <c r="J12" s="9">
        <f>ATAN(B10/-L4)*$K$1</f>
        <v>-28.19576758247905</v>
      </c>
      <c r="K12" s="1"/>
      <c r="L12" s="1"/>
      <c r="M12" s="1">
        <f>1.134/3.307*180</f>
        <v>61.723616570910181</v>
      </c>
      <c r="N12" s="1"/>
      <c r="O12" s="1"/>
      <c r="P12" s="1">
        <f>180*3/48</f>
        <v>11.25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0" x14ac:dyDescent="0.25">
      <c r="A13" s="2">
        <v>8</v>
      </c>
      <c r="B13" s="6">
        <v>60</v>
      </c>
      <c r="C13" s="7">
        <v>5</v>
      </c>
      <c r="D13" s="7">
        <v>1.25</v>
      </c>
      <c r="E13" s="7">
        <v>8.9350000000000005</v>
      </c>
      <c r="F13" s="7">
        <v>15.244</v>
      </c>
      <c r="G13" s="7">
        <v>3.1863999999999999</v>
      </c>
      <c r="H13" s="13">
        <f>AC8</f>
        <v>12.828507795100027</v>
      </c>
      <c r="I13" s="9">
        <f>F13*Q7</f>
        <v>3.2048437059864465</v>
      </c>
      <c r="J13" s="9">
        <f>ATAN(O7/M7)*$K$1</f>
        <v>12.934541779337684</v>
      </c>
      <c r="R13" s="1"/>
      <c r="S13" s="1"/>
      <c r="T13" s="1"/>
      <c r="U13" s="1"/>
      <c r="V13" s="1"/>
      <c r="W13" s="1"/>
      <c r="X13" s="1"/>
      <c r="Y13" s="1"/>
      <c r="Z13" s="1"/>
    </row>
    <row r="14" spans="1:30" x14ac:dyDescent="0.25">
      <c r="A14" s="2">
        <v>9</v>
      </c>
      <c r="B14" s="6">
        <v>60</v>
      </c>
      <c r="C14" s="7">
        <v>5</v>
      </c>
      <c r="D14" s="7">
        <v>1.25</v>
      </c>
      <c r="E14" s="7">
        <v>8.9350000000000005</v>
      </c>
      <c r="F14" s="7">
        <v>14.943</v>
      </c>
      <c r="G14" s="7">
        <v>2.9525000000000001</v>
      </c>
      <c r="H14" s="13">
        <v>11.25</v>
      </c>
      <c r="I14" s="9">
        <f>F14*Q9</f>
        <v>2.9303752561334164</v>
      </c>
      <c r="J14" s="9">
        <f>ATAN(O9/M9)*$K$1</f>
        <v>11.804808221001892</v>
      </c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0" x14ac:dyDescent="0.25">
      <c r="B15" s="12"/>
      <c r="C15" s="12"/>
      <c r="D15" s="12"/>
      <c r="E15" s="12"/>
      <c r="F15" s="12"/>
      <c r="G15" s="12"/>
      <c r="H15" s="15"/>
      <c r="I15" s="16"/>
      <c r="J15" s="16"/>
      <c r="K15" s="1"/>
      <c r="L15" s="1"/>
      <c r="M15" s="1"/>
      <c r="N15" s="1" t="s">
        <v>30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0" x14ac:dyDescent="0.25">
      <c r="A16" s="1" t="s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18</v>
      </c>
      <c r="O16" s="1"/>
      <c r="P16" s="1" t="s">
        <v>70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9" t="s">
        <v>32</v>
      </c>
      <c r="B17" s="19" t="s">
        <v>65</v>
      </c>
      <c r="C17" s="20"/>
      <c r="D17" s="20"/>
      <c r="E17" s="20"/>
      <c r="F17" s="20"/>
      <c r="G17" s="20"/>
      <c r="H17" s="20"/>
      <c r="I17" s="20"/>
      <c r="J17" s="20"/>
      <c r="K17" s="20"/>
      <c r="L17" s="1"/>
      <c r="M17" s="1" t="s">
        <v>34</v>
      </c>
      <c r="N17" s="1" t="s">
        <v>35</v>
      </c>
      <c r="O17" s="1" t="s">
        <v>36</v>
      </c>
      <c r="P17" s="1">
        <v>11</v>
      </c>
      <c r="Q17" s="1"/>
      <c r="R17" s="1"/>
      <c r="S17" s="1"/>
      <c r="T17" s="1"/>
      <c r="U17" s="1">
        <f>1/SQRT(D6*E6*G1*F1)</f>
        <v>9462.3218300383887</v>
      </c>
      <c r="V17" s="1"/>
      <c r="W17" s="1"/>
      <c r="X17" s="1"/>
      <c r="Y17" s="1"/>
      <c r="Z17" s="1"/>
    </row>
    <row r="18" spans="1:26" x14ac:dyDescent="0.25">
      <c r="A18" s="20"/>
      <c r="B18" s="24" t="s">
        <v>37</v>
      </c>
      <c r="C18" s="20"/>
      <c r="D18" s="20"/>
      <c r="E18" s="20"/>
      <c r="F18" s="20"/>
      <c r="G18" s="21" t="s">
        <v>38</v>
      </c>
      <c r="H18" s="20"/>
      <c r="I18" s="20"/>
      <c r="J18" s="20"/>
      <c r="K18" s="20"/>
      <c r="L18" s="1"/>
      <c r="M18" s="1">
        <f>SQRT(D6/E6)</f>
        <v>0.37403111170567466</v>
      </c>
      <c r="N18" s="1">
        <f>M18/(N16+C10)</f>
        <v>1.6262222248072812E-2</v>
      </c>
      <c r="O18" s="1"/>
      <c r="P18" s="1"/>
      <c r="Q18" s="1"/>
      <c r="R18" s="1"/>
      <c r="S18" s="1"/>
      <c r="T18" s="1"/>
      <c r="U18" s="1">
        <f>U17/(2*PI())</f>
        <v>1505.9752923769588</v>
      </c>
      <c r="V18" s="1"/>
      <c r="W18" s="1"/>
      <c r="X18" s="1"/>
      <c r="Y18" s="1"/>
      <c r="Z18" s="1"/>
    </row>
    <row r="19" spans="1:26" x14ac:dyDescent="0.25">
      <c r="A19" s="20"/>
      <c r="B19" s="24" t="s">
        <v>39</v>
      </c>
      <c r="C19" s="20"/>
      <c r="D19" s="20"/>
      <c r="E19" s="20"/>
      <c r="F19" s="20"/>
      <c r="G19" s="21" t="s">
        <v>40</v>
      </c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0"/>
      <c r="B20" s="17" t="s">
        <v>14</v>
      </c>
      <c r="C20" s="18" t="s">
        <v>13</v>
      </c>
      <c r="D20" s="17" t="s">
        <v>41</v>
      </c>
      <c r="E20" s="17" t="s">
        <v>42</v>
      </c>
      <c r="F20" s="17" t="s">
        <v>43</v>
      </c>
      <c r="G20" s="17" t="s">
        <v>14</v>
      </c>
      <c r="H20" s="18" t="s">
        <v>13</v>
      </c>
      <c r="I20" s="17" t="s">
        <v>44</v>
      </c>
      <c r="J20" s="17" t="s">
        <v>42</v>
      </c>
      <c r="K20" s="18" t="s">
        <v>45</v>
      </c>
      <c r="L20" s="1"/>
      <c r="M20" s="1"/>
      <c r="N20" s="1"/>
      <c r="O20" s="1"/>
      <c r="P20" s="1"/>
      <c r="Q20" s="1"/>
      <c r="R20" s="1"/>
      <c r="S20" s="1"/>
      <c r="T20" s="1" t="s">
        <v>71</v>
      </c>
      <c r="U20" s="1"/>
      <c r="V20" s="1"/>
      <c r="W20" s="1"/>
      <c r="X20" s="1"/>
      <c r="Y20" s="1"/>
      <c r="Z20" s="1"/>
    </row>
    <row r="21" spans="1:26" x14ac:dyDescent="0.25">
      <c r="A21" s="2" t="s">
        <v>46</v>
      </c>
      <c r="B21" s="17" t="s">
        <v>20</v>
      </c>
      <c r="C21" s="18" t="s">
        <v>19</v>
      </c>
      <c r="D21" s="26" t="s">
        <v>18</v>
      </c>
      <c r="E21" s="20"/>
      <c r="F21" s="20"/>
      <c r="G21" s="17" t="s">
        <v>20</v>
      </c>
      <c r="H21" s="18" t="s">
        <v>19</v>
      </c>
      <c r="I21" s="26" t="s">
        <v>18</v>
      </c>
      <c r="J21" s="20"/>
      <c r="K21" s="20"/>
      <c r="L21" s="1" t="s">
        <v>55</v>
      </c>
      <c r="M21" s="1" t="s">
        <v>60</v>
      </c>
      <c r="N21" s="1" t="s">
        <v>52</v>
      </c>
      <c r="O21" s="1"/>
      <c r="P21" s="1" t="s">
        <v>13</v>
      </c>
      <c r="Q21" s="1" t="s">
        <v>62</v>
      </c>
      <c r="R21" s="1" t="s">
        <v>63</v>
      </c>
      <c r="S21" s="1" t="s">
        <v>64</v>
      </c>
      <c r="T21" s="1" t="s">
        <v>12</v>
      </c>
      <c r="U21" s="1" t="s">
        <v>5</v>
      </c>
      <c r="V21" s="1" t="s">
        <v>6</v>
      </c>
      <c r="W21" s="1" t="s">
        <v>66</v>
      </c>
      <c r="X21" s="1"/>
      <c r="Y21" s="1"/>
      <c r="Z21" s="1"/>
    </row>
    <row r="22" spans="1:26" x14ac:dyDescent="0.25">
      <c r="A22" s="2">
        <f>0.1*$U$18</f>
        <v>150.59752923769588</v>
      </c>
      <c r="B22" s="1">
        <f>ATAN(R22/Q22)*180/PI()</f>
        <v>-82.219303194207868</v>
      </c>
      <c r="C22" s="1">
        <f>P22</f>
        <v>0.12438200811088689</v>
      </c>
      <c r="D22" s="1">
        <f>C22*$P$17</f>
        <v>1.3682020892197557</v>
      </c>
      <c r="E22" s="1">
        <f>C22*W22</f>
        <v>0.63907413703720695</v>
      </c>
      <c r="F22" s="1">
        <f>V22*C22</f>
        <v>14.71178238264571</v>
      </c>
      <c r="G22" s="1">
        <f>L22</f>
        <v>-82.263922518159816</v>
      </c>
      <c r="H22" s="1" t="s">
        <v>61</v>
      </c>
      <c r="I22" s="1" t="s">
        <v>67</v>
      </c>
      <c r="J22" s="1" t="s">
        <v>69</v>
      </c>
      <c r="K22" s="1" t="s">
        <v>68</v>
      </c>
      <c r="L22" s="1">
        <f>-180*M22/N22</f>
        <v>-82.263922518159816</v>
      </c>
      <c r="M22" s="1">
        <v>1.51</v>
      </c>
      <c r="N22" s="1">
        <v>3.3039999999999998</v>
      </c>
      <c r="O22" s="1"/>
      <c r="P22" s="1">
        <f>T22/S22</f>
        <v>0.12438200811088689</v>
      </c>
      <c r="Q22" s="7">
        <f>$P$17+$C$6</f>
        <v>16</v>
      </c>
      <c r="R22" s="1">
        <f>U22-V22</f>
        <v>-117.09623264672506</v>
      </c>
      <c r="S22" s="1">
        <f>SQRT(Q22*Q22+R22*R22)</f>
        <v>118.18429548825833</v>
      </c>
      <c r="T22" s="1">
        <v>14.7</v>
      </c>
      <c r="U22" s="1">
        <f>A22*2*PI()*$D$6*$F$1</f>
        <v>1.1827902287547987</v>
      </c>
      <c r="V22" s="1">
        <f>1/(A22*2*PI()*$E$7*$G$1)</f>
        <v>118.27902287547985</v>
      </c>
      <c r="W22" s="1">
        <f>SQRT($C$6*$C$6+U22*U22)</f>
        <v>5.1379950102387051</v>
      </c>
      <c r="X22" s="1"/>
      <c r="Y22" s="1"/>
      <c r="Z22" s="1"/>
    </row>
    <row r="23" spans="1:26" x14ac:dyDescent="0.25">
      <c r="A23" s="2">
        <f>0.2*U18</f>
        <v>301.19505847539176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>
        <f>0.3*U18</f>
        <v>451.79258771308764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>
        <f>0.4*U18</f>
        <v>602.39011695078352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>
        <f>0.5*U18</f>
        <v>752.9876461884794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>
        <f>0.6*U18</f>
        <v>903.58517542617528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>
        <f>0.7*U18</f>
        <v>1054.1827046638712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>
        <f>0.8*U18</f>
        <v>1204.780233901567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>
        <f>0.9*U18</f>
        <v>1355.3777631392629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>
        <f>1*U18</f>
        <v>1505.9752923769588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>
        <f>1.1*U18</f>
        <v>1656.5728216146549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>
        <f>1.2*U18</f>
        <v>1807.1703508523506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>
        <f>1.3*U18</f>
        <v>1957.7678800900464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>
        <f>1.4*U18</f>
        <v>2108.3654093277423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>
        <f>1.5*U18</f>
        <v>2258.962938565438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>
        <f>1.6*U18</f>
        <v>2409.5604678031341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>
        <f>1.7*U18</f>
        <v>2560.1579970408297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>
        <f>1.8*U18</f>
        <v>2710.7555262785258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>
        <f>1.9*U18</f>
        <v>2861.3530555162215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>
        <f>2*U18</f>
        <v>3011.9505847539176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9" t="s">
        <v>32</v>
      </c>
      <c r="B45" s="19" t="s">
        <v>33</v>
      </c>
      <c r="C45" s="20"/>
      <c r="D45" s="20"/>
      <c r="E45" s="20"/>
      <c r="F45" s="20"/>
      <c r="G45" s="20"/>
      <c r="H45" s="20"/>
      <c r="I45" s="2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0"/>
      <c r="B46" s="24" t="s">
        <v>37</v>
      </c>
      <c r="C46" s="20"/>
      <c r="D46" s="20"/>
      <c r="E46" s="20"/>
      <c r="F46" s="21" t="s">
        <v>38</v>
      </c>
      <c r="G46" s="20"/>
      <c r="H46" s="20"/>
      <c r="I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0"/>
      <c r="B47" s="22"/>
      <c r="C47" s="20"/>
      <c r="D47" s="20"/>
      <c r="E47" s="20"/>
      <c r="F47" s="22"/>
      <c r="G47" s="20"/>
      <c r="H47" s="20"/>
      <c r="I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0"/>
      <c r="B48" s="17" t="s">
        <v>14</v>
      </c>
      <c r="C48" s="18" t="s">
        <v>13</v>
      </c>
      <c r="D48" s="17" t="s">
        <v>48</v>
      </c>
      <c r="E48" s="17" t="s">
        <v>49</v>
      </c>
      <c r="F48" s="17" t="s">
        <v>14</v>
      </c>
      <c r="G48" s="18" t="s">
        <v>13</v>
      </c>
      <c r="H48" s="17" t="s">
        <v>48</v>
      </c>
      <c r="I48" s="17" t="s">
        <v>49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50</v>
      </c>
      <c r="B49" s="17" t="s">
        <v>20</v>
      </c>
      <c r="C49" s="26" t="s">
        <v>19</v>
      </c>
      <c r="D49" s="20"/>
      <c r="E49" s="18"/>
      <c r="F49" s="17" t="s">
        <v>20</v>
      </c>
      <c r="G49" s="26" t="s">
        <v>19</v>
      </c>
      <c r="H49" s="20"/>
      <c r="I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>
        <v>0.1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>
        <v>0.2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>
        <v>0.3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>
        <v>0.4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>
        <v>0.5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>
        <v>0.6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>
        <v>0.7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>
        <v>0.8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>
        <v>0.9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>
        <v>1.1000000000000001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>
        <v>1.2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>
        <v>1.3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>
        <v>1.4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>
        <v>1.5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>
        <v>1.6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>
        <v>1.7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>
        <v>1.8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>
        <v>1.9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3">
    <mergeCell ref="C49:D49"/>
    <mergeCell ref="G49:I49"/>
    <mergeCell ref="D21:F21"/>
    <mergeCell ref="I21:K21"/>
    <mergeCell ref="A45:A48"/>
    <mergeCell ref="B45:I45"/>
    <mergeCell ref="B46:E46"/>
    <mergeCell ref="F46:I46"/>
    <mergeCell ref="B47:E47"/>
    <mergeCell ref="F47:I47"/>
    <mergeCell ref="K8:K9"/>
    <mergeCell ref="A17:A20"/>
    <mergeCell ref="B17:K17"/>
    <mergeCell ref="B18:F18"/>
    <mergeCell ref="G18:K18"/>
    <mergeCell ref="B19:F19"/>
    <mergeCell ref="G19:K19"/>
    <mergeCell ref="A2:A5"/>
    <mergeCell ref="B2:E3"/>
    <mergeCell ref="F2:H3"/>
    <mergeCell ref="I2:J3"/>
    <mergeCell ref="B5:C5"/>
    <mergeCell ref="K6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Акберов</dc:creator>
  <cp:lastModifiedBy>Рустам Акберов</cp:lastModifiedBy>
  <dcterms:created xsi:type="dcterms:W3CDTF">2023-03-15T21:44:35Z</dcterms:created>
  <dcterms:modified xsi:type="dcterms:W3CDTF">2023-03-16T16:22:47Z</dcterms:modified>
</cp:coreProperties>
</file>