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jhojlunddodd/OneDrive - Millfield Enterprises Limited/Oxford/Energy Systems MSc/Michaelmas/Assignments Declared/Sy1/Part 2 (60)/"/>
    </mc:Choice>
  </mc:AlternateContent>
  <xr:revisionPtr revIDLastSave="733" documentId="13_ncr:1_{8608E0ED-7A5D-4846-8167-A5A32BC961F7}" xr6:coauthVersionLast="45" xr6:coauthVersionMax="45" xr10:uidLastSave="{35ED4AB0-EF85-D84F-8863-15E89542F914}"/>
  <bookViews>
    <workbookView xWindow="0" yWindow="0" windowWidth="25600" windowHeight="16000" xr2:uid="{38270FC6-8BBB-6F45-B487-306D586C1D52}"/>
  </bookViews>
  <sheets>
    <sheet name="DMND Flat" sheetId="1" r:id="rId1"/>
    <sheet name="DMND Shop and Lobby" sheetId="5" r:id="rId2"/>
    <sheet name="DMND Single Pump House" sheetId="7" r:id="rId3"/>
    <sheet name="DMND Bus" sheetId="10" r:id="rId4"/>
    <sheet name="TOTDMND E Demands" sheetId="3" r:id="rId5"/>
    <sheet name="TOTDEMAND H2O Demands" sheetId="8" r:id="rId6"/>
    <sheet name="MNFCTR H2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1" l="1"/>
  <c r="D15" i="11"/>
  <c r="W8" i="1"/>
  <c r="K23" i="1"/>
  <c r="H6" i="3"/>
  <c r="I6" i="3" s="1"/>
  <c r="W10" i="3"/>
  <c r="V9" i="3"/>
  <c r="W24" i="1"/>
  <c r="U24" i="1" s="1"/>
  <c r="W28" i="1" s="1"/>
  <c r="U28" i="1" s="1"/>
  <c r="W16" i="1"/>
  <c r="R35" i="1"/>
  <c r="R34" i="1"/>
  <c r="P35" i="1"/>
  <c r="P34" i="1"/>
  <c r="O35" i="1"/>
  <c r="O34" i="1"/>
  <c r="N34" i="1"/>
  <c r="N35" i="1"/>
  <c r="M35" i="1"/>
  <c r="M34" i="1"/>
  <c r="L35" i="1"/>
  <c r="L34" i="1"/>
  <c r="K35" i="1"/>
  <c r="K34" i="1"/>
  <c r="I35" i="1"/>
  <c r="I34" i="1"/>
  <c r="I33" i="1"/>
  <c r="K33" i="1"/>
  <c r="L33" i="1"/>
  <c r="U16" i="1"/>
  <c r="W20" i="1" s="1"/>
  <c r="U20" i="1" s="1"/>
  <c r="S6" i="3"/>
  <c r="D8" i="11"/>
  <c r="M10" i="11"/>
  <c r="M9" i="11" s="1"/>
  <c r="M5" i="11" s="1"/>
  <c r="O10" i="11"/>
  <c r="O9" i="11"/>
  <c r="S24" i="3"/>
  <c r="S7" i="3" l="1"/>
  <c r="U8" i="1"/>
  <c r="W12" i="1" s="1"/>
  <c r="U12" i="1" s="1"/>
  <c r="N6" i="3" s="1"/>
  <c r="N16" i="3" s="1"/>
  <c r="N26" i="3" s="1"/>
  <c r="K17" i="1"/>
  <c r="L6" i="8" l="1"/>
  <c r="K36" i="8"/>
  <c r="K26" i="8"/>
  <c r="K16" i="8"/>
  <c r="K6" i="8"/>
  <c r="J37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6" i="8"/>
  <c r="R40" i="1"/>
  <c r="I64" i="7"/>
  <c r="K64" i="7"/>
  <c r="L64" i="7"/>
  <c r="J64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9" i="7"/>
  <c r="H64" i="7"/>
  <c r="G64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39" i="7"/>
  <c r="P37" i="1"/>
  <c r="P38" i="1" s="1"/>
  <c r="H56" i="5" l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6" i="8"/>
  <c r="H21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6" i="8"/>
  <c r="F46" i="8"/>
  <c r="AW41" i="1"/>
  <c r="AW38" i="1"/>
  <c r="AW37" i="1"/>
  <c r="AZ18" i="1"/>
  <c r="AZ20" i="1" s="1"/>
  <c r="AW14" i="1" s="1"/>
  <c r="AW13" i="1"/>
  <c r="AW12" i="1"/>
  <c r="G78" i="5"/>
  <c r="G68" i="5"/>
  <c r="G69" i="5"/>
  <c r="G70" i="5"/>
  <c r="G71" i="5"/>
  <c r="G67" i="5"/>
  <c r="G57" i="5"/>
  <c r="G58" i="5"/>
  <c r="G59" i="5"/>
  <c r="G60" i="5"/>
  <c r="G73" i="5" s="1"/>
  <c r="G61" i="5"/>
  <c r="G62" i="5"/>
  <c r="G63" i="5"/>
  <c r="G64" i="5"/>
  <c r="G65" i="5"/>
  <c r="G66" i="5"/>
  <c r="G56" i="5"/>
  <c r="G49" i="5"/>
  <c r="G50" i="5"/>
  <c r="G51" i="5"/>
  <c r="G52" i="5"/>
  <c r="G53" i="5"/>
  <c r="G54" i="5"/>
  <c r="G55" i="5"/>
  <c r="G48" i="5"/>
  <c r="G27" i="5"/>
  <c r="G28" i="5"/>
  <c r="G29" i="5"/>
  <c r="G30" i="5"/>
  <c r="G26" i="5"/>
  <c r="G17" i="5"/>
  <c r="G18" i="5"/>
  <c r="G19" i="5"/>
  <c r="G20" i="5"/>
  <c r="G21" i="5"/>
  <c r="G22" i="5"/>
  <c r="G32" i="5" s="1"/>
  <c r="G23" i="5"/>
  <c r="G24" i="5"/>
  <c r="G25" i="5"/>
  <c r="G16" i="5"/>
  <c r="G8" i="5"/>
  <c r="G9" i="5"/>
  <c r="G10" i="5"/>
  <c r="G11" i="5"/>
  <c r="G12" i="5"/>
  <c r="G13" i="5"/>
  <c r="G14" i="5"/>
  <c r="G15" i="5"/>
  <c r="G7" i="5"/>
  <c r="F67" i="5"/>
  <c r="H67" i="5" s="1"/>
  <c r="F68" i="5"/>
  <c r="F69" i="5"/>
  <c r="H69" i="5" s="1"/>
  <c r="F70" i="5"/>
  <c r="H70" i="5" s="1"/>
  <c r="F71" i="5"/>
  <c r="H71" i="5" s="1"/>
  <c r="F66" i="5"/>
  <c r="H66" i="5" s="1"/>
  <c r="F56" i="5"/>
  <c r="F57" i="5"/>
  <c r="H57" i="5" s="1"/>
  <c r="F58" i="5"/>
  <c r="F59" i="5"/>
  <c r="H59" i="5" s="1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55" i="5"/>
  <c r="H55" i="5" s="1"/>
  <c r="F49" i="5"/>
  <c r="F50" i="5"/>
  <c r="H50" i="5" s="1"/>
  <c r="F51" i="5"/>
  <c r="H51" i="5" s="1"/>
  <c r="F52" i="5"/>
  <c r="H52" i="5" s="1"/>
  <c r="F53" i="5"/>
  <c r="F54" i="5"/>
  <c r="H54" i="5" s="1"/>
  <c r="F48" i="5"/>
  <c r="F78" i="5"/>
  <c r="K40" i="1"/>
  <c r="F37" i="5"/>
  <c r="F7" i="5"/>
  <c r="H7" i="5" s="1"/>
  <c r="F8" i="5"/>
  <c r="H8" i="5" s="1"/>
  <c r="F9" i="5"/>
  <c r="F10" i="5"/>
  <c r="H10" i="5" s="1"/>
  <c r="F11" i="5"/>
  <c r="H11" i="5" s="1"/>
  <c r="F12" i="5"/>
  <c r="H12" i="5" s="1"/>
  <c r="F13" i="5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F23" i="5"/>
  <c r="H23" i="5" s="1"/>
  <c r="F24" i="5"/>
  <c r="H24" i="5" s="1"/>
  <c r="F25" i="5"/>
  <c r="H25" i="5" s="1"/>
  <c r="F26" i="5"/>
  <c r="F27" i="5"/>
  <c r="F28" i="5"/>
  <c r="H28" i="5" s="1"/>
  <c r="F29" i="5"/>
  <c r="H29" i="5" s="1"/>
  <c r="F30" i="5"/>
  <c r="H30" i="5" s="1"/>
  <c r="K8" i="1"/>
  <c r="K9" i="1"/>
  <c r="K10" i="1"/>
  <c r="K11" i="1"/>
  <c r="K12" i="1"/>
  <c r="K13" i="1"/>
  <c r="K14" i="1"/>
  <c r="K26" i="1"/>
  <c r="K27" i="1"/>
  <c r="K28" i="1"/>
  <c r="K29" i="1"/>
  <c r="K30" i="1"/>
  <c r="K31" i="1"/>
  <c r="N37" i="1"/>
  <c r="N38" i="1" s="1"/>
  <c r="O26" i="1"/>
  <c r="O27" i="1"/>
  <c r="O28" i="1"/>
  <c r="O29" i="1"/>
  <c r="O30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1" i="1"/>
  <c r="O8" i="1"/>
  <c r="M40" i="1"/>
  <c r="M17" i="1"/>
  <c r="M18" i="1"/>
  <c r="M19" i="1"/>
  <c r="M20" i="1"/>
  <c r="M21" i="1"/>
  <c r="M22" i="1"/>
  <c r="M23" i="1"/>
  <c r="M24" i="1"/>
  <c r="M25" i="1"/>
  <c r="M26" i="1"/>
  <c r="M27" i="1"/>
  <c r="M28" i="1"/>
  <c r="M16" i="1"/>
  <c r="L30" i="1"/>
  <c r="L31" i="1"/>
  <c r="L29" i="1"/>
  <c r="L16" i="1"/>
  <c r="L9" i="1"/>
  <c r="L10" i="1"/>
  <c r="L11" i="1"/>
  <c r="L12" i="1"/>
  <c r="L13" i="1"/>
  <c r="L14" i="1"/>
  <c r="L15" i="1"/>
  <c r="L8" i="1"/>
  <c r="K15" i="1"/>
  <c r="K16" i="1"/>
  <c r="K18" i="1"/>
  <c r="K19" i="1"/>
  <c r="K20" i="1"/>
  <c r="K21" i="1"/>
  <c r="K22" i="1"/>
  <c r="K24" i="1"/>
  <c r="K25" i="1"/>
  <c r="J25" i="1"/>
  <c r="J16" i="1"/>
  <c r="I9" i="1"/>
  <c r="R9" i="1" s="1"/>
  <c r="I10" i="1"/>
  <c r="R10" i="1" s="1"/>
  <c r="I11" i="1"/>
  <c r="I12" i="1"/>
  <c r="I13" i="1"/>
  <c r="R13" i="1" s="1"/>
  <c r="I14" i="1"/>
  <c r="R14" i="1" s="1"/>
  <c r="I15" i="1"/>
  <c r="I16" i="1"/>
  <c r="I17" i="1"/>
  <c r="I18" i="1"/>
  <c r="R18" i="1" s="1"/>
  <c r="I19" i="1"/>
  <c r="R19" i="1" s="1"/>
  <c r="I20" i="1"/>
  <c r="I21" i="1"/>
  <c r="I22" i="1"/>
  <c r="R22" i="1" s="1"/>
  <c r="I23" i="1"/>
  <c r="R23" i="1" s="1"/>
  <c r="I24" i="1"/>
  <c r="I25" i="1"/>
  <c r="I26" i="1"/>
  <c r="R26" i="1" s="1"/>
  <c r="I27" i="1"/>
  <c r="R27" i="1" s="1"/>
  <c r="I28" i="1"/>
  <c r="I29" i="1"/>
  <c r="I30" i="1"/>
  <c r="R30" i="1" s="1"/>
  <c r="I31" i="1"/>
  <c r="R31" i="1" s="1"/>
  <c r="I8" i="1"/>
  <c r="R8" i="1" s="1"/>
  <c r="F9" i="1"/>
  <c r="F10" i="1"/>
  <c r="F11" i="1"/>
  <c r="F8" i="1"/>
  <c r="H58" i="5" l="1"/>
  <c r="F73" i="5"/>
  <c r="H73" i="5" s="1"/>
  <c r="H27" i="5"/>
  <c r="F75" i="5"/>
  <c r="F76" i="5" s="1"/>
  <c r="G75" i="5"/>
  <c r="G76" i="5" s="1"/>
  <c r="H48" i="5"/>
  <c r="H26" i="5"/>
  <c r="H22" i="5"/>
  <c r="F32" i="5"/>
  <c r="H32" i="5" s="1"/>
  <c r="M7" i="5" s="1"/>
  <c r="K7" i="5" s="1"/>
  <c r="N36" i="3" s="1"/>
  <c r="O6" i="3" s="1"/>
  <c r="S22" i="3" s="1"/>
  <c r="H13" i="5"/>
  <c r="H34" i="5" s="1"/>
  <c r="H9" i="5"/>
  <c r="H53" i="5"/>
  <c r="H49" i="5"/>
  <c r="H75" i="5" s="1"/>
  <c r="H68" i="5"/>
  <c r="G34" i="5"/>
  <c r="G35" i="5" s="1"/>
  <c r="R17" i="1"/>
  <c r="R25" i="1"/>
  <c r="R28" i="1"/>
  <c r="R24" i="1"/>
  <c r="R20" i="1"/>
  <c r="R16" i="1"/>
  <c r="R12" i="1"/>
  <c r="J37" i="1"/>
  <c r="J38" i="1" s="1"/>
  <c r="R29" i="1"/>
  <c r="R21" i="1"/>
  <c r="R15" i="1"/>
  <c r="R11" i="1"/>
  <c r="O37" i="1"/>
  <c r="M37" i="1"/>
  <c r="M38" i="1" s="1"/>
  <c r="F34" i="5"/>
  <c r="F35" i="5" s="1"/>
  <c r="AW39" i="1"/>
  <c r="L37" i="1"/>
  <c r="L38" i="1" s="1"/>
  <c r="I37" i="1"/>
  <c r="BD12" i="1"/>
  <c r="F13" i="1"/>
  <c r="K37" i="1"/>
  <c r="K38" i="1" s="1"/>
  <c r="O38" i="1"/>
  <c r="R37" i="1" l="1"/>
  <c r="R38" i="1" s="1"/>
  <c r="H37" i="3"/>
  <c r="H76" i="5"/>
  <c r="H35" i="5"/>
  <c r="H36" i="3"/>
  <c r="H20" i="3"/>
  <c r="I36" i="3" l="1"/>
  <c r="J6" i="3" s="1"/>
  <c r="H9" i="3"/>
  <c r="H25" i="3"/>
  <c r="H21" i="3"/>
  <c r="H34" i="3"/>
  <c r="H18" i="3"/>
  <c r="H12" i="3"/>
  <c r="H8" i="3"/>
  <c r="H35" i="3"/>
  <c r="H19" i="3"/>
  <c r="H15" i="3"/>
  <c r="H27" i="3"/>
  <c r="H24" i="3"/>
  <c r="H31" i="3"/>
  <c r="H28" i="3"/>
  <c r="H17" i="3"/>
  <c r="H16" i="3"/>
  <c r="H30" i="3"/>
  <c r="H22" i="3"/>
  <c r="H14" i="3"/>
  <c r="H7" i="3"/>
  <c r="H10" i="3"/>
  <c r="H32" i="3"/>
  <c r="H29" i="3"/>
  <c r="H11" i="3"/>
  <c r="H13" i="3"/>
  <c r="H33" i="3"/>
  <c r="H26" i="3"/>
  <c r="H23" i="3"/>
  <c r="I26" i="3" l="1"/>
  <c r="I16" i="3"/>
  <c r="S13" i="3" l="1"/>
  <c r="S14" i="3" s="1"/>
  <c r="K6" i="3" l="1"/>
  <c r="S16" i="3"/>
  <c r="L6" i="3" s="1"/>
  <c r="D12" i="11" s="1"/>
  <c r="D16" i="11" s="1"/>
  <c r="D17" i="11" s="1"/>
  <c r="S15" i="3"/>
  <c r="D11" i="11" s="1"/>
  <c r="H6" i="11" l="1"/>
  <c r="H7" i="11" s="1"/>
  <c r="H10" i="11"/>
  <c r="H15" i="11" s="1"/>
  <c r="D21" i="11"/>
</calcChain>
</file>

<file path=xl/sharedStrings.xml><?xml version="1.0" encoding="utf-8"?>
<sst xmlns="http://schemas.openxmlformats.org/spreadsheetml/2006/main" count="453" uniqueCount="287">
  <si>
    <t>Demand Design</t>
  </si>
  <si>
    <t>Single Flat</t>
  </si>
  <si>
    <t>Fridge</t>
  </si>
  <si>
    <t>Electric Shower</t>
  </si>
  <si>
    <t>Air Conditioner</t>
  </si>
  <si>
    <t>Rooms</t>
  </si>
  <si>
    <t>Sitting+Dining Room</t>
  </si>
  <si>
    <t>Bedroom 1</t>
  </si>
  <si>
    <t>Bedroom 2</t>
  </si>
  <si>
    <t>Bathroom</t>
  </si>
  <si>
    <t>Size (m^2)</t>
  </si>
  <si>
    <t>Total</t>
  </si>
  <si>
    <t>Buildings</t>
  </si>
  <si>
    <t>Floors</t>
  </si>
  <si>
    <t>Nr of Single Flats</t>
  </si>
  <si>
    <t>Lights</t>
  </si>
  <si>
    <t>Charging of Devices</t>
  </si>
  <si>
    <t>https://www.harveynorman.com.au/chiq-216l-top-mount-fridge-white.html</t>
  </si>
  <si>
    <t>Annum</t>
  </si>
  <si>
    <t>(kWh)</t>
  </si>
  <si>
    <t>https://www.victorianplumbing.co.uk/triton-safeguard-pumped-care-shower-9-5-kw-electric-shower-csgpe09wc</t>
  </si>
  <si>
    <t>https://www.bbc.com/news/science-environment-15836433</t>
  </si>
  <si>
    <t>Capital £</t>
  </si>
  <si>
    <t>https://www.appliancesonline.com.au/public/manuals/KWH26CRE-Kelvinator-Specifications-Sheet.pdf</t>
  </si>
  <si>
    <t>https://www.appliancesonline.com.au/product/kelvinator-6kw-window-box-reverse-cycle-air-conditioner-kwh62hre</t>
  </si>
  <si>
    <t>https://www.appliancesonline.com.au/product/kelvinator-39kw-window-box-air-conditioner-kwh39cre</t>
  </si>
  <si>
    <t>https://www.bbc.co.uk/news/magazine-12606943</t>
  </si>
  <si>
    <t>19oC</t>
  </si>
  <si>
    <t>1 unit 6kW</t>
  </si>
  <si>
    <t>Assuming people</t>
  </si>
  <si>
    <t>bring laptop and a</t>
  </si>
  <si>
    <t>phone each</t>
  </si>
  <si>
    <t>People</t>
  </si>
  <si>
    <t>4 phones</t>
  </si>
  <si>
    <t>4 laptops</t>
  </si>
  <si>
    <t>https://www.apple.com/at/shop/product/MRW22ZM/A/61w-usb%E2%80%91c-power-adapter?fnode=2a64f71e05232b77c8186d4b517bc9ef2b7b912a102433afa05c3213724d2f90454bee06c48ef2d5a94012bb2a7768c2996ccd8d4893dbc48a94a8a6cbb41c6585ae511d1c581cf64610cf1b7c6d41b3f5c1a789a458c120c9d3662bff742611</t>
  </si>
  <si>
    <t>https://www.apple.com/at/shop/product/MU7V2ZM/A/18w-usb%E2%80%91c-power-adapter?fnode=97</t>
  </si>
  <si>
    <t>61 W</t>
  </si>
  <si>
    <t>18 W</t>
  </si>
  <si>
    <t>in dining room</t>
  </si>
  <si>
    <t>WCS they are</t>
  </si>
  <si>
    <t>on when we</t>
  </si>
  <si>
    <t>are on</t>
  </si>
  <si>
    <t>Oven</t>
  </si>
  <si>
    <t>n/a</t>
  </si>
  <si>
    <t>20 overall</t>
  </si>
  <si>
    <t>Assuming 10</t>
  </si>
  <si>
    <t>And 4 in rooms</t>
  </si>
  <si>
    <t>And 2 in bathroom</t>
  </si>
  <si>
    <t>https://www.homebase.co.uk/luceco-lock-ring-gu10-ip20-fixed-downlight-chrome_p477892</t>
  </si>
  <si>
    <t>2 kW</t>
  </si>
  <si>
    <t>one oven</t>
  </si>
  <si>
    <t>used for</t>
  </si>
  <si>
    <t>dinner</t>
  </si>
  <si>
    <t>for an hour</t>
  </si>
  <si>
    <t>TV</t>
  </si>
  <si>
    <t>Shop</t>
  </si>
  <si>
    <t>Shop + Hotel Lobby</t>
  </si>
  <si>
    <t>Lobby</t>
  </si>
  <si>
    <t>Building 1</t>
  </si>
  <si>
    <t>Building 2</t>
  </si>
  <si>
    <t>Building 3</t>
  </si>
  <si>
    <t>Time</t>
  </si>
  <si>
    <t>(hrs)</t>
  </si>
  <si>
    <t>https://www.johnlewis.com/toshiba-24wl3a63db-2019-led-hd-ready-720p-smart-tv-24-inch-with-freeview-hd-freeview-play-black/p4269742</t>
  </si>
  <si>
    <t>https://www.homebase.co.uk/cda-sk210ss-built-in-single-fan-electric-oven-stainless-steel_p288772</t>
  </si>
  <si>
    <t>Max Occupancy</t>
  </si>
  <si>
    <t>Day</t>
  </si>
  <si>
    <t>KWh required per</t>
  </si>
  <si>
    <t>Daily E Requirement</t>
  </si>
  <si>
    <t>Total Daily E</t>
  </si>
  <si>
    <t>(#)</t>
  </si>
  <si>
    <t>(MWh)</t>
  </si>
  <si>
    <t>https://www.calculator.net/btu-calculator.html?roomsize1=100&amp;roomwidthunit=meters&amp;ceilingheight1=3&amp;ceilingheight1unit=meters&amp;people1=4&amp;roomtype1=house&amp;insulation1=normal&amp;sunexposure1=sunny&amp;climate1=hot&amp;ctype=room&amp;x=103&amp;y=24</t>
  </si>
  <si>
    <t>Lobby/Shop</t>
  </si>
  <si>
    <t>Room</t>
  </si>
  <si>
    <t>Fridges</t>
  </si>
  <si>
    <t>300m^2</t>
  </si>
  <si>
    <t>200m^2</t>
  </si>
  <si>
    <t>50000 BTU hr-1</t>
  </si>
  <si>
    <t>40 fridges</t>
  </si>
  <si>
    <t>2 units 3.9kW</t>
  </si>
  <si>
    <t>8 air con units</t>
  </si>
  <si>
    <t>required</t>
  </si>
  <si>
    <t>E (kwh) per</t>
  </si>
  <si>
    <t>Shop (1)</t>
  </si>
  <si>
    <t>Lobby (2)</t>
  </si>
  <si>
    <t>E needed per</t>
  </si>
  <si>
    <t>1 customer PC</t>
  </si>
  <si>
    <t>for till function</t>
  </si>
  <si>
    <t>Desktop</t>
  </si>
  <si>
    <t>5 customer PC</t>
  </si>
  <si>
    <t>https://www.apple.com/at/imac/specs/</t>
  </si>
  <si>
    <t>https://www.geekhampton.com/gh-blog/2017/6/21/sleep-your-mac-more-to-save-time-and-power</t>
  </si>
  <si>
    <t>Active 200W</t>
  </si>
  <si>
    <t>Idle 60W</t>
  </si>
  <si>
    <t>Full use during working hours</t>
  </si>
  <si>
    <t>Reduced use outside</t>
  </si>
  <si>
    <t>https://www.apple.com/at/shop/buy-mac/imac</t>
  </si>
  <si>
    <t>Pump House</t>
  </si>
  <si>
    <t>Stairwell</t>
  </si>
  <si>
    <t>Balconies</t>
  </si>
  <si>
    <t>Balc</t>
  </si>
  <si>
    <t>Flat1</t>
  </si>
  <si>
    <t>Flat2</t>
  </si>
  <si>
    <t>Total length</t>
  </si>
  <si>
    <t>Total width</t>
  </si>
  <si>
    <t>Total height</t>
  </si>
  <si>
    <t>height of ceilings in building</t>
  </si>
  <si>
    <t>m</t>
  </si>
  <si>
    <t>thickness of floors</t>
  </si>
  <si>
    <t>height from floor to next</t>
  </si>
  <si>
    <t>floors</t>
  </si>
  <si>
    <t>Height of building</t>
  </si>
  <si>
    <t>Where floor 1 = ground</t>
  </si>
  <si>
    <t>Total area</t>
  </si>
  <si>
    <t>Building Design Schemes:</t>
  </si>
  <si>
    <t>High Rise Buildings:</t>
  </si>
  <si>
    <t>m^2</t>
  </si>
  <si>
    <t>8 mins pp</t>
  </si>
  <si>
    <t>per shower</t>
  </si>
  <si>
    <t>62litres H2O</t>
  </si>
  <si>
    <t>Total Daily Water</t>
  </si>
  <si>
    <t>(m^3)</t>
  </si>
  <si>
    <t>WCS all flats of 4 people take two showers a day due to the hot climate, giving a requirement for 8 showers each lasting roughly 8 minutes and using 62litres of water.</t>
  </si>
  <si>
    <t>litres to m3</t>
  </si>
  <si>
    <t>litre</t>
  </si>
  <si>
    <t>m3</t>
  </si>
  <si>
    <t>dm3</t>
  </si>
  <si>
    <t>Dishwasher</t>
  </si>
  <si>
    <t>per year</t>
  </si>
  <si>
    <t>11L H2O</t>
  </si>
  <si>
    <t>per cycle</t>
  </si>
  <si>
    <t>1.04 kWh</t>
  </si>
  <si>
    <t>Daily Shower Water Requirement</t>
  </si>
  <si>
    <t>Daily Dishwasher requirements</t>
  </si>
  <si>
    <t>Pumphouse</t>
  </si>
  <si>
    <t>https://www.homebase.co.uk/indesit-ecotime-dif-04b1-integrated-dishwasher-white_p191138</t>
  </si>
  <si>
    <t>it is at this time a desalinator and pump system must refill the various water storage tanks.</t>
  </si>
  <si>
    <t xml:space="preserve">From 2300-0600, no water is being used in the resort, </t>
  </si>
  <si>
    <t>Tanks:</t>
  </si>
  <si>
    <t>Hydrogen Manufacture Plant</t>
  </si>
  <si>
    <t>H2 Station</t>
  </si>
  <si>
    <t>Two solar powered desalinators would provide enough H2O for hotel needs</t>
  </si>
  <si>
    <t>https://solarwatersolutions.fi/en/shop/solaro-pro-3500-sw/</t>
  </si>
  <si>
    <t>Specs</t>
  </si>
  <si>
    <t>m3 hr-1</t>
  </si>
  <si>
    <t>from Atlantic source</t>
  </si>
  <si>
    <t>15kW motor</t>
  </si>
  <si>
    <t>Pump Room (1)</t>
  </si>
  <si>
    <t>Desalination Systems (2)</t>
  </si>
  <si>
    <t>Pump 1</t>
  </si>
  <si>
    <t>Pump 2</t>
  </si>
  <si>
    <t>Pump 3</t>
  </si>
  <si>
    <t>Pump 4</t>
  </si>
  <si>
    <t>Pump 5</t>
  </si>
  <si>
    <t>Desal to Tank2</t>
  </si>
  <si>
    <t>Desal to Tank3</t>
  </si>
  <si>
    <t>Desal to Tank4</t>
  </si>
  <si>
    <t>Desal to Tank5</t>
  </si>
  <si>
    <t>Tank1</t>
  </si>
  <si>
    <t>Salty water tank</t>
  </si>
  <si>
    <t>Tank2</t>
  </si>
  <si>
    <t>Building 1 water tank</t>
  </si>
  <si>
    <t>Tank3</t>
  </si>
  <si>
    <t>Building 2 water tank</t>
  </si>
  <si>
    <t>Tank4</t>
  </si>
  <si>
    <t>Building 3 water tank</t>
  </si>
  <si>
    <t>Tank5</t>
  </si>
  <si>
    <t>Hydrogen Manufacture tank</t>
  </si>
  <si>
    <t>Desalinator 1</t>
  </si>
  <si>
    <t>Desalinator 2</t>
  </si>
  <si>
    <t>Desalinator 3</t>
  </si>
  <si>
    <t>Total per</t>
  </si>
  <si>
    <t>day</t>
  </si>
  <si>
    <t>m3 minute max input</t>
  </si>
  <si>
    <t>Salt water in</t>
  </si>
  <si>
    <t>Potable Water Out</t>
  </si>
  <si>
    <t>Estimated Brine Out</t>
  </si>
  <si>
    <t>Sea to Desal</t>
  </si>
  <si>
    <t>http://www.mcnallyinstitute.com/06-html/6-01.html</t>
  </si>
  <si>
    <t>Assuming a pumping efficiency of 65%</t>
  </si>
  <si>
    <t>Daily Toilet Requirement</t>
  </si>
  <si>
    <t>Toilet</t>
  </si>
  <si>
    <t>https://www.home-water-works.org/indoor-use/toilets</t>
  </si>
  <si>
    <t>No power</t>
  </si>
  <si>
    <t>use</t>
  </si>
  <si>
    <t>1 cycle a day</t>
  </si>
  <si>
    <t>8 cycles a day</t>
  </si>
  <si>
    <t>5 litres a cycle</t>
  </si>
  <si>
    <t>Guesstimate of 30 uses of toilet facilities in lobby</t>
  </si>
  <si>
    <t>Max Demand</t>
  </si>
  <si>
    <t>Demand Factor</t>
  </si>
  <si>
    <t>Total Connected Load</t>
  </si>
  <si>
    <t>(kW)</t>
  </si>
  <si>
    <t>Load</t>
  </si>
  <si>
    <t>Residential</t>
  </si>
  <si>
    <t>Max Demand of Building</t>
  </si>
  <si>
    <t>Diversity Factor</t>
  </si>
  <si>
    <t>Sum of max demands</t>
  </si>
  <si>
    <t>50 to above apartments</t>
  </si>
  <si>
    <t>https://electricalnotes.wordpress.com/2011/10/31/demand-factor-diversity-factor-utilization-factor-load-factor/</t>
  </si>
  <si>
    <t>airport/bank/shop</t>
  </si>
  <si>
    <t>No diversity, day in day out.</t>
  </si>
  <si>
    <t>Total Peak Diversified Demand</t>
  </si>
  <si>
    <t>Peak Diversified Demand</t>
  </si>
  <si>
    <t>Total H2 Daily</t>
  </si>
  <si>
    <t>(kg)</t>
  </si>
  <si>
    <t>Fuel Cell Specs</t>
  </si>
  <si>
    <t>kW</t>
  </si>
  <si>
    <t>Output</t>
  </si>
  <si>
    <t>Consumption</t>
  </si>
  <si>
    <t>Nm^3</t>
  </si>
  <si>
    <t>kg s^-1</t>
  </si>
  <si>
    <t>g s^-1</t>
  </si>
  <si>
    <t>Nm^3 s^-1</t>
  </si>
  <si>
    <t>Equivalent seconds</t>
  </si>
  <si>
    <t>Nm^3 Used</t>
  </si>
  <si>
    <t>kg Used</t>
  </si>
  <si>
    <t>One machine</t>
  </si>
  <si>
    <t>producing</t>
  </si>
  <si>
    <t>a days</t>
  </si>
  <si>
    <t>consumption</t>
  </si>
  <si>
    <t>would use:</t>
  </si>
  <si>
    <t>Equivalent hours work</t>
  </si>
  <si>
    <t>Number of</t>
  </si>
  <si>
    <t>fuel cells</t>
  </si>
  <si>
    <t xml:space="preserve">required for </t>
  </si>
  <si>
    <t>diversified peak</t>
  </si>
  <si>
    <t>demand:</t>
  </si>
  <si>
    <t>Number required:</t>
  </si>
  <si>
    <t>Number practically:</t>
  </si>
  <si>
    <t>Practical max product:</t>
  </si>
  <si>
    <t>hrs</t>
  </si>
  <si>
    <t>s</t>
  </si>
  <si>
    <t>kg</t>
  </si>
  <si>
    <t>Electrolyser</t>
  </si>
  <si>
    <t>Electrolyser Specs</t>
  </si>
  <si>
    <t>kWh/Nm³</t>
  </si>
  <si>
    <t>Nm³/h</t>
  </si>
  <si>
    <t>Max output:</t>
  </si>
  <si>
    <t>E required:</t>
  </si>
  <si>
    <t>H2 used daily</t>
  </si>
  <si>
    <t>kWh day^-1</t>
  </si>
  <si>
    <t>kWh required daily:</t>
  </si>
  <si>
    <t>Hours daily required:</t>
  </si>
  <si>
    <t>Only a maximum of 6 hours of sunlight</t>
  </si>
  <si>
    <t>hrs day^-1</t>
  </si>
  <si>
    <t>of work required</t>
  </si>
  <si>
    <t>https://nelhydrogen.com/product/m-series/</t>
  </si>
  <si>
    <t>M200 model PEM electrolyser</t>
  </si>
  <si>
    <t>Dimensions</t>
  </si>
  <si>
    <t>Theoretical H2O consumption</t>
  </si>
  <si>
    <t>h2o</t>
  </si>
  <si>
    <t>&gt;</t>
  </si>
  <si>
    <t>h2</t>
  </si>
  <si>
    <t>o</t>
  </si>
  <si>
    <t>atomic mass</t>
  </si>
  <si>
    <t>moles</t>
  </si>
  <si>
    <t>mass</t>
  </si>
  <si>
    <t>mr</t>
  </si>
  <si>
    <t>kg kg^-1</t>
  </si>
  <si>
    <t>nm</t>
  </si>
  <si>
    <t>L kg^-1</t>
  </si>
  <si>
    <t>m^3 kg^-1</t>
  </si>
  <si>
    <t>H2O Requirements</t>
  </si>
  <si>
    <t>H2O used daily</t>
  </si>
  <si>
    <t>m^3</t>
  </si>
  <si>
    <t>L</t>
  </si>
  <si>
    <t>E from solar needed</t>
  </si>
  <si>
    <t>H2 Requirements</t>
  </si>
  <si>
    <t>energy</t>
  </si>
  <si>
    <t>kWh</t>
  </si>
  <si>
    <t>https://www.ballard.com/docs/default-source/motive-modules-documents/fcvelocity_md_low_res.pdf</t>
  </si>
  <si>
    <t>85 - 180V</t>
  </si>
  <si>
    <t>DC current</t>
  </si>
  <si>
    <t>0-300 A</t>
  </si>
  <si>
    <t>900 x 480 x 375</t>
  </si>
  <si>
    <t>mm</t>
  </si>
  <si>
    <t>MWh day^-1</t>
  </si>
  <si>
    <t>MW day^-1</t>
  </si>
  <si>
    <t>70 Electrolysers</t>
  </si>
  <si>
    <t>OVERALL</t>
  </si>
  <si>
    <t>DAY</t>
  </si>
  <si>
    <t>NIGHT</t>
  </si>
  <si>
    <t>Load Day</t>
  </si>
  <si>
    <t>Load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</si>
</sst>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/>
    <xf numFmtId="0" fontId="0" fillId="10" borderId="0" xfId="0" applyFill="1"/>
    <xf numFmtId="0" fontId="0" fillId="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  <a:r>
              <a:rPr lang="en-US" baseline="0"/>
              <a:t> </a:t>
            </a:r>
            <a:r>
              <a:rPr lang="en-US"/>
              <a:t>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'DMND Flat'!$R$6:$R$7</c:f>
              <c:strCache>
                <c:ptCount val="2"/>
                <c:pt idx="0">
                  <c:v>Total</c:v>
                </c:pt>
                <c:pt idx="1">
                  <c:v>(kWh)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'DMND Flat'!$H$9:$H$36</c:f>
              <c:strCache>
                <c:ptCount val="27"/>
                <c:pt idx="0">
                  <c:v>1:00:00</c:v>
                </c:pt>
                <c:pt idx="1">
                  <c:v>2:00:00</c:v>
                </c:pt>
                <c:pt idx="2">
                  <c:v>3:00:00</c:v>
                </c:pt>
                <c:pt idx="3">
                  <c:v>4:00:00</c:v>
                </c:pt>
                <c:pt idx="4">
                  <c:v>5:00:00</c:v>
                </c:pt>
                <c:pt idx="5">
                  <c:v>6:00:00</c:v>
                </c:pt>
                <c:pt idx="6">
                  <c:v>7:00:00</c:v>
                </c:pt>
                <c:pt idx="7">
                  <c:v>8:00:00</c:v>
                </c:pt>
                <c:pt idx="8">
                  <c:v>9:00:00</c:v>
                </c:pt>
                <c:pt idx="9">
                  <c:v>10:00:00</c:v>
                </c:pt>
                <c:pt idx="10">
                  <c:v>11:00:00</c:v>
                </c:pt>
                <c:pt idx="11">
                  <c:v>12:00:00</c:v>
                </c:pt>
                <c:pt idx="12">
                  <c:v>13:00:00</c:v>
                </c:pt>
                <c:pt idx="13">
                  <c:v>14:00:00</c:v>
                </c:pt>
                <c:pt idx="14">
                  <c:v>15:00:00</c:v>
                </c:pt>
                <c:pt idx="15">
                  <c:v>16:00:00</c:v>
                </c:pt>
                <c:pt idx="16">
                  <c:v>17:00:00</c:v>
                </c:pt>
                <c:pt idx="17">
                  <c:v>18:00:00</c:v>
                </c:pt>
                <c:pt idx="18">
                  <c:v>19:00:00</c:v>
                </c:pt>
                <c:pt idx="19">
                  <c:v>20:00:00</c:v>
                </c:pt>
                <c:pt idx="20">
                  <c:v>21:00:00</c:v>
                </c:pt>
                <c:pt idx="21">
                  <c:v>22:00:00</c:v>
                </c:pt>
                <c:pt idx="22">
                  <c:v>23:00:00</c:v>
                </c:pt>
                <c:pt idx="24">
                  <c:v>Load</c:v>
                </c:pt>
                <c:pt idx="25">
                  <c:v>Load Day</c:v>
                </c:pt>
                <c:pt idx="26">
                  <c:v>Load Night</c:v>
                </c:pt>
              </c:strCache>
            </c:strRef>
          </c:xVal>
          <c:yVal>
            <c:numRef>
              <c:f>'DMND Flat'!$R$9:$R$36</c:f>
              <c:numCache>
                <c:formatCode>General</c:formatCode>
                <c:ptCount val="28"/>
                <c:pt idx="0">
                  <c:v>7.2467511415525117</c:v>
                </c:pt>
                <c:pt idx="1">
                  <c:v>7.2467511415525117</c:v>
                </c:pt>
                <c:pt idx="2">
                  <c:v>7.2467511415525117</c:v>
                </c:pt>
                <c:pt idx="3">
                  <c:v>7.2467511415525117</c:v>
                </c:pt>
                <c:pt idx="4">
                  <c:v>7.2467511415525117</c:v>
                </c:pt>
                <c:pt idx="5">
                  <c:v>7.2467511415525117</c:v>
                </c:pt>
                <c:pt idx="6">
                  <c:v>14.146751141552514</c:v>
                </c:pt>
                <c:pt idx="7">
                  <c:v>19.89675114155251</c:v>
                </c:pt>
                <c:pt idx="8">
                  <c:v>14.830751141552513</c:v>
                </c:pt>
                <c:pt idx="9">
                  <c:v>14.830751141552513</c:v>
                </c:pt>
                <c:pt idx="10">
                  <c:v>14.830751141552513</c:v>
                </c:pt>
                <c:pt idx="11">
                  <c:v>14.830751141552513</c:v>
                </c:pt>
                <c:pt idx="12">
                  <c:v>14.830751141552513</c:v>
                </c:pt>
                <c:pt idx="13">
                  <c:v>14.830751141552513</c:v>
                </c:pt>
                <c:pt idx="14">
                  <c:v>14.830751141552513</c:v>
                </c:pt>
                <c:pt idx="15">
                  <c:v>14.830751141552513</c:v>
                </c:pt>
                <c:pt idx="16">
                  <c:v>19.580751141552511</c:v>
                </c:pt>
                <c:pt idx="17">
                  <c:v>7.9497511415525119</c:v>
                </c:pt>
                <c:pt idx="18">
                  <c:v>9.9497511415525128</c:v>
                </c:pt>
                <c:pt idx="19">
                  <c:v>9.9497511415525128</c:v>
                </c:pt>
                <c:pt idx="20">
                  <c:v>8.3057511415525127</c:v>
                </c:pt>
                <c:pt idx="21">
                  <c:v>7.2657511415525118</c:v>
                </c:pt>
                <c:pt idx="22">
                  <c:v>7.2467511415525117</c:v>
                </c:pt>
                <c:pt idx="25">
                  <c:v>24.330751141552511</c:v>
                </c:pt>
                <c:pt idx="26">
                  <c:v>11.305751141552513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1548-8ABB-277B9676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75552"/>
        <c:axId val="1633450176"/>
      </c:scatterChart>
      <c:valAx>
        <c:axId val="16346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50176"/>
        <c:crosses val="autoZero"/>
        <c:crossBetween val="midCat"/>
      </c:valAx>
      <c:valAx>
        <c:axId val="1633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5</xdr:row>
      <xdr:rowOff>31750</xdr:rowOff>
    </xdr:from>
    <xdr:to>
      <xdr:col>33</xdr:col>
      <xdr:colOff>2540000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5F68F-9B5D-204C-9AF1-179368FB1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ple.com/at/shop/product/MRW22ZM/A/61w-usb%E2%80%91c-power-adapter?fnode=2a64f71e05232b77c8186d4b517bc9ef2b7b912a102433afa05c3213724d2f90454bee06c48ef2d5a94012bb2a7768c2996ccd8d4893dbc48a94a8a6cbb41c6585ae511d1c581cf64610cf1b7c6d41b3f5c1a789a458c120c9d3662bff742611" TargetMode="External"/><Relationship Id="rId13" Type="http://schemas.openxmlformats.org/officeDocument/2006/relationships/hyperlink" Target="https://www.calculator.net/btu-calculator.html?roomsize1=100&amp;roomwidthunit=meters&amp;ceilingheight1=3&amp;ceilingheight1unit=meters&amp;people1=4&amp;roomtype1=house&amp;insulation1=normal&amp;sunexposure1=sunny&amp;climate1=hot&amp;ctype=room&amp;x=103&amp;y=24" TargetMode="External"/><Relationship Id="rId3" Type="http://schemas.openxmlformats.org/officeDocument/2006/relationships/hyperlink" Target="https://www.bbc.com/news/science-environment-15836433" TargetMode="External"/><Relationship Id="rId7" Type="http://schemas.openxmlformats.org/officeDocument/2006/relationships/hyperlink" Target="https://www.bbc.co.uk/news/magazine-12606943" TargetMode="External"/><Relationship Id="rId12" Type="http://schemas.openxmlformats.org/officeDocument/2006/relationships/hyperlink" Target="https://www.homebase.co.uk/cda-sk210ss-built-in-single-fan-electric-oven-stainless-steel_p288772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victorianplumbing.co.uk/triton-safeguard-pumped-care-shower-9-5-kw-electric-shower-csgpe09wc" TargetMode="External"/><Relationship Id="rId16" Type="http://schemas.openxmlformats.org/officeDocument/2006/relationships/hyperlink" Target="https://electricalnotes.wordpress.com/2011/10/31/demand-factor-diversity-factor-utilization-factor-load-factor/" TargetMode="External"/><Relationship Id="rId1" Type="http://schemas.openxmlformats.org/officeDocument/2006/relationships/hyperlink" Target="https://www.harveynorman.com.au/chiq-216l-top-mount-fridge-white.html" TargetMode="External"/><Relationship Id="rId6" Type="http://schemas.openxmlformats.org/officeDocument/2006/relationships/hyperlink" Target="https://www.appliancesonline.com.au/product/kelvinator-39kw-window-box-air-conditioner-kwh39cre" TargetMode="External"/><Relationship Id="rId11" Type="http://schemas.openxmlformats.org/officeDocument/2006/relationships/hyperlink" Target="https://www.johnlewis.com/toshiba-24wl3a63db-2019-led-hd-ready-720p-smart-tv-24-inch-with-freeview-hd-freeview-play-black/p4269742" TargetMode="External"/><Relationship Id="rId5" Type="http://schemas.openxmlformats.org/officeDocument/2006/relationships/hyperlink" Target="https://www.appliancesonline.com.au/product/kelvinator-6kw-window-box-reverse-cycle-air-conditioner-kwh62hre" TargetMode="External"/><Relationship Id="rId15" Type="http://schemas.openxmlformats.org/officeDocument/2006/relationships/hyperlink" Target="https://www.home-water-works.org/indoor-use/toilets" TargetMode="External"/><Relationship Id="rId10" Type="http://schemas.openxmlformats.org/officeDocument/2006/relationships/hyperlink" Target="https://www.homebase.co.uk/luceco-lock-ring-gu10-ip20-fixed-downlight-chrome_p477892" TargetMode="External"/><Relationship Id="rId4" Type="http://schemas.openxmlformats.org/officeDocument/2006/relationships/hyperlink" Target="https://www.appliancesonline.com.au/public/manuals/KWH26CRE-Kelvinator-Specifications-Sheet.pdf" TargetMode="External"/><Relationship Id="rId9" Type="http://schemas.openxmlformats.org/officeDocument/2006/relationships/hyperlink" Target="https://www.apple.com/at/shop/product/MU7V2ZM/A/18w-usb%E2%80%91c-power-adapter?fnode=97" TargetMode="External"/><Relationship Id="rId14" Type="http://schemas.openxmlformats.org/officeDocument/2006/relationships/hyperlink" Target="https://www.homebase.co.uk/indesit-ecotime-dif-04b1-integrated-dishwasher-white_p19113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ple.com/at/shop/buy-mac/imac" TargetMode="External"/><Relationship Id="rId2" Type="http://schemas.openxmlformats.org/officeDocument/2006/relationships/hyperlink" Target="https://www.geekhampton.com/gh-blog/2017/6/21/sleep-your-mac-more-to-save-time-and-power" TargetMode="External"/><Relationship Id="rId1" Type="http://schemas.openxmlformats.org/officeDocument/2006/relationships/hyperlink" Target="https://www.apple.com/at/imac/spec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cnallyinstitute.com/06-html/6-0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llard.com/docs/default-source/motive-modules-documents/fcvelocity_md_low_re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olarwatersolutions.fi/en/shop/solaro-pro-3500-sw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elhydrogen.com/product/m-s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3B36-7E0C-744E-A3F8-7BFB77A12310}">
  <dimension ref="B1:CB53"/>
  <sheetViews>
    <sheetView tabSelected="1" workbookViewId="0">
      <selection activeCell="W9" sqref="W9"/>
    </sheetView>
  </sheetViews>
  <sheetFormatPr baseColWidth="10" defaultRowHeight="16" x14ac:dyDescent="0.2"/>
  <cols>
    <col min="2" max="2" width="14" bestFit="1" customWidth="1"/>
    <col min="5" max="5" width="18.1640625" bestFit="1" customWidth="1"/>
    <col min="6" max="6" width="13" customWidth="1"/>
    <col min="7" max="7" width="15.5" bestFit="1" customWidth="1"/>
    <col min="9" max="9" width="16.83203125" customWidth="1"/>
    <col min="10" max="10" width="13.83203125" bestFit="1" customWidth="1"/>
    <col min="11" max="11" width="13.33203125" bestFit="1" customWidth="1"/>
    <col min="12" max="12" width="19.83203125" customWidth="1"/>
    <col min="13" max="13" width="17.33203125" customWidth="1"/>
    <col min="21" max="21" width="27.33203125" bestFit="1" customWidth="1"/>
    <col min="22" max="22" width="20.83203125" bestFit="1" customWidth="1"/>
    <col min="23" max="23" width="18.83203125" bestFit="1" customWidth="1"/>
    <col min="34" max="34" width="33.83203125" customWidth="1"/>
    <col min="35" max="35" width="17.83203125" customWidth="1"/>
    <col min="36" max="37" width="4.1640625" bestFit="1" customWidth="1"/>
    <col min="38" max="38" width="3.83203125" customWidth="1"/>
    <col min="39" max="39" width="4.6640625" customWidth="1"/>
    <col min="40" max="55" width="4.1640625" bestFit="1" customWidth="1"/>
    <col min="56" max="56" width="5.1640625" bestFit="1" customWidth="1"/>
    <col min="57" max="81" width="4.1640625" bestFit="1" customWidth="1"/>
  </cols>
  <sheetData>
    <row r="1" spans="2:80" x14ac:dyDescent="0.2">
      <c r="K1" s="2" t="s">
        <v>73</v>
      </c>
    </row>
    <row r="2" spans="2:80" x14ac:dyDescent="0.2">
      <c r="K2" s="2" t="s">
        <v>26</v>
      </c>
      <c r="AH2" t="s">
        <v>116</v>
      </c>
      <c r="AI2" t="s">
        <v>117</v>
      </c>
    </row>
    <row r="3" spans="2:80" x14ac:dyDescent="0.2">
      <c r="K3" s="2" t="s">
        <v>25</v>
      </c>
    </row>
    <row r="4" spans="2:80" x14ac:dyDescent="0.2">
      <c r="J4" s="2" t="s">
        <v>21</v>
      </c>
      <c r="K4" s="2" t="s">
        <v>24</v>
      </c>
      <c r="L4" s="2" t="s">
        <v>36</v>
      </c>
      <c r="AJ4">
        <v>2.5</v>
      </c>
      <c r="AK4">
        <v>2.5</v>
      </c>
      <c r="AL4">
        <v>2.5</v>
      </c>
      <c r="AM4">
        <v>2.5</v>
      </c>
      <c r="AN4">
        <v>2.5</v>
      </c>
      <c r="AO4">
        <v>2.5</v>
      </c>
      <c r="AP4">
        <v>2.5</v>
      </c>
      <c r="AQ4">
        <v>2.5</v>
      </c>
      <c r="AR4">
        <v>2.5</v>
      </c>
      <c r="AS4">
        <v>2.5</v>
      </c>
      <c r="AT4">
        <v>2.5</v>
      </c>
      <c r="AU4">
        <v>2.5</v>
      </c>
      <c r="AV4">
        <v>2.5</v>
      </c>
      <c r="AW4">
        <v>2.5</v>
      </c>
      <c r="AX4">
        <v>2.5</v>
      </c>
      <c r="AY4">
        <v>2.5</v>
      </c>
      <c r="AZ4">
        <v>2.5</v>
      </c>
      <c r="BA4">
        <v>2.5</v>
      </c>
      <c r="BB4">
        <v>2.5</v>
      </c>
      <c r="BC4">
        <v>2.5</v>
      </c>
      <c r="BD4">
        <v>2.5</v>
      </c>
      <c r="BE4">
        <v>2.5</v>
      </c>
      <c r="BF4">
        <v>2.5</v>
      </c>
      <c r="BG4">
        <v>2.5</v>
      </c>
      <c r="BH4">
        <v>2.5</v>
      </c>
      <c r="BI4">
        <v>2.5</v>
      </c>
      <c r="BJ4">
        <v>2.5</v>
      </c>
      <c r="BK4">
        <v>2.5</v>
      </c>
      <c r="BL4">
        <v>2.5</v>
      </c>
      <c r="BM4">
        <v>2.5</v>
      </c>
      <c r="BN4">
        <v>2.5</v>
      </c>
      <c r="BO4">
        <v>2.5</v>
      </c>
      <c r="BP4">
        <v>2.5</v>
      </c>
      <c r="BQ4">
        <v>2.5</v>
      </c>
      <c r="BR4">
        <v>2.5</v>
      </c>
      <c r="BS4">
        <v>2.5</v>
      </c>
      <c r="BT4">
        <v>2.5</v>
      </c>
      <c r="BU4">
        <v>2.5</v>
      </c>
      <c r="BV4">
        <v>2.5</v>
      </c>
      <c r="BW4">
        <v>2.5</v>
      </c>
      <c r="BX4">
        <v>2.5</v>
      </c>
      <c r="BY4">
        <v>2.5</v>
      </c>
      <c r="BZ4">
        <v>2.5</v>
      </c>
      <c r="CA4">
        <v>2.5</v>
      </c>
      <c r="CB4">
        <v>2.5</v>
      </c>
    </row>
    <row r="5" spans="2:80" x14ac:dyDescent="0.2">
      <c r="B5" t="s">
        <v>0</v>
      </c>
      <c r="I5" s="2" t="s">
        <v>17</v>
      </c>
      <c r="J5" s="2" t="s">
        <v>20</v>
      </c>
      <c r="K5" s="2" t="s">
        <v>23</v>
      </c>
      <c r="L5" s="2" t="s">
        <v>35</v>
      </c>
      <c r="M5" s="2" t="s">
        <v>49</v>
      </c>
      <c r="N5" s="2" t="s">
        <v>65</v>
      </c>
      <c r="O5" s="2" t="s">
        <v>64</v>
      </c>
      <c r="P5" s="2" t="s">
        <v>137</v>
      </c>
      <c r="Q5" s="2" t="s">
        <v>184</v>
      </c>
      <c r="U5" s="2" t="s">
        <v>201</v>
      </c>
      <c r="AJ5" s="7" t="s">
        <v>100</v>
      </c>
      <c r="AK5" s="7"/>
      <c r="AL5" s="14" t="s">
        <v>102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7"/>
      <c r="CA5" s="7"/>
      <c r="CB5">
        <v>2.5</v>
      </c>
    </row>
    <row r="6" spans="2:80" x14ac:dyDescent="0.2">
      <c r="C6" t="s">
        <v>1</v>
      </c>
      <c r="H6" t="s">
        <v>62</v>
      </c>
      <c r="I6" t="s">
        <v>2</v>
      </c>
      <c r="J6" t="s">
        <v>3</v>
      </c>
      <c r="K6" t="s">
        <v>4</v>
      </c>
      <c r="L6" t="s">
        <v>16</v>
      </c>
      <c r="M6" t="s">
        <v>15</v>
      </c>
      <c r="N6" t="s">
        <v>43</v>
      </c>
      <c r="O6" t="s">
        <v>55</v>
      </c>
      <c r="P6" t="s">
        <v>129</v>
      </c>
      <c r="Q6" t="s">
        <v>183</v>
      </c>
      <c r="R6" t="s">
        <v>11</v>
      </c>
      <c r="T6" t="s">
        <v>282</v>
      </c>
      <c r="U6" t="s">
        <v>191</v>
      </c>
      <c r="V6" t="s">
        <v>192</v>
      </c>
      <c r="W6" t="s">
        <v>193</v>
      </c>
      <c r="AJ6" s="7"/>
      <c r="AK6" s="7"/>
      <c r="AL6" s="11" t="s">
        <v>103</v>
      </c>
      <c r="AM6" s="11"/>
      <c r="AN6" s="11"/>
      <c r="AO6" s="11"/>
      <c r="AP6" s="13" t="s">
        <v>104</v>
      </c>
      <c r="AQ6" s="13"/>
      <c r="AR6" s="13"/>
      <c r="AS6" s="13"/>
      <c r="AT6" s="11"/>
      <c r="AU6" s="11"/>
      <c r="AV6" s="11"/>
      <c r="AW6" s="11"/>
      <c r="AX6" s="13"/>
      <c r="AY6" s="13"/>
      <c r="AZ6" s="13"/>
      <c r="BA6" s="13"/>
      <c r="BB6" s="11"/>
      <c r="BC6" s="11"/>
      <c r="BD6" s="11"/>
      <c r="BE6" s="11"/>
      <c r="BF6" s="13"/>
      <c r="BG6" s="13"/>
      <c r="BH6" s="13"/>
      <c r="BI6" s="13"/>
      <c r="BJ6" s="11"/>
      <c r="BK6" s="11"/>
      <c r="BL6" s="11"/>
      <c r="BM6" s="11"/>
      <c r="BN6" s="13"/>
      <c r="BO6" s="13"/>
      <c r="BP6" s="13"/>
      <c r="BQ6" s="13"/>
      <c r="BR6" s="11"/>
      <c r="BS6" s="11"/>
      <c r="BT6" s="11"/>
      <c r="BU6" s="11"/>
      <c r="BV6" s="13"/>
      <c r="BW6" s="13"/>
      <c r="BX6" s="13"/>
      <c r="BY6" s="13"/>
      <c r="BZ6" s="7"/>
      <c r="CA6" s="7"/>
      <c r="CB6">
        <v>2.5</v>
      </c>
    </row>
    <row r="7" spans="2:80" x14ac:dyDescent="0.2">
      <c r="D7" t="s">
        <v>5</v>
      </c>
      <c r="F7" t="s">
        <v>10</v>
      </c>
      <c r="H7" s="8" t="s">
        <v>63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U7" s="3" t="s">
        <v>194</v>
      </c>
      <c r="V7" s="3" t="s">
        <v>196</v>
      </c>
      <c r="W7" s="3" t="s">
        <v>194</v>
      </c>
      <c r="AJ7" s="7"/>
      <c r="AK7" s="7"/>
      <c r="AL7" s="11"/>
      <c r="AM7" s="11"/>
      <c r="AN7" s="11"/>
      <c r="AO7" s="11"/>
      <c r="AP7" s="13"/>
      <c r="AQ7" s="13"/>
      <c r="AR7" s="13"/>
      <c r="AS7" s="13"/>
      <c r="AT7" s="11"/>
      <c r="AU7" s="11"/>
      <c r="AV7" s="11"/>
      <c r="AW7" s="11"/>
      <c r="AX7" s="13"/>
      <c r="AY7" s="13"/>
      <c r="AZ7" s="13"/>
      <c r="BA7" s="13"/>
      <c r="BB7" s="11"/>
      <c r="BC7" s="11"/>
      <c r="BD7" s="11"/>
      <c r="BE7" s="11"/>
      <c r="BF7" s="13"/>
      <c r="BG7" s="13"/>
      <c r="BH7" s="13"/>
      <c r="BI7" s="13"/>
      <c r="BJ7" s="11"/>
      <c r="BK7" s="11"/>
      <c r="BL7" s="11"/>
      <c r="BM7" s="11"/>
      <c r="BN7" s="13"/>
      <c r="BO7" s="13"/>
      <c r="BP7" s="13"/>
      <c r="BQ7" s="13"/>
      <c r="BR7" s="11"/>
      <c r="BS7" s="11"/>
      <c r="BT7" s="11"/>
      <c r="BU7" s="11"/>
      <c r="BV7" s="13"/>
      <c r="BW7" s="13"/>
      <c r="BX7" s="13"/>
      <c r="BY7" s="13"/>
      <c r="BZ7" s="7"/>
      <c r="CA7" s="7"/>
      <c r="CB7">
        <v>2.5</v>
      </c>
    </row>
    <row r="8" spans="2:80" x14ac:dyDescent="0.2">
      <c r="E8" t="s">
        <v>6</v>
      </c>
      <c r="F8">
        <f>8*5</f>
        <v>40</v>
      </c>
      <c r="H8" s="1">
        <v>0</v>
      </c>
      <c r="I8" s="7">
        <f>(265/365)/24</f>
        <v>3.0251141552511417E-2</v>
      </c>
      <c r="J8">
        <v>0</v>
      </c>
      <c r="K8" s="4">
        <f t="shared" ref="K8:K13" si="0">(3.9+3.9+6)/2</f>
        <v>6.9</v>
      </c>
      <c r="L8" s="7">
        <f>((61/1000)+(18/1000))*4</f>
        <v>0.316</v>
      </c>
      <c r="M8">
        <v>0</v>
      </c>
      <c r="N8">
        <v>0</v>
      </c>
      <c r="O8" s="7">
        <f>0.5/1000</f>
        <v>5.0000000000000001E-4</v>
      </c>
      <c r="P8" s="6">
        <v>0</v>
      </c>
      <c r="Q8" s="6">
        <v>0</v>
      </c>
      <c r="R8" s="24">
        <f>SUM(I8:P8)</f>
        <v>7.2467511415525117</v>
      </c>
      <c r="U8" s="21">
        <f>V8*W8</f>
        <v>16.623450684931505</v>
      </c>
      <c r="V8">
        <v>0.6</v>
      </c>
      <c r="W8">
        <f>SUM(I33:P33)</f>
        <v>27.705751141552511</v>
      </c>
      <c r="AJ8" s="7"/>
      <c r="AK8" s="7"/>
      <c r="AL8" s="11"/>
      <c r="AM8" s="11"/>
      <c r="AN8" s="11"/>
      <c r="AO8" s="11"/>
      <c r="AP8" s="13"/>
      <c r="AQ8" s="13"/>
      <c r="AR8" s="13"/>
      <c r="AS8" s="13"/>
      <c r="AT8" s="11"/>
      <c r="AU8" s="11"/>
      <c r="AV8" s="11"/>
      <c r="AW8" s="11"/>
      <c r="AX8" s="13"/>
      <c r="AY8" s="13"/>
      <c r="AZ8" s="13"/>
      <c r="BA8" s="13"/>
      <c r="BB8" s="11"/>
      <c r="BC8" s="11"/>
      <c r="BD8" s="11"/>
      <c r="BE8" s="11"/>
      <c r="BF8" s="13"/>
      <c r="BG8" s="13"/>
      <c r="BH8" s="13"/>
      <c r="BI8" s="13"/>
      <c r="BJ8" s="11"/>
      <c r="BK8" s="11"/>
      <c r="BL8" s="11"/>
      <c r="BM8" s="11"/>
      <c r="BN8" s="13"/>
      <c r="BO8" s="13"/>
      <c r="BP8" s="13"/>
      <c r="BQ8" s="13"/>
      <c r="BR8" s="11"/>
      <c r="BS8" s="11"/>
      <c r="BT8" s="11"/>
      <c r="BU8" s="11"/>
      <c r="BV8" s="13"/>
      <c r="BW8" s="13"/>
      <c r="BX8" s="13"/>
      <c r="BY8" s="13"/>
      <c r="BZ8" s="7"/>
      <c r="CA8" s="7"/>
      <c r="CB8">
        <v>2.5</v>
      </c>
    </row>
    <row r="9" spans="2:80" x14ac:dyDescent="0.2">
      <c r="E9" t="s">
        <v>7</v>
      </c>
      <c r="F9">
        <f>(5*4)+2</f>
        <v>22</v>
      </c>
      <c r="H9" s="1">
        <v>4.1666666666666699E-2</v>
      </c>
      <c r="I9" s="7">
        <f t="shared" ref="I9:I35" si="1">(265/365)/24</f>
        <v>3.0251141552511417E-2</v>
      </c>
      <c r="J9">
        <v>0</v>
      </c>
      <c r="K9" s="4">
        <f t="shared" si="0"/>
        <v>6.9</v>
      </c>
      <c r="L9" s="7">
        <f t="shared" ref="L9:L15" si="2">((61/1000)+(18/1000))*4</f>
        <v>0.316</v>
      </c>
      <c r="M9">
        <v>0</v>
      </c>
      <c r="N9">
        <v>0</v>
      </c>
      <c r="O9" s="7">
        <f t="shared" ref="O9:O31" si="3">0.5/1000</f>
        <v>5.0000000000000001E-4</v>
      </c>
      <c r="P9" s="6">
        <v>0</v>
      </c>
      <c r="Q9" s="6">
        <v>0</v>
      </c>
      <c r="R9" s="24">
        <f t="shared" ref="R9:R31" si="4">SUM(I9:P9)</f>
        <v>7.2467511415525117</v>
      </c>
      <c r="AJ9" s="7"/>
      <c r="AK9" s="7"/>
      <c r="AL9" s="11"/>
      <c r="AM9" s="11"/>
      <c r="AN9" s="11"/>
      <c r="AO9" s="11"/>
      <c r="AP9" s="13"/>
      <c r="AQ9" s="13"/>
      <c r="AR9" s="13"/>
      <c r="AS9" s="13"/>
      <c r="AT9" s="11"/>
      <c r="AU9" s="11"/>
      <c r="AV9" s="11"/>
      <c r="AW9" s="11"/>
      <c r="AX9" s="13"/>
      <c r="AY9" s="13"/>
      <c r="AZ9" s="13"/>
      <c r="BA9" s="13"/>
      <c r="BB9" s="11"/>
      <c r="BC9" s="11"/>
      <c r="BD9" s="11"/>
      <c r="BE9" s="11"/>
      <c r="BF9" s="13"/>
      <c r="BG9" s="13"/>
      <c r="BH9" s="13"/>
      <c r="BI9" s="13"/>
      <c r="BJ9" s="11"/>
      <c r="BK9" s="11"/>
      <c r="BL9" s="11"/>
      <c r="BM9" s="11"/>
      <c r="BN9" s="13"/>
      <c r="BO9" s="13"/>
      <c r="BP9" s="13"/>
      <c r="BQ9" s="13"/>
      <c r="BR9" s="11"/>
      <c r="BS9" s="11"/>
      <c r="BT9" s="11"/>
      <c r="BU9" s="11"/>
      <c r="BV9" s="13"/>
      <c r="BW9" s="13"/>
      <c r="BX9" s="13"/>
      <c r="BY9" s="13"/>
      <c r="BZ9" s="7"/>
      <c r="CA9" s="7"/>
      <c r="CB9">
        <v>2.5</v>
      </c>
    </row>
    <row r="10" spans="2:80" x14ac:dyDescent="0.2">
      <c r="E10" t="s">
        <v>8</v>
      </c>
      <c r="F10">
        <f>(5*4)</f>
        <v>20</v>
      </c>
      <c r="H10" s="1">
        <v>8.3333333333333301E-2</v>
      </c>
      <c r="I10" s="7">
        <f t="shared" si="1"/>
        <v>3.0251141552511417E-2</v>
      </c>
      <c r="J10">
        <v>0</v>
      </c>
      <c r="K10" s="4">
        <f t="shared" si="0"/>
        <v>6.9</v>
      </c>
      <c r="L10" s="7">
        <f t="shared" si="2"/>
        <v>0.316</v>
      </c>
      <c r="M10">
        <v>0</v>
      </c>
      <c r="N10">
        <v>0</v>
      </c>
      <c r="O10" s="7">
        <f t="shared" si="3"/>
        <v>5.0000000000000001E-4</v>
      </c>
      <c r="P10" s="6">
        <v>0</v>
      </c>
      <c r="Q10" s="6">
        <v>0</v>
      </c>
      <c r="R10" s="24">
        <f t="shared" si="4"/>
        <v>7.2467511415525117</v>
      </c>
      <c r="U10" t="s">
        <v>197</v>
      </c>
      <c r="V10" t="s">
        <v>198</v>
      </c>
      <c r="W10" t="s">
        <v>199</v>
      </c>
      <c r="AJ10" s="7"/>
      <c r="AK10" s="7"/>
      <c r="AL10" s="12"/>
      <c r="AM10" s="12"/>
      <c r="AN10" s="12"/>
      <c r="AO10" s="12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>
        <v>2.5</v>
      </c>
    </row>
    <row r="11" spans="2:80" x14ac:dyDescent="0.2">
      <c r="E11" t="s">
        <v>9</v>
      </c>
      <c r="F11">
        <f>18</f>
        <v>18</v>
      </c>
      <c r="H11" s="1">
        <v>0.125</v>
      </c>
      <c r="I11" s="7">
        <f t="shared" si="1"/>
        <v>3.0251141552511417E-2</v>
      </c>
      <c r="J11">
        <v>0</v>
      </c>
      <c r="K11" s="4">
        <f t="shared" si="0"/>
        <v>6.9</v>
      </c>
      <c r="L11" s="7">
        <f t="shared" si="2"/>
        <v>0.316</v>
      </c>
      <c r="M11">
        <v>0</v>
      </c>
      <c r="N11">
        <v>0</v>
      </c>
      <c r="O11" s="7">
        <f t="shared" si="3"/>
        <v>5.0000000000000001E-4</v>
      </c>
      <c r="P11" s="6">
        <v>0</v>
      </c>
      <c r="Q11" s="6">
        <v>0</v>
      </c>
      <c r="R11" s="24">
        <f t="shared" si="4"/>
        <v>7.2467511415525117</v>
      </c>
      <c r="U11" s="3" t="s">
        <v>194</v>
      </c>
      <c r="V11" t="s">
        <v>200</v>
      </c>
      <c r="W11" t="s">
        <v>194</v>
      </c>
    </row>
    <row r="12" spans="2:80" x14ac:dyDescent="0.2">
      <c r="H12" s="1">
        <v>0.16666666666666699</v>
      </c>
      <c r="I12" s="7">
        <f t="shared" si="1"/>
        <v>3.0251141552511417E-2</v>
      </c>
      <c r="J12">
        <v>0</v>
      </c>
      <c r="K12" s="4">
        <f t="shared" si="0"/>
        <v>6.9</v>
      </c>
      <c r="L12" s="7">
        <f t="shared" si="2"/>
        <v>0.316</v>
      </c>
      <c r="M12">
        <v>0</v>
      </c>
      <c r="N12">
        <v>0</v>
      </c>
      <c r="O12" s="7">
        <f t="shared" si="3"/>
        <v>5.0000000000000001E-4</v>
      </c>
      <c r="P12" s="6">
        <v>0</v>
      </c>
      <c r="Q12" s="6">
        <v>0</v>
      </c>
      <c r="R12" s="24">
        <f t="shared" si="4"/>
        <v>7.2467511415525117</v>
      </c>
      <c r="U12" s="21">
        <f>W12*V12</f>
        <v>664.93802739726027</v>
      </c>
      <c r="V12">
        <v>0.4</v>
      </c>
      <c r="W12">
        <f>100*U8</f>
        <v>1662.3450684931506</v>
      </c>
      <c r="AJ12" s="7"/>
      <c r="AK12" t="s">
        <v>100</v>
      </c>
      <c r="AT12" t="s">
        <v>105</v>
      </c>
      <c r="AW12">
        <f>SUM(AJ4:CB4)</f>
        <v>112.5</v>
      </c>
      <c r="AX12" t="s">
        <v>109</v>
      </c>
      <c r="BA12" t="s">
        <v>115</v>
      </c>
      <c r="BD12">
        <f>AW12*AW13</f>
        <v>1968.75</v>
      </c>
      <c r="BE12" t="s">
        <v>118</v>
      </c>
    </row>
    <row r="13" spans="2:80" x14ac:dyDescent="0.2">
      <c r="E13" t="s">
        <v>11</v>
      </c>
      <c r="F13">
        <f>SUM(F8:F11)</f>
        <v>100</v>
      </c>
      <c r="H13" s="1">
        <v>0.20833333333333301</v>
      </c>
      <c r="I13" s="7">
        <f t="shared" si="1"/>
        <v>3.0251141552511417E-2</v>
      </c>
      <c r="J13">
        <v>0</v>
      </c>
      <c r="K13" s="4">
        <f t="shared" si="0"/>
        <v>6.9</v>
      </c>
      <c r="L13" s="7">
        <f t="shared" si="2"/>
        <v>0.316</v>
      </c>
      <c r="M13">
        <v>0</v>
      </c>
      <c r="N13">
        <v>0</v>
      </c>
      <c r="O13" s="7">
        <f t="shared" si="3"/>
        <v>5.0000000000000001E-4</v>
      </c>
      <c r="P13" s="6">
        <v>0</v>
      </c>
      <c r="Q13" s="6">
        <v>0</v>
      </c>
      <c r="R13" s="24">
        <f t="shared" si="4"/>
        <v>7.2467511415525117</v>
      </c>
      <c r="AJ13" s="15"/>
      <c r="AK13" t="s">
        <v>103</v>
      </c>
      <c r="AT13" t="s">
        <v>106</v>
      </c>
      <c r="AW13">
        <f>SUM(CB4:CB10)</f>
        <v>17.5</v>
      </c>
      <c r="AX13" t="s">
        <v>109</v>
      </c>
    </row>
    <row r="14" spans="2:80" x14ac:dyDescent="0.2">
      <c r="H14" s="1">
        <v>0.25</v>
      </c>
      <c r="I14" s="7">
        <f t="shared" si="1"/>
        <v>3.0251141552511417E-2</v>
      </c>
      <c r="J14">
        <v>0</v>
      </c>
      <c r="K14" s="4">
        <f>(3.9+3.9+6)/2</f>
        <v>6.9</v>
      </c>
      <c r="L14" s="7">
        <f t="shared" si="2"/>
        <v>0.316</v>
      </c>
      <c r="M14">
        <v>0</v>
      </c>
      <c r="N14">
        <v>0</v>
      </c>
      <c r="O14" s="7">
        <f t="shared" si="3"/>
        <v>5.0000000000000001E-4</v>
      </c>
      <c r="P14" s="6">
        <v>0</v>
      </c>
      <c r="Q14" s="6">
        <v>0</v>
      </c>
      <c r="R14" s="23">
        <f t="shared" si="4"/>
        <v>7.2467511415525117</v>
      </c>
      <c r="T14" t="s">
        <v>283</v>
      </c>
      <c r="U14" t="s">
        <v>191</v>
      </c>
      <c r="V14" t="s">
        <v>192</v>
      </c>
      <c r="W14" t="s">
        <v>193</v>
      </c>
      <c r="AJ14" s="16"/>
      <c r="AK14" t="s">
        <v>104</v>
      </c>
      <c r="AT14" t="s">
        <v>107</v>
      </c>
      <c r="AW14">
        <f>AZ20</f>
        <v>35</v>
      </c>
      <c r="AX14" t="s">
        <v>109</v>
      </c>
    </row>
    <row r="15" spans="2:80" x14ac:dyDescent="0.2">
      <c r="H15" s="1">
        <v>0.29166666666666702</v>
      </c>
      <c r="I15" s="7">
        <f t="shared" si="1"/>
        <v>3.0251141552511417E-2</v>
      </c>
      <c r="J15" s="7">
        <v>0</v>
      </c>
      <c r="K15" s="4">
        <f t="shared" ref="K15:K25" si="5">3.9+3.9+6</f>
        <v>13.8</v>
      </c>
      <c r="L15" s="7">
        <f t="shared" si="2"/>
        <v>0.316</v>
      </c>
      <c r="M15" s="7">
        <v>0</v>
      </c>
      <c r="N15">
        <v>0</v>
      </c>
      <c r="O15" s="7">
        <f t="shared" si="3"/>
        <v>5.0000000000000001E-4</v>
      </c>
      <c r="P15" s="6">
        <v>0</v>
      </c>
      <c r="Q15" s="6">
        <v>0</v>
      </c>
      <c r="R15" s="23">
        <f t="shared" si="4"/>
        <v>14.146751141552514</v>
      </c>
      <c r="U15" s="3" t="s">
        <v>194</v>
      </c>
      <c r="V15" s="3" t="s">
        <v>196</v>
      </c>
      <c r="W15" s="3" t="s">
        <v>194</v>
      </c>
      <c r="AJ15" s="14"/>
      <c r="AK15" t="s">
        <v>101</v>
      </c>
    </row>
    <row r="16" spans="2:80" x14ac:dyDescent="0.2">
      <c r="D16" t="s">
        <v>32</v>
      </c>
      <c r="H16" s="1">
        <v>0.33333333333333298</v>
      </c>
      <c r="I16" s="7">
        <f t="shared" si="1"/>
        <v>3.0251141552511417E-2</v>
      </c>
      <c r="J16" s="7">
        <f>9.5*0.5</f>
        <v>4.75</v>
      </c>
      <c r="K16" s="4">
        <f t="shared" si="5"/>
        <v>13.8</v>
      </c>
      <c r="L16" s="7">
        <f>((61/1000)+(18/1000))*4</f>
        <v>0.316</v>
      </c>
      <c r="M16" s="7">
        <f>((50/1000)*20)</f>
        <v>1</v>
      </c>
      <c r="N16">
        <v>0</v>
      </c>
      <c r="O16" s="7">
        <f t="shared" si="3"/>
        <v>5.0000000000000001E-4</v>
      </c>
      <c r="P16" s="6">
        <v>0</v>
      </c>
      <c r="Q16" s="6">
        <v>0</v>
      </c>
      <c r="R16" s="23">
        <f t="shared" si="4"/>
        <v>19.89675114155251</v>
      </c>
      <c r="U16" s="21">
        <f>V16*W16</f>
        <v>14.598450684931507</v>
      </c>
      <c r="V16">
        <v>0.6</v>
      </c>
      <c r="W16">
        <f>R34</f>
        <v>24.330751141552511</v>
      </c>
      <c r="AT16" t="s">
        <v>108</v>
      </c>
      <c r="AZ16">
        <v>3</v>
      </c>
      <c r="BA16" t="s">
        <v>109</v>
      </c>
    </row>
    <row r="17" spans="5:54" x14ac:dyDescent="0.2">
      <c r="E17" t="s">
        <v>66</v>
      </c>
      <c r="H17" s="1">
        <v>0.375</v>
      </c>
      <c r="I17" s="7">
        <f t="shared" si="1"/>
        <v>3.0251141552511417E-2</v>
      </c>
      <c r="J17" s="7">
        <v>0</v>
      </c>
      <c r="K17" s="4">
        <f>3.9+3.9+6</f>
        <v>13.8</v>
      </c>
      <c r="L17" s="7">
        <v>0</v>
      </c>
      <c r="M17" s="7">
        <f t="shared" ref="M17:M28" si="6">((50/1000)*20)</f>
        <v>1</v>
      </c>
      <c r="N17">
        <v>0</v>
      </c>
      <c r="O17" s="7">
        <f t="shared" si="3"/>
        <v>5.0000000000000001E-4</v>
      </c>
      <c r="P17" s="6">
        <v>0</v>
      </c>
      <c r="Q17" s="6">
        <v>0</v>
      </c>
      <c r="R17" s="23">
        <f t="shared" si="4"/>
        <v>14.830751141552513</v>
      </c>
      <c r="AT17" t="s">
        <v>110</v>
      </c>
      <c r="AZ17">
        <v>0.5</v>
      </c>
      <c r="BA17" t="s">
        <v>109</v>
      </c>
    </row>
    <row r="18" spans="5:54" x14ac:dyDescent="0.2">
      <c r="E18">
        <v>4</v>
      </c>
      <c r="H18" s="1">
        <v>0.41666666666666702</v>
      </c>
      <c r="I18" s="7">
        <f t="shared" si="1"/>
        <v>3.0251141552511417E-2</v>
      </c>
      <c r="J18" s="6">
        <v>0</v>
      </c>
      <c r="K18" s="4">
        <f t="shared" si="5"/>
        <v>13.8</v>
      </c>
      <c r="L18" s="6">
        <v>0</v>
      </c>
      <c r="M18" s="7">
        <f t="shared" si="6"/>
        <v>1</v>
      </c>
      <c r="N18">
        <v>0</v>
      </c>
      <c r="O18" s="7">
        <f t="shared" si="3"/>
        <v>5.0000000000000001E-4</v>
      </c>
      <c r="P18" s="6">
        <v>0</v>
      </c>
      <c r="Q18" s="6">
        <v>0</v>
      </c>
      <c r="R18" s="23">
        <f t="shared" si="4"/>
        <v>14.830751141552513</v>
      </c>
      <c r="U18" t="s">
        <v>197</v>
      </c>
      <c r="V18" t="s">
        <v>198</v>
      </c>
      <c r="W18" t="s">
        <v>199</v>
      </c>
      <c r="AT18" t="s">
        <v>111</v>
      </c>
      <c r="AZ18">
        <f>AZ16+AZ17</f>
        <v>3.5</v>
      </c>
      <c r="BA18" t="s">
        <v>109</v>
      </c>
    </row>
    <row r="19" spans="5:54" x14ac:dyDescent="0.2">
      <c r="H19" s="1">
        <v>0.45833333333333398</v>
      </c>
      <c r="I19" s="7">
        <f t="shared" si="1"/>
        <v>3.0251141552511417E-2</v>
      </c>
      <c r="J19" s="6">
        <v>0</v>
      </c>
      <c r="K19" s="4">
        <f t="shared" si="5"/>
        <v>13.8</v>
      </c>
      <c r="L19">
        <v>0</v>
      </c>
      <c r="M19" s="7">
        <f t="shared" si="6"/>
        <v>1</v>
      </c>
      <c r="N19">
        <v>0</v>
      </c>
      <c r="O19" s="7">
        <f t="shared" si="3"/>
        <v>5.0000000000000001E-4</v>
      </c>
      <c r="P19" s="6">
        <v>0</v>
      </c>
      <c r="Q19" s="6">
        <v>0</v>
      </c>
      <c r="R19" s="23">
        <f t="shared" si="4"/>
        <v>14.830751141552513</v>
      </c>
      <c r="U19" s="3" t="s">
        <v>194</v>
      </c>
      <c r="V19" t="s">
        <v>200</v>
      </c>
      <c r="W19" t="s">
        <v>194</v>
      </c>
      <c r="AT19" t="s">
        <v>112</v>
      </c>
      <c r="AZ19">
        <v>10</v>
      </c>
    </row>
    <row r="20" spans="5:54" x14ac:dyDescent="0.2">
      <c r="H20" s="1">
        <v>0.5</v>
      </c>
      <c r="I20" s="7">
        <f t="shared" si="1"/>
        <v>3.0251141552511417E-2</v>
      </c>
      <c r="J20" s="6">
        <v>0</v>
      </c>
      <c r="K20" s="4">
        <f t="shared" si="5"/>
        <v>13.8</v>
      </c>
      <c r="L20" s="6">
        <v>0</v>
      </c>
      <c r="M20" s="7">
        <f t="shared" si="6"/>
        <v>1</v>
      </c>
      <c r="N20">
        <v>0</v>
      </c>
      <c r="O20" s="7">
        <f t="shared" si="3"/>
        <v>5.0000000000000001E-4</v>
      </c>
      <c r="P20" s="6">
        <v>0</v>
      </c>
      <c r="Q20" s="6">
        <v>0</v>
      </c>
      <c r="R20" s="23">
        <f t="shared" si="4"/>
        <v>14.830751141552513</v>
      </c>
      <c r="U20" s="25">
        <f>W20*V20</f>
        <v>583.93802739726027</v>
      </c>
      <c r="V20">
        <v>0.4</v>
      </c>
      <c r="W20">
        <f>100*U16</f>
        <v>1459.8450684931506</v>
      </c>
      <c r="AT20" t="s">
        <v>113</v>
      </c>
      <c r="AZ20">
        <f>AZ18*AZ19</f>
        <v>35</v>
      </c>
      <c r="BA20" t="s">
        <v>109</v>
      </c>
      <c r="BB20" t="s">
        <v>114</v>
      </c>
    </row>
    <row r="21" spans="5:54" x14ac:dyDescent="0.2">
      <c r="H21" s="1">
        <v>0.54166666666666696</v>
      </c>
      <c r="I21" s="7">
        <f t="shared" si="1"/>
        <v>3.0251141552511417E-2</v>
      </c>
      <c r="J21" s="6">
        <v>0</v>
      </c>
      <c r="K21" s="4">
        <f t="shared" si="5"/>
        <v>13.8</v>
      </c>
      <c r="L21" s="6">
        <v>0</v>
      </c>
      <c r="M21" s="7">
        <f t="shared" si="6"/>
        <v>1</v>
      </c>
      <c r="N21">
        <v>0</v>
      </c>
      <c r="O21" s="7">
        <f t="shared" si="3"/>
        <v>5.0000000000000001E-4</v>
      </c>
      <c r="P21" s="6">
        <v>0</v>
      </c>
      <c r="Q21" s="6">
        <v>0</v>
      </c>
      <c r="R21" s="23">
        <f t="shared" si="4"/>
        <v>14.830751141552513</v>
      </c>
    </row>
    <row r="22" spans="5:54" x14ac:dyDescent="0.2">
      <c r="H22" s="1">
        <v>0.58333333333333404</v>
      </c>
      <c r="I22" s="7">
        <f t="shared" si="1"/>
        <v>3.0251141552511417E-2</v>
      </c>
      <c r="J22" s="6">
        <v>0</v>
      </c>
      <c r="K22" s="4">
        <f t="shared" si="5"/>
        <v>13.8</v>
      </c>
      <c r="L22" s="6">
        <v>0</v>
      </c>
      <c r="M22" s="7">
        <f t="shared" si="6"/>
        <v>1</v>
      </c>
      <c r="N22">
        <v>0</v>
      </c>
      <c r="O22" s="7">
        <f t="shared" si="3"/>
        <v>5.0000000000000001E-4</v>
      </c>
      <c r="P22" s="6">
        <v>0</v>
      </c>
      <c r="Q22" s="6">
        <v>0</v>
      </c>
      <c r="R22" s="23">
        <f t="shared" si="4"/>
        <v>14.830751141552513</v>
      </c>
      <c r="T22" t="s">
        <v>284</v>
      </c>
      <c r="U22" t="s">
        <v>191</v>
      </c>
      <c r="V22" t="s">
        <v>192</v>
      </c>
      <c r="W22" t="s">
        <v>193</v>
      </c>
    </row>
    <row r="23" spans="5:54" x14ac:dyDescent="0.2">
      <c r="H23" s="1">
        <v>0.625</v>
      </c>
      <c r="I23" s="7">
        <f t="shared" si="1"/>
        <v>3.0251141552511417E-2</v>
      </c>
      <c r="J23" s="6">
        <v>0</v>
      </c>
      <c r="K23" s="4">
        <f>3.9+3.9+6</f>
        <v>13.8</v>
      </c>
      <c r="L23" s="6">
        <v>0</v>
      </c>
      <c r="M23" s="7">
        <f t="shared" si="6"/>
        <v>1</v>
      </c>
      <c r="N23">
        <v>0</v>
      </c>
      <c r="O23" s="7">
        <f t="shared" si="3"/>
        <v>5.0000000000000001E-4</v>
      </c>
      <c r="P23" s="6">
        <v>0</v>
      </c>
      <c r="Q23" s="6">
        <v>0</v>
      </c>
      <c r="R23" s="23">
        <f t="shared" si="4"/>
        <v>14.830751141552513</v>
      </c>
      <c r="U23" s="3" t="s">
        <v>194</v>
      </c>
      <c r="V23" s="3" t="s">
        <v>196</v>
      </c>
      <c r="W23" s="3" t="s">
        <v>194</v>
      </c>
    </row>
    <row r="24" spans="5:54" x14ac:dyDescent="0.2">
      <c r="H24" s="1">
        <v>0.66666666666666696</v>
      </c>
      <c r="I24" s="7">
        <f t="shared" si="1"/>
        <v>3.0251141552511417E-2</v>
      </c>
      <c r="J24" s="7">
        <v>0</v>
      </c>
      <c r="K24" s="4">
        <f t="shared" si="5"/>
        <v>13.8</v>
      </c>
      <c r="L24" s="6">
        <v>0</v>
      </c>
      <c r="M24" s="7">
        <f t="shared" si="6"/>
        <v>1</v>
      </c>
      <c r="N24">
        <v>0</v>
      </c>
      <c r="O24" s="7">
        <f t="shared" si="3"/>
        <v>5.0000000000000001E-4</v>
      </c>
      <c r="P24" s="6">
        <v>0</v>
      </c>
      <c r="Q24" s="6">
        <v>0</v>
      </c>
      <c r="R24" s="23">
        <f t="shared" si="4"/>
        <v>14.830751141552513</v>
      </c>
      <c r="U24" s="21">
        <f>V24*W24</f>
        <v>6.7834506849315073</v>
      </c>
      <c r="V24">
        <v>0.6</v>
      </c>
      <c r="W24">
        <f>R35</f>
        <v>11.305751141552513</v>
      </c>
      <c r="AI24" t="s">
        <v>74</v>
      </c>
      <c r="AK24">
        <v>2.5</v>
      </c>
      <c r="AL24">
        <v>2.5</v>
      </c>
      <c r="AM24">
        <v>2.5</v>
      </c>
      <c r="AN24">
        <v>2.5</v>
      </c>
      <c r="AO24">
        <v>2.5</v>
      </c>
      <c r="AP24">
        <v>2.5</v>
      </c>
      <c r="AQ24">
        <v>2.5</v>
      </c>
      <c r="AR24">
        <v>2.5</v>
      </c>
      <c r="AS24">
        <v>2.5</v>
      </c>
      <c r="AT24">
        <v>2.5</v>
      </c>
      <c r="AU24">
        <v>2.5</v>
      </c>
      <c r="AV24">
        <v>2.5</v>
      </c>
      <c r="AW24">
        <v>2.5</v>
      </c>
      <c r="AX24">
        <v>2.5</v>
      </c>
    </row>
    <row r="25" spans="5:54" x14ac:dyDescent="0.2">
      <c r="H25" s="1">
        <v>0.70833333333333404</v>
      </c>
      <c r="I25" s="7">
        <f t="shared" si="1"/>
        <v>3.0251141552511417E-2</v>
      </c>
      <c r="J25" s="7">
        <f>9.5*0.5</f>
        <v>4.75</v>
      </c>
      <c r="K25" s="4">
        <f t="shared" si="5"/>
        <v>13.8</v>
      </c>
      <c r="L25" s="6">
        <v>0</v>
      </c>
      <c r="M25" s="7">
        <f t="shared" si="6"/>
        <v>1</v>
      </c>
      <c r="N25">
        <v>0</v>
      </c>
      <c r="O25" s="7">
        <f t="shared" si="3"/>
        <v>5.0000000000000001E-4</v>
      </c>
      <c r="P25" s="6">
        <v>0</v>
      </c>
      <c r="Q25" s="6">
        <v>0</v>
      </c>
      <c r="R25" s="23">
        <f t="shared" si="4"/>
        <v>19.580751141552511</v>
      </c>
      <c r="AJ25">
        <v>2.5</v>
      </c>
      <c r="AK25" s="14" t="s">
        <v>56</v>
      </c>
      <c r="AL25" s="14"/>
      <c r="AM25" s="14"/>
      <c r="AN25" s="14"/>
      <c r="AO25" s="14"/>
      <c r="AP25" s="11" t="s">
        <v>58</v>
      </c>
      <c r="AQ25" s="11"/>
      <c r="AR25" s="11"/>
      <c r="AS25" s="11"/>
      <c r="AT25" s="11"/>
      <c r="AU25" s="11"/>
      <c r="AV25" s="11"/>
      <c r="AW25" s="11"/>
      <c r="AX25" s="11"/>
    </row>
    <row r="26" spans="5:54" x14ac:dyDescent="0.2">
      <c r="H26" s="1">
        <v>0.750000000000001</v>
      </c>
      <c r="I26" s="7">
        <f t="shared" si="1"/>
        <v>3.0251141552511417E-2</v>
      </c>
      <c r="J26" s="7">
        <v>0</v>
      </c>
      <c r="K26" s="4">
        <f t="shared" ref="K26:K30" si="7">(3.9+3.9+6)/2</f>
        <v>6.9</v>
      </c>
      <c r="L26" s="6">
        <v>0</v>
      </c>
      <c r="M26" s="7">
        <f t="shared" si="6"/>
        <v>1</v>
      </c>
      <c r="N26" s="7">
        <v>0</v>
      </c>
      <c r="O26" s="7">
        <f t="shared" ref="O26:O29" si="8">(0.5/1000)+(19/1000)</f>
        <v>1.95E-2</v>
      </c>
      <c r="P26" s="6">
        <v>0</v>
      </c>
      <c r="Q26" s="6">
        <v>0</v>
      </c>
      <c r="R26" s="23">
        <f t="shared" si="4"/>
        <v>7.9497511415525119</v>
      </c>
      <c r="U26" t="s">
        <v>197</v>
      </c>
      <c r="V26" t="s">
        <v>198</v>
      </c>
      <c r="W26" t="s">
        <v>199</v>
      </c>
      <c r="AJ26">
        <v>2.5</v>
      </c>
      <c r="AK26" s="14"/>
      <c r="AL26" s="14"/>
      <c r="AM26" s="14"/>
      <c r="AN26" s="14"/>
      <c r="AO26" s="14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5:54" x14ac:dyDescent="0.2">
      <c r="H27" s="1">
        <v>0.79166666666666696</v>
      </c>
      <c r="I27" s="7">
        <f t="shared" si="1"/>
        <v>3.0251141552511417E-2</v>
      </c>
      <c r="J27" s="6">
        <v>0</v>
      </c>
      <c r="K27" s="4">
        <f t="shared" si="7"/>
        <v>6.9</v>
      </c>
      <c r="L27" s="6">
        <v>0</v>
      </c>
      <c r="M27" s="7">
        <f t="shared" si="6"/>
        <v>1</v>
      </c>
      <c r="N27" s="7">
        <v>2</v>
      </c>
      <c r="O27" s="7">
        <f t="shared" si="8"/>
        <v>1.95E-2</v>
      </c>
      <c r="P27" s="6">
        <v>0</v>
      </c>
      <c r="Q27" s="6">
        <v>0</v>
      </c>
      <c r="R27" s="24">
        <f t="shared" si="4"/>
        <v>9.9497511415525128</v>
      </c>
      <c r="U27" s="3" t="s">
        <v>194</v>
      </c>
      <c r="V27" t="s">
        <v>200</v>
      </c>
      <c r="W27" t="s">
        <v>194</v>
      </c>
      <c r="AJ27">
        <v>2.5</v>
      </c>
      <c r="AK27" s="14"/>
      <c r="AL27" s="14"/>
      <c r="AM27" s="14"/>
      <c r="AN27" s="14"/>
      <c r="AO27" s="14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5:54" x14ac:dyDescent="0.2">
      <c r="H28" s="1">
        <v>0.83333333333333404</v>
      </c>
      <c r="I28" s="7">
        <f t="shared" si="1"/>
        <v>3.0251141552511417E-2</v>
      </c>
      <c r="J28" s="6">
        <v>0</v>
      </c>
      <c r="K28" s="4">
        <f t="shared" si="7"/>
        <v>6.9</v>
      </c>
      <c r="L28" s="7">
        <v>0</v>
      </c>
      <c r="M28" s="7">
        <f t="shared" si="6"/>
        <v>1</v>
      </c>
      <c r="N28" s="7">
        <v>2</v>
      </c>
      <c r="O28" s="7">
        <f t="shared" si="8"/>
        <v>1.95E-2</v>
      </c>
      <c r="P28" s="7">
        <v>0</v>
      </c>
      <c r="Q28" s="6">
        <v>0</v>
      </c>
      <c r="R28" s="24">
        <f t="shared" si="4"/>
        <v>9.9497511415525128</v>
      </c>
      <c r="U28" s="25">
        <f>W28*V28</f>
        <v>271.3380273972603</v>
      </c>
      <c r="V28">
        <v>0.4</v>
      </c>
      <c r="W28">
        <f>100*U24</f>
        <v>678.34506849315073</v>
      </c>
      <c r="AJ28">
        <v>2.5</v>
      </c>
      <c r="AK28" s="14"/>
      <c r="AL28" s="14"/>
      <c r="AM28" s="14"/>
      <c r="AN28" s="14"/>
      <c r="AO28" s="14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5:54" x14ac:dyDescent="0.2">
      <c r="H29" s="1">
        <v>0.875000000000001</v>
      </c>
      <c r="I29" s="7">
        <f t="shared" si="1"/>
        <v>3.0251141552511417E-2</v>
      </c>
      <c r="J29" s="6">
        <v>0</v>
      </c>
      <c r="K29" s="4">
        <f t="shared" si="7"/>
        <v>6.9</v>
      </c>
      <c r="L29" s="7">
        <f>((61/1000)+(18/1000))*4</f>
        <v>0.316</v>
      </c>
      <c r="M29" s="7">
        <v>0</v>
      </c>
      <c r="N29" s="7">
        <v>0</v>
      </c>
      <c r="O29" s="7">
        <f t="shared" si="8"/>
        <v>1.95E-2</v>
      </c>
      <c r="P29" s="7">
        <v>1.04</v>
      </c>
      <c r="Q29" s="6">
        <v>0</v>
      </c>
      <c r="R29" s="24">
        <f t="shared" si="4"/>
        <v>8.3057511415525127</v>
      </c>
      <c r="AJ29">
        <v>2.5</v>
      </c>
      <c r="AK29" s="14"/>
      <c r="AL29" s="14"/>
      <c r="AM29" s="14"/>
      <c r="AN29" s="14"/>
      <c r="AO29" s="14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5:54" x14ac:dyDescent="0.2">
      <c r="H30" s="1">
        <v>0.91666666666666696</v>
      </c>
      <c r="I30" s="7">
        <f t="shared" si="1"/>
        <v>3.0251141552511417E-2</v>
      </c>
      <c r="J30" s="6">
        <v>0</v>
      </c>
      <c r="K30" s="4">
        <f t="shared" si="7"/>
        <v>6.9</v>
      </c>
      <c r="L30" s="7">
        <f t="shared" ref="L30:L31" si="9">((61/1000)+(18/1000))*4</f>
        <v>0.316</v>
      </c>
      <c r="M30">
        <v>0</v>
      </c>
      <c r="N30">
        <v>0</v>
      </c>
      <c r="O30" s="7">
        <f>(0.5/1000)+(19/1000)</f>
        <v>1.95E-2</v>
      </c>
      <c r="P30" s="7">
        <v>0</v>
      </c>
      <c r="Q30" s="6">
        <v>0</v>
      </c>
      <c r="R30" s="24">
        <f t="shared" si="4"/>
        <v>7.2657511415525118</v>
      </c>
      <c r="AJ30">
        <v>2.5</v>
      </c>
      <c r="AK30" s="14"/>
      <c r="AL30" s="14"/>
      <c r="AM30" s="14"/>
      <c r="AN30" s="14"/>
      <c r="AO30" s="14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5:54" x14ac:dyDescent="0.2">
      <c r="H31" s="1">
        <v>0.95833333333333404</v>
      </c>
      <c r="I31" s="7">
        <f t="shared" si="1"/>
        <v>3.0251141552511417E-2</v>
      </c>
      <c r="J31" s="6">
        <v>0</v>
      </c>
      <c r="K31" s="4">
        <f>(3.9+3.9+6)/2</f>
        <v>6.9</v>
      </c>
      <c r="L31" s="7">
        <f t="shared" si="9"/>
        <v>0.316</v>
      </c>
      <c r="M31">
        <v>0</v>
      </c>
      <c r="N31" s="6">
        <v>0</v>
      </c>
      <c r="O31" s="7">
        <f t="shared" si="3"/>
        <v>5.0000000000000001E-4</v>
      </c>
      <c r="P31" s="6">
        <v>0</v>
      </c>
      <c r="Q31" s="6">
        <v>0</v>
      </c>
      <c r="R31" s="24">
        <f t="shared" si="4"/>
        <v>7.2467511415525117</v>
      </c>
    </row>
    <row r="32" spans="5:54" x14ac:dyDescent="0.2">
      <c r="H32" s="1"/>
      <c r="I32" s="6"/>
      <c r="J32" s="6"/>
      <c r="K32" s="20"/>
      <c r="L32" s="6"/>
      <c r="M32" s="6"/>
      <c r="N32" s="6"/>
      <c r="O32" s="6"/>
      <c r="P32" s="6"/>
      <c r="Q32" s="6"/>
      <c r="R32" s="6"/>
      <c r="S32" s="6"/>
      <c r="T32" s="6"/>
    </row>
    <row r="33" spans="7:50" x14ac:dyDescent="0.2">
      <c r="H33" s="1" t="s">
        <v>195</v>
      </c>
      <c r="I33" s="6">
        <f t="shared" si="1"/>
        <v>3.0251141552511417E-2</v>
      </c>
      <c r="J33" s="6">
        <v>9.5</v>
      </c>
      <c r="K33" s="4">
        <f t="shared" ref="K33" si="10">3.9+3.9+6</f>
        <v>13.8</v>
      </c>
      <c r="L33" s="6">
        <f t="shared" ref="L33" si="11">((61/1000)+(18/1000))*4</f>
        <v>0.316</v>
      </c>
      <c r="M33" s="6">
        <v>1</v>
      </c>
      <c r="N33" s="6">
        <v>2</v>
      </c>
      <c r="O33" s="6">
        <v>1.95E-2</v>
      </c>
      <c r="P33" s="6">
        <v>1.04</v>
      </c>
      <c r="Q33" s="6"/>
      <c r="R33" s="24"/>
      <c r="S33" s="6"/>
      <c r="T33" s="6"/>
    </row>
    <row r="34" spans="7:50" x14ac:dyDescent="0.2">
      <c r="H34" s="1" t="s">
        <v>285</v>
      </c>
      <c r="I34" s="6">
        <f t="shared" si="1"/>
        <v>3.0251141552511417E-2</v>
      </c>
      <c r="J34" s="6">
        <v>9.5</v>
      </c>
      <c r="K34" s="4">
        <f>K20</f>
        <v>13.8</v>
      </c>
      <c r="L34" s="6">
        <f>L19</f>
        <v>0</v>
      </c>
      <c r="M34" s="6">
        <f>M20</f>
        <v>1</v>
      </c>
      <c r="N34" s="6">
        <f>N22</f>
        <v>0</v>
      </c>
      <c r="O34" s="6">
        <f>O20</f>
        <v>5.0000000000000001E-4</v>
      </c>
      <c r="P34" s="6">
        <f>P21</f>
        <v>0</v>
      </c>
      <c r="Q34" s="6">
        <v>0</v>
      </c>
      <c r="R34" s="6">
        <f>SUM(I34:Q34)</f>
        <v>24.330751141552511</v>
      </c>
      <c r="S34" s="6"/>
      <c r="T34" s="6"/>
    </row>
    <row r="35" spans="7:50" x14ac:dyDescent="0.2">
      <c r="H35" s="1" t="s">
        <v>286</v>
      </c>
      <c r="I35" s="6">
        <f t="shared" si="1"/>
        <v>3.0251141552511417E-2</v>
      </c>
      <c r="J35" s="6">
        <v>0</v>
      </c>
      <c r="K35" s="4">
        <f>K30</f>
        <v>6.9</v>
      </c>
      <c r="L35" s="6">
        <f>L30</f>
        <v>0.316</v>
      </c>
      <c r="M35" s="6">
        <f>M28</f>
        <v>1</v>
      </c>
      <c r="N35" s="6">
        <f>N28</f>
        <v>2</v>
      </c>
      <c r="O35" s="6">
        <f>O29</f>
        <v>1.95E-2</v>
      </c>
      <c r="P35" s="6">
        <f>P29</f>
        <v>1.04</v>
      </c>
      <c r="Q35" s="6">
        <v>0</v>
      </c>
      <c r="R35" s="6">
        <f>SUM(I35:Q35)</f>
        <v>11.305751141552513</v>
      </c>
      <c r="S35" s="6"/>
      <c r="T35" s="6"/>
    </row>
    <row r="36" spans="7:50" x14ac:dyDescent="0.2">
      <c r="AJ36" s="5"/>
      <c r="AK36" t="s">
        <v>56</v>
      </c>
    </row>
    <row r="37" spans="7:50" x14ac:dyDescent="0.2">
      <c r="G37" t="s">
        <v>68</v>
      </c>
      <c r="H37" t="s">
        <v>67</v>
      </c>
      <c r="I37" s="6">
        <f>SUM(I8:I31)</f>
        <v>0.72602739726027388</v>
      </c>
      <c r="J37" s="6">
        <f t="shared" ref="J37:N37" si="12">SUM(J8:J31)</f>
        <v>9.5</v>
      </c>
      <c r="K37" s="6">
        <f t="shared" si="12"/>
        <v>241.50000000000009</v>
      </c>
      <c r="L37" s="6">
        <f t="shared" si="12"/>
        <v>3.7919999999999994</v>
      </c>
      <c r="M37" s="6">
        <f t="shared" si="12"/>
        <v>13</v>
      </c>
      <c r="N37" s="6">
        <f t="shared" si="12"/>
        <v>4</v>
      </c>
      <c r="O37" s="6">
        <f>SUM(O8:O31)</f>
        <v>0.10700000000000001</v>
      </c>
      <c r="P37" s="6">
        <f>SUM(P8:P31)</f>
        <v>1.04</v>
      </c>
      <c r="Q37" s="6">
        <v>0</v>
      </c>
      <c r="R37" s="6">
        <f>SUM(R8:R31)</f>
        <v>273.66502739726042</v>
      </c>
      <c r="AJ37" s="11"/>
      <c r="AK37" t="s">
        <v>58</v>
      </c>
      <c r="AT37" t="s">
        <v>105</v>
      </c>
      <c r="AW37">
        <f>SUM(AK24:AX24)</f>
        <v>35</v>
      </c>
      <c r="AX37" t="s">
        <v>109</v>
      </c>
    </row>
    <row r="38" spans="7:50" x14ac:dyDescent="0.2">
      <c r="H38" t="s">
        <v>18</v>
      </c>
      <c r="I38">
        <v>265</v>
      </c>
      <c r="J38">
        <f>J37*365</f>
        <v>3467.5</v>
      </c>
      <c r="K38">
        <f t="shared" ref="K38:R38" si="13">K37*365</f>
        <v>88147.500000000029</v>
      </c>
      <c r="L38">
        <f t="shared" si="13"/>
        <v>1384.0799999999997</v>
      </c>
      <c r="M38">
        <f t="shared" si="13"/>
        <v>4745</v>
      </c>
      <c r="N38">
        <f t="shared" si="13"/>
        <v>1460</v>
      </c>
      <c r="O38">
        <f t="shared" si="13"/>
        <v>39.055000000000007</v>
      </c>
      <c r="P38">
        <f>P37*365</f>
        <v>379.6</v>
      </c>
      <c r="Q38" s="6">
        <v>0</v>
      </c>
      <c r="R38">
        <f t="shared" si="13"/>
        <v>99887.735000000059</v>
      </c>
      <c r="AT38" t="s">
        <v>106</v>
      </c>
      <c r="AW38">
        <f>SUM(AJ25:AJ30)</f>
        <v>15</v>
      </c>
      <c r="AX38" t="s">
        <v>109</v>
      </c>
    </row>
    <row r="39" spans="7:50" x14ac:dyDescent="0.2">
      <c r="AT39" t="s">
        <v>107</v>
      </c>
      <c r="AW39">
        <f>AZ18</f>
        <v>3.5</v>
      </c>
      <c r="AX39" t="s">
        <v>109</v>
      </c>
    </row>
    <row r="40" spans="7:50" x14ac:dyDescent="0.2">
      <c r="H40" t="s">
        <v>22</v>
      </c>
      <c r="I40">
        <v>300</v>
      </c>
      <c r="J40">
        <v>300</v>
      </c>
      <c r="K40">
        <f>(2*500)+900</f>
        <v>1900</v>
      </c>
      <c r="L40" s="8" t="s">
        <v>44</v>
      </c>
      <c r="M40">
        <f>8*20</f>
        <v>160</v>
      </c>
      <c r="N40">
        <v>300</v>
      </c>
      <c r="O40">
        <v>150</v>
      </c>
      <c r="P40">
        <v>275</v>
      </c>
      <c r="Q40">
        <v>0</v>
      </c>
      <c r="R40">
        <f>SUM(I40:Q40)</f>
        <v>3385</v>
      </c>
    </row>
    <row r="41" spans="7:50" x14ac:dyDescent="0.2">
      <c r="AL41">
        <v>500</v>
      </c>
      <c r="AT41" t="s">
        <v>115</v>
      </c>
      <c r="AW41">
        <f>AW37*AW38</f>
        <v>525</v>
      </c>
      <c r="AX41" t="s">
        <v>118</v>
      </c>
    </row>
    <row r="42" spans="7:50" x14ac:dyDescent="0.2">
      <c r="J42" t="s">
        <v>119</v>
      </c>
      <c r="K42" t="s">
        <v>27</v>
      </c>
      <c r="L42" t="s">
        <v>29</v>
      </c>
      <c r="M42" t="s">
        <v>46</v>
      </c>
      <c r="AK42">
        <v>200</v>
      </c>
      <c r="AL42">
        <v>300</v>
      </c>
    </row>
    <row r="43" spans="7:50" x14ac:dyDescent="0.2">
      <c r="J43" t="s">
        <v>120</v>
      </c>
      <c r="L43" t="s">
        <v>30</v>
      </c>
      <c r="M43" t="s">
        <v>39</v>
      </c>
      <c r="N43" t="s">
        <v>50</v>
      </c>
      <c r="P43" t="s">
        <v>133</v>
      </c>
      <c r="Q43" t="s">
        <v>185</v>
      </c>
      <c r="AM43">
        <v>20</v>
      </c>
      <c r="AN43">
        <v>30</v>
      </c>
    </row>
    <row r="44" spans="7:50" x14ac:dyDescent="0.2">
      <c r="K44" t="s">
        <v>81</v>
      </c>
      <c r="L44" t="s">
        <v>31</v>
      </c>
      <c r="N44" t="s">
        <v>51</v>
      </c>
      <c r="P44" t="s">
        <v>130</v>
      </c>
      <c r="Q44" t="s">
        <v>186</v>
      </c>
      <c r="AL44">
        <v>10</v>
      </c>
    </row>
    <row r="45" spans="7:50" x14ac:dyDescent="0.2">
      <c r="J45" t="s">
        <v>121</v>
      </c>
      <c r="K45" t="s">
        <v>28</v>
      </c>
      <c r="M45" t="s">
        <v>47</v>
      </c>
      <c r="AM45">
        <v>50</v>
      </c>
    </row>
    <row r="46" spans="7:50" x14ac:dyDescent="0.2">
      <c r="L46" t="s">
        <v>33</v>
      </c>
      <c r="N46" t="s">
        <v>52</v>
      </c>
      <c r="P46" t="s">
        <v>131</v>
      </c>
      <c r="Q46" t="s">
        <v>188</v>
      </c>
      <c r="AL46">
        <v>10</v>
      </c>
    </row>
    <row r="47" spans="7:50" x14ac:dyDescent="0.2">
      <c r="L47" t="s">
        <v>34</v>
      </c>
      <c r="M47" t="s">
        <v>48</v>
      </c>
      <c r="N47" t="s">
        <v>53</v>
      </c>
      <c r="P47" t="s">
        <v>132</v>
      </c>
    </row>
    <row r="48" spans="7:50" x14ac:dyDescent="0.2">
      <c r="Q48" t="s">
        <v>189</v>
      </c>
      <c r="AM48">
        <v>35</v>
      </c>
    </row>
    <row r="49" spans="12:38" x14ac:dyDescent="0.2">
      <c r="L49" t="s">
        <v>37</v>
      </c>
      <c r="M49" t="s">
        <v>45</v>
      </c>
      <c r="N49" t="s">
        <v>54</v>
      </c>
      <c r="P49" t="s">
        <v>187</v>
      </c>
      <c r="AL49">
        <v>15</v>
      </c>
    </row>
    <row r="50" spans="12:38" x14ac:dyDescent="0.2">
      <c r="L50" t="s">
        <v>38</v>
      </c>
    </row>
    <row r="51" spans="12:38" x14ac:dyDescent="0.2">
      <c r="M51" t="s">
        <v>40</v>
      </c>
    </row>
    <row r="52" spans="12:38" x14ac:dyDescent="0.2">
      <c r="M52" t="s">
        <v>41</v>
      </c>
    </row>
    <row r="53" spans="12:38" x14ac:dyDescent="0.2">
      <c r="M53" t="s">
        <v>42</v>
      </c>
    </row>
  </sheetData>
  <hyperlinks>
    <hyperlink ref="I5" r:id="rId1" xr:uid="{11304927-69A6-9146-8389-095D803CD4B8}"/>
    <hyperlink ref="J5" r:id="rId2" xr:uid="{784ECBF9-007B-CC4B-97A3-98950FCD9597}"/>
    <hyperlink ref="J4" r:id="rId3" xr:uid="{8C0C7619-61BD-1948-8EB6-2A2B0CEEA32B}"/>
    <hyperlink ref="K5" r:id="rId4" xr:uid="{C48C0D35-611E-4F48-B71C-9A199BF78046}"/>
    <hyperlink ref="K4" r:id="rId5" xr:uid="{BEAE7415-C77B-1241-8483-58AEC3B8CA07}"/>
    <hyperlink ref="K3" r:id="rId6" xr:uid="{92D028E6-59A9-534C-A5E0-AC5E5AD90677}"/>
    <hyperlink ref="K2" r:id="rId7" xr:uid="{1524CBA4-FADA-D548-A75C-5F7A9A0E76DF}"/>
    <hyperlink ref="L5" r:id="rId8" display="https://www.apple.com/at/shop/product/MRW22ZM/A/61w-usb%E2%80%91c-power-adapter?fnode=2a64f71e05232b77c8186d4b517bc9ef2b7b912a102433afa05c3213724d2f90454bee06c48ef2d5a94012bb2a7768c2996ccd8d4893dbc48a94a8a6cbb41c6585ae511d1c581cf64610cf1b7c6d41b3f5c1a789a458c120c9d3662bff742611" xr:uid="{DFB4AABE-FDAE-5A40-B53D-E72586F769A0}"/>
    <hyperlink ref="L4" r:id="rId9" xr:uid="{3CBAA8CB-C31B-194A-89DA-7CE508324B37}"/>
    <hyperlink ref="M5" r:id="rId10" xr:uid="{05B3029E-21DD-C54A-A443-7E35C7561858}"/>
    <hyperlink ref="O5" r:id="rId11" xr:uid="{A5C6B759-26A4-6643-8B2F-826535F24970}"/>
    <hyperlink ref="N5" r:id="rId12" xr:uid="{424BFD0C-3ADC-5B47-8D6A-EEDEEC6A61F9}"/>
    <hyperlink ref="K1" r:id="rId13" xr:uid="{A034CABA-8AE1-794A-912C-21E0F2852905}"/>
    <hyperlink ref="P5" r:id="rId14" xr:uid="{93C6BA40-E0C4-9A4F-B3EF-4115D1B48980}"/>
    <hyperlink ref="Q5" r:id="rId15" xr:uid="{7BC222E1-1705-A64B-910E-302D94D87736}"/>
    <hyperlink ref="U5" r:id="rId16" xr:uid="{FF369210-8BB4-F547-9FFC-036163905576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ACD8-113E-FC45-9364-8423C0D21923}">
  <dimension ref="B2:M87"/>
  <sheetViews>
    <sheetView topLeftCell="B1" workbookViewId="0">
      <selection activeCell="I17" sqref="I17"/>
    </sheetView>
  </sheetViews>
  <sheetFormatPr baseColWidth="10" defaultRowHeight="16" x14ac:dyDescent="0.2"/>
  <cols>
    <col min="2" max="2" width="14" bestFit="1" customWidth="1"/>
    <col min="3" max="3" width="16.33203125" bestFit="1" customWidth="1"/>
    <col min="4" max="4" width="13.1640625" customWidth="1"/>
    <col min="5" max="5" width="12.83203125" customWidth="1"/>
    <col min="6" max="6" width="15" customWidth="1"/>
    <col min="7" max="7" width="26.5" customWidth="1"/>
    <col min="11" max="11" width="16.33203125" customWidth="1"/>
    <col min="12" max="12" width="17.6640625" customWidth="1"/>
    <col min="13" max="13" width="20.5" customWidth="1"/>
  </cols>
  <sheetData>
    <row r="2" spans="2:13" x14ac:dyDescent="0.2">
      <c r="B2" t="s">
        <v>0</v>
      </c>
      <c r="G2" s="2" t="s">
        <v>98</v>
      </c>
    </row>
    <row r="3" spans="2:13" x14ac:dyDescent="0.2">
      <c r="C3" t="s">
        <v>57</v>
      </c>
      <c r="G3" s="2" t="s">
        <v>93</v>
      </c>
    </row>
    <row r="4" spans="2:13" x14ac:dyDescent="0.2">
      <c r="D4" t="s">
        <v>85</v>
      </c>
      <c r="G4" s="2" t="s">
        <v>92</v>
      </c>
    </row>
    <row r="5" spans="2:13" x14ac:dyDescent="0.2">
      <c r="C5" t="s">
        <v>78</v>
      </c>
      <c r="E5" t="s">
        <v>62</v>
      </c>
      <c r="F5" t="s">
        <v>76</v>
      </c>
      <c r="G5" t="s">
        <v>90</v>
      </c>
      <c r="H5" t="s">
        <v>11</v>
      </c>
      <c r="K5" t="s">
        <v>191</v>
      </c>
      <c r="L5" t="s">
        <v>192</v>
      </c>
      <c r="M5" t="s">
        <v>193</v>
      </c>
    </row>
    <row r="6" spans="2:13" x14ac:dyDescent="0.2">
      <c r="E6" s="8" t="s">
        <v>63</v>
      </c>
      <c r="F6" s="9" t="s">
        <v>19</v>
      </c>
      <c r="G6" s="9" t="s">
        <v>19</v>
      </c>
      <c r="H6" s="9" t="s">
        <v>19</v>
      </c>
      <c r="K6" s="3" t="s">
        <v>194</v>
      </c>
      <c r="L6" s="3" t="s">
        <v>202</v>
      </c>
      <c r="M6" s="3" t="s">
        <v>194</v>
      </c>
    </row>
    <row r="7" spans="2:13" x14ac:dyDescent="0.2">
      <c r="E7" s="1">
        <v>0</v>
      </c>
      <c r="F7" s="7">
        <f>((265/365)/24)*40</f>
        <v>1.2100456621004567</v>
      </c>
      <c r="G7">
        <f>(60/1000)*1</f>
        <v>0.06</v>
      </c>
      <c r="H7">
        <f>SUM(F7:G7)</f>
        <v>1.2700456621004568</v>
      </c>
      <c r="K7" s="21">
        <f>L7*M7</f>
        <v>30.246027397260274</v>
      </c>
      <c r="L7">
        <v>0.6</v>
      </c>
      <c r="M7">
        <f>SUM(H32,H73)</f>
        <v>50.410045662100458</v>
      </c>
    </row>
    <row r="8" spans="2:13" x14ac:dyDescent="0.2">
      <c r="E8" s="1">
        <v>4.1666666666666699E-2</v>
      </c>
      <c r="F8" s="7">
        <f t="shared" ref="F8:F30" si="0">((265/365)/24)*40</f>
        <v>1.2100456621004567</v>
      </c>
      <c r="G8">
        <f t="shared" ref="G8:G15" si="1">(60/1000)*1</f>
        <v>0.06</v>
      </c>
      <c r="H8">
        <f t="shared" ref="H8:H30" si="2">SUM(F8:G8)</f>
        <v>1.2700456621004568</v>
      </c>
    </row>
    <row r="9" spans="2:13" x14ac:dyDescent="0.2">
      <c r="E9" s="1">
        <v>8.3333333333333301E-2</v>
      </c>
      <c r="F9" s="7">
        <f t="shared" si="0"/>
        <v>1.2100456621004567</v>
      </c>
      <c r="G9">
        <f t="shared" si="1"/>
        <v>0.06</v>
      </c>
      <c r="H9">
        <f t="shared" si="2"/>
        <v>1.2700456621004568</v>
      </c>
      <c r="K9" t="s">
        <v>203</v>
      </c>
    </row>
    <row r="10" spans="2:13" x14ac:dyDescent="0.2">
      <c r="E10" s="1">
        <v>0.125</v>
      </c>
      <c r="F10" s="7">
        <f t="shared" si="0"/>
        <v>1.2100456621004567</v>
      </c>
      <c r="G10">
        <f t="shared" si="1"/>
        <v>0.06</v>
      </c>
      <c r="H10">
        <f t="shared" si="2"/>
        <v>1.2700456621004568</v>
      </c>
      <c r="K10" s="3"/>
    </row>
    <row r="11" spans="2:13" x14ac:dyDescent="0.2">
      <c r="E11" s="1">
        <v>0.16666666666666699</v>
      </c>
      <c r="F11" s="7">
        <f t="shared" si="0"/>
        <v>1.2100456621004567</v>
      </c>
      <c r="G11">
        <f t="shared" si="1"/>
        <v>0.06</v>
      </c>
      <c r="H11">
        <f t="shared" si="2"/>
        <v>1.2700456621004568</v>
      </c>
      <c r="K11" s="6"/>
    </row>
    <row r="12" spans="2:13" x14ac:dyDescent="0.2">
      <c r="E12" s="1">
        <v>0.20833333333333301</v>
      </c>
      <c r="F12" s="7">
        <f t="shared" si="0"/>
        <v>1.2100456621004567</v>
      </c>
      <c r="G12">
        <f t="shared" si="1"/>
        <v>0.06</v>
      </c>
      <c r="H12">
        <f t="shared" si="2"/>
        <v>1.2700456621004568</v>
      </c>
    </row>
    <row r="13" spans="2:13" x14ac:dyDescent="0.2">
      <c r="E13" s="1">
        <v>0.25</v>
      </c>
      <c r="F13" s="7">
        <f t="shared" si="0"/>
        <v>1.2100456621004567</v>
      </c>
      <c r="G13">
        <f t="shared" si="1"/>
        <v>0.06</v>
      </c>
      <c r="H13">
        <f t="shared" si="2"/>
        <v>1.2700456621004568</v>
      </c>
    </row>
    <row r="14" spans="2:13" x14ac:dyDescent="0.2">
      <c r="E14" s="1">
        <v>0.29166666666666702</v>
      </c>
      <c r="F14" s="7">
        <f t="shared" si="0"/>
        <v>1.2100456621004567</v>
      </c>
      <c r="G14">
        <f t="shared" si="1"/>
        <v>0.06</v>
      </c>
      <c r="H14">
        <f t="shared" si="2"/>
        <v>1.2700456621004568</v>
      </c>
    </row>
    <row r="15" spans="2:13" x14ac:dyDescent="0.2">
      <c r="E15" s="1">
        <v>0.33333333333333298</v>
      </c>
      <c r="F15" s="7">
        <f t="shared" si="0"/>
        <v>1.2100456621004567</v>
      </c>
      <c r="G15">
        <f t="shared" si="1"/>
        <v>0.06</v>
      </c>
      <c r="H15">
        <f t="shared" si="2"/>
        <v>1.2700456621004568</v>
      </c>
    </row>
    <row r="16" spans="2:13" x14ac:dyDescent="0.2">
      <c r="E16" s="1">
        <v>0.375</v>
      </c>
      <c r="F16" s="7">
        <f t="shared" si="0"/>
        <v>1.2100456621004567</v>
      </c>
      <c r="G16">
        <f>(200/1000)*1</f>
        <v>0.2</v>
      </c>
      <c r="H16">
        <f t="shared" si="2"/>
        <v>1.4100456621004567</v>
      </c>
    </row>
    <row r="17" spans="4:8" x14ac:dyDescent="0.2">
      <c r="E17" s="1">
        <v>0.41666666666666702</v>
      </c>
      <c r="F17" s="7">
        <f t="shared" si="0"/>
        <v>1.2100456621004567</v>
      </c>
      <c r="G17">
        <f t="shared" ref="G17:G25" si="3">(200/1000)*1</f>
        <v>0.2</v>
      </c>
      <c r="H17">
        <f t="shared" si="2"/>
        <v>1.4100456621004567</v>
      </c>
    </row>
    <row r="18" spans="4:8" x14ac:dyDescent="0.2">
      <c r="E18" s="1">
        <v>0.45833333333333398</v>
      </c>
      <c r="F18" s="7">
        <f t="shared" si="0"/>
        <v>1.2100456621004567</v>
      </c>
      <c r="G18">
        <f t="shared" si="3"/>
        <v>0.2</v>
      </c>
      <c r="H18">
        <f t="shared" si="2"/>
        <v>1.4100456621004567</v>
      </c>
    </row>
    <row r="19" spans="4:8" x14ac:dyDescent="0.2">
      <c r="E19" s="1">
        <v>0.5</v>
      </c>
      <c r="F19" s="7">
        <f t="shared" si="0"/>
        <v>1.2100456621004567</v>
      </c>
      <c r="G19">
        <f t="shared" si="3"/>
        <v>0.2</v>
      </c>
      <c r="H19">
        <f t="shared" si="2"/>
        <v>1.4100456621004567</v>
      </c>
    </row>
    <row r="20" spans="4:8" x14ac:dyDescent="0.2">
      <c r="E20" s="1">
        <v>0.54166666666666696</v>
      </c>
      <c r="F20" s="7">
        <f t="shared" si="0"/>
        <v>1.2100456621004567</v>
      </c>
      <c r="G20">
        <f t="shared" si="3"/>
        <v>0.2</v>
      </c>
      <c r="H20">
        <f t="shared" si="2"/>
        <v>1.4100456621004567</v>
      </c>
    </row>
    <row r="21" spans="4:8" x14ac:dyDescent="0.2">
      <c r="E21" s="1">
        <v>0.58333333333333404</v>
      </c>
      <c r="F21" s="7">
        <f t="shared" si="0"/>
        <v>1.2100456621004567</v>
      </c>
      <c r="G21">
        <f t="shared" si="3"/>
        <v>0.2</v>
      </c>
      <c r="H21">
        <f t="shared" si="2"/>
        <v>1.4100456621004567</v>
      </c>
    </row>
    <row r="22" spans="4:8" x14ac:dyDescent="0.2">
      <c r="E22" s="1">
        <v>0.625</v>
      </c>
      <c r="F22" s="7">
        <f t="shared" si="0"/>
        <v>1.2100456621004567</v>
      </c>
      <c r="G22">
        <f t="shared" si="3"/>
        <v>0.2</v>
      </c>
      <c r="H22">
        <f t="shared" si="2"/>
        <v>1.4100456621004567</v>
      </c>
    </row>
    <row r="23" spans="4:8" x14ac:dyDescent="0.2">
      <c r="E23" s="1">
        <v>0.66666666666666696</v>
      </c>
      <c r="F23" s="7">
        <f t="shared" si="0"/>
        <v>1.2100456621004567</v>
      </c>
      <c r="G23">
        <f t="shared" si="3"/>
        <v>0.2</v>
      </c>
      <c r="H23">
        <f t="shared" si="2"/>
        <v>1.4100456621004567</v>
      </c>
    </row>
    <row r="24" spans="4:8" x14ac:dyDescent="0.2">
      <c r="E24" s="1">
        <v>0.70833333333333404</v>
      </c>
      <c r="F24" s="7">
        <f t="shared" si="0"/>
        <v>1.2100456621004567</v>
      </c>
      <c r="G24">
        <f t="shared" si="3"/>
        <v>0.2</v>
      </c>
      <c r="H24">
        <f t="shared" si="2"/>
        <v>1.4100456621004567</v>
      </c>
    </row>
    <row r="25" spans="4:8" x14ac:dyDescent="0.2">
      <c r="E25" s="1">
        <v>0.750000000000001</v>
      </c>
      <c r="F25" s="7">
        <f t="shared" si="0"/>
        <v>1.2100456621004567</v>
      </c>
      <c r="G25">
        <f t="shared" si="3"/>
        <v>0.2</v>
      </c>
      <c r="H25">
        <f t="shared" si="2"/>
        <v>1.4100456621004567</v>
      </c>
    </row>
    <row r="26" spans="4:8" x14ac:dyDescent="0.2">
      <c r="E26" s="1">
        <v>0.79166666666666696</v>
      </c>
      <c r="F26" s="7">
        <f t="shared" si="0"/>
        <v>1.2100456621004567</v>
      </c>
      <c r="G26">
        <f t="shared" ref="G26:G30" si="4">(60/1000)*1</f>
        <v>0.06</v>
      </c>
      <c r="H26">
        <f t="shared" si="2"/>
        <v>1.2700456621004568</v>
      </c>
    </row>
    <row r="27" spans="4:8" x14ac:dyDescent="0.2">
      <c r="E27" s="1">
        <v>0.83333333333333404</v>
      </c>
      <c r="F27" s="7">
        <f t="shared" si="0"/>
        <v>1.2100456621004567</v>
      </c>
      <c r="G27">
        <f t="shared" si="4"/>
        <v>0.06</v>
      </c>
      <c r="H27">
        <f t="shared" si="2"/>
        <v>1.2700456621004568</v>
      </c>
    </row>
    <row r="28" spans="4:8" x14ac:dyDescent="0.2">
      <c r="E28" s="1">
        <v>0.875000000000001</v>
      </c>
      <c r="F28" s="7">
        <f t="shared" si="0"/>
        <v>1.2100456621004567</v>
      </c>
      <c r="G28">
        <f t="shared" si="4"/>
        <v>0.06</v>
      </c>
      <c r="H28">
        <f t="shared" si="2"/>
        <v>1.2700456621004568</v>
      </c>
    </row>
    <row r="29" spans="4:8" x14ac:dyDescent="0.2">
      <c r="E29" s="1">
        <v>0.91666666666666696</v>
      </c>
      <c r="F29" s="7">
        <f t="shared" si="0"/>
        <v>1.2100456621004567</v>
      </c>
      <c r="G29">
        <f t="shared" si="4"/>
        <v>0.06</v>
      </c>
      <c r="H29">
        <f t="shared" si="2"/>
        <v>1.2700456621004568</v>
      </c>
    </row>
    <row r="30" spans="4:8" x14ac:dyDescent="0.2">
      <c r="E30" s="1">
        <v>0.95833333333333404</v>
      </c>
      <c r="F30" s="7">
        <f t="shared" si="0"/>
        <v>1.2100456621004567</v>
      </c>
      <c r="G30">
        <f t="shared" si="4"/>
        <v>0.06</v>
      </c>
      <c r="H30">
        <f t="shared" si="2"/>
        <v>1.2700456621004568</v>
      </c>
    </row>
    <row r="31" spans="4:8" x14ac:dyDescent="0.2">
      <c r="E31" s="1"/>
      <c r="F31" s="6"/>
    </row>
    <row r="32" spans="4:8" x14ac:dyDescent="0.2">
      <c r="D32" t="s">
        <v>195</v>
      </c>
      <c r="F32" s="6">
        <f>F22</f>
        <v>1.2100456621004567</v>
      </c>
      <c r="G32">
        <f>G22</f>
        <v>0.2</v>
      </c>
      <c r="H32">
        <f>SUM(F32:G32)</f>
        <v>1.4100456621004567</v>
      </c>
    </row>
    <row r="34" spans="3:8" x14ac:dyDescent="0.2">
      <c r="D34" t="s">
        <v>87</v>
      </c>
      <c r="E34" t="s">
        <v>67</v>
      </c>
      <c r="F34" s="7">
        <f>SUM(F7:F30)</f>
        <v>29.041095890410951</v>
      </c>
      <c r="G34">
        <f>SUM(G7:G30)</f>
        <v>2.8400000000000003</v>
      </c>
      <c r="H34">
        <f>SUM(H7:H30)</f>
        <v>31.881095890410975</v>
      </c>
    </row>
    <row r="35" spans="3:8" x14ac:dyDescent="0.2">
      <c r="E35" t="s">
        <v>18</v>
      </c>
      <c r="F35">
        <f>F34*365</f>
        <v>10599.999999999996</v>
      </c>
      <c r="G35">
        <f>G34*365</f>
        <v>1036.6000000000001</v>
      </c>
      <c r="H35">
        <f>H34*365</f>
        <v>11636.600000000006</v>
      </c>
    </row>
    <row r="37" spans="3:8" x14ac:dyDescent="0.2">
      <c r="E37" t="s">
        <v>22</v>
      </c>
      <c r="F37">
        <f>40*300</f>
        <v>12000</v>
      </c>
      <c r="G37">
        <v>1000</v>
      </c>
    </row>
    <row r="39" spans="3:8" x14ac:dyDescent="0.2">
      <c r="F39" t="s">
        <v>80</v>
      </c>
      <c r="G39" t="s">
        <v>88</v>
      </c>
    </row>
    <row r="40" spans="3:8" x14ac:dyDescent="0.2">
      <c r="G40" t="s">
        <v>89</v>
      </c>
    </row>
    <row r="41" spans="3:8" x14ac:dyDescent="0.2">
      <c r="G41" t="s">
        <v>95</v>
      </c>
    </row>
    <row r="42" spans="3:8" x14ac:dyDescent="0.2">
      <c r="G42" t="s">
        <v>94</v>
      </c>
    </row>
    <row r="43" spans="3:8" x14ac:dyDescent="0.2">
      <c r="G43" t="s">
        <v>96</v>
      </c>
    </row>
    <row r="44" spans="3:8" x14ac:dyDescent="0.2">
      <c r="G44" t="s">
        <v>97</v>
      </c>
    </row>
    <row r="45" spans="3:8" x14ac:dyDescent="0.2">
      <c r="D45" t="s">
        <v>86</v>
      </c>
    </row>
    <row r="46" spans="3:8" x14ac:dyDescent="0.2">
      <c r="C46" t="s">
        <v>77</v>
      </c>
      <c r="E46" t="s">
        <v>62</v>
      </c>
      <c r="F46" t="s">
        <v>4</v>
      </c>
      <c r="G46" t="s">
        <v>90</v>
      </c>
      <c r="H46" t="s">
        <v>11</v>
      </c>
    </row>
    <row r="47" spans="3:8" x14ac:dyDescent="0.2">
      <c r="C47" t="s">
        <v>79</v>
      </c>
      <c r="E47" s="8" t="s">
        <v>63</v>
      </c>
      <c r="F47" s="3" t="s">
        <v>19</v>
      </c>
      <c r="G47" s="9" t="s">
        <v>19</v>
      </c>
      <c r="H47" s="9" t="s">
        <v>19</v>
      </c>
    </row>
    <row r="48" spans="3:8" x14ac:dyDescent="0.2">
      <c r="E48" s="1">
        <v>0</v>
      </c>
      <c r="F48" s="10">
        <f>(6*8)/2</f>
        <v>24</v>
      </c>
      <c r="G48">
        <f>(60/1000)*5</f>
        <v>0.3</v>
      </c>
      <c r="H48">
        <f>SUM(F48:G48)</f>
        <v>24.3</v>
      </c>
    </row>
    <row r="49" spans="5:8" x14ac:dyDescent="0.2">
      <c r="E49" s="1">
        <v>4.1666666666666699E-2</v>
      </c>
      <c r="F49" s="10">
        <f t="shared" ref="F49:F54" si="5">(6*8)/2</f>
        <v>24</v>
      </c>
      <c r="G49">
        <f t="shared" ref="G49:G55" si="6">(60/1000)*5</f>
        <v>0.3</v>
      </c>
      <c r="H49">
        <f t="shared" ref="H49:H71" si="7">SUM(F49:G49)</f>
        <v>24.3</v>
      </c>
    </row>
    <row r="50" spans="5:8" x14ac:dyDescent="0.2">
      <c r="E50" s="1">
        <v>8.3333333333333301E-2</v>
      </c>
      <c r="F50" s="10">
        <f t="shared" si="5"/>
        <v>24</v>
      </c>
      <c r="G50">
        <f t="shared" si="6"/>
        <v>0.3</v>
      </c>
      <c r="H50">
        <f t="shared" si="7"/>
        <v>24.3</v>
      </c>
    </row>
    <row r="51" spans="5:8" x14ac:dyDescent="0.2">
      <c r="E51" s="1">
        <v>0.125</v>
      </c>
      <c r="F51" s="10">
        <f t="shared" si="5"/>
        <v>24</v>
      </c>
      <c r="G51">
        <f t="shared" si="6"/>
        <v>0.3</v>
      </c>
      <c r="H51">
        <f t="shared" si="7"/>
        <v>24.3</v>
      </c>
    </row>
    <row r="52" spans="5:8" x14ac:dyDescent="0.2">
      <c r="E52" s="1">
        <v>0.16666666666666699</v>
      </c>
      <c r="F52" s="10">
        <f t="shared" si="5"/>
        <v>24</v>
      </c>
      <c r="G52">
        <f t="shared" si="6"/>
        <v>0.3</v>
      </c>
      <c r="H52">
        <f t="shared" si="7"/>
        <v>24.3</v>
      </c>
    </row>
    <row r="53" spans="5:8" x14ac:dyDescent="0.2">
      <c r="E53" s="1">
        <v>0.20833333333333301</v>
      </c>
      <c r="F53" s="10">
        <f t="shared" si="5"/>
        <v>24</v>
      </c>
      <c r="G53">
        <f t="shared" si="6"/>
        <v>0.3</v>
      </c>
      <c r="H53">
        <f t="shared" si="7"/>
        <v>24.3</v>
      </c>
    </row>
    <row r="54" spans="5:8" x14ac:dyDescent="0.2">
      <c r="E54" s="1">
        <v>0.25</v>
      </c>
      <c r="F54" s="10">
        <f t="shared" si="5"/>
        <v>24</v>
      </c>
      <c r="G54">
        <f t="shared" si="6"/>
        <v>0.3</v>
      </c>
      <c r="H54">
        <f t="shared" si="7"/>
        <v>24.3</v>
      </c>
    </row>
    <row r="55" spans="5:8" x14ac:dyDescent="0.2">
      <c r="E55" s="1">
        <v>0.29166666666666702</v>
      </c>
      <c r="F55" s="10">
        <f>(6*8)</f>
        <v>48</v>
      </c>
      <c r="G55">
        <f t="shared" si="6"/>
        <v>0.3</v>
      </c>
      <c r="H55">
        <f t="shared" si="7"/>
        <v>48.3</v>
      </c>
    </row>
    <row r="56" spans="5:8" x14ac:dyDescent="0.2">
      <c r="E56" s="1">
        <v>0.33333333333333298</v>
      </c>
      <c r="F56" s="10">
        <f t="shared" ref="F56:F65" si="8">(6*8)</f>
        <v>48</v>
      </c>
      <c r="G56">
        <f>(200/1000)*5</f>
        <v>1</v>
      </c>
      <c r="H56">
        <f t="shared" si="7"/>
        <v>49</v>
      </c>
    </row>
    <row r="57" spans="5:8" x14ac:dyDescent="0.2">
      <c r="E57" s="1">
        <v>0.375</v>
      </c>
      <c r="F57" s="10">
        <f t="shared" si="8"/>
        <v>48</v>
      </c>
      <c r="G57">
        <f t="shared" ref="G57:G66" si="9">(200/1000)*5</f>
        <v>1</v>
      </c>
      <c r="H57">
        <f t="shared" si="7"/>
        <v>49</v>
      </c>
    </row>
    <row r="58" spans="5:8" x14ac:dyDescent="0.2">
      <c r="E58" s="1">
        <v>0.41666666666666702</v>
      </c>
      <c r="F58" s="10">
        <f t="shared" si="8"/>
        <v>48</v>
      </c>
      <c r="G58">
        <f t="shared" si="9"/>
        <v>1</v>
      </c>
      <c r="H58">
        <f t="shared" si="7"/>
        <v>49</v>
      </c>
    </row>
    <row r="59" spans="5:8" x14ac:dyDescent="0.2">
      <c r="E59" s="1">
        <v>0.45833333333333398</v>
      </c>
      <c r="F59" s="10">
        <f t="shared" si="8"/>
        <v>48</v>
      </c>
      <c r="G59">
        <f t="shared" si="9"/>
        <v>1</v>
      </c>
      <c r="H59">
        <f t="shared" si="7"/>
        <v>49</v>
      </c>
    </row>
    <row r="60" spans="5:8" x14ac:dyDescent="0.2">
      <c r="E60" s="1">
        <v>0.5</v>
      </c>
      <c r="F60" s="10">
        <f t="shared" si="8"/>
        <v>48</v>
      </c>
      <c r="G60">
        <f t="shared" si="9"/>
        <v>1</v>
      </c>
      <c r="H60">
        <f t="shared" si="7"/>
        <v>49</v>
      </c>
    </row>
    <row r="61" spans="5:8" x14ac:dyDescent="0.2">
      <c r="E61" s="1">
        <v>0.54166666666666696</v>
      </c>
      <c r="F61" s="10">
        <f t="shared" si="8"/>
        <v>48</v>
      </c>
      <c r="G61">
        <f t="shared" si="9"/>
        <v>1</v>
      </c>
      <c r="H61">
        <f t="shared" si="7"/>
        <v>49</v>
      </c>
    </row>
    <row r="62" spans="5:8" x14ac:dyDescent="0.2">
      <c r="E62" s="1">
        <v>0.58333333333333404</v>
      </c>
      <c r="F62" s="10">
        <f t="shared" si="8"/>
        <v>48</v>
      </c>
      <c r="G62">
        <f t="shared" si="9"/>
        <v>1</v>
      </c>
      <c r="H62">
        <f t="shared" si="7"/>
        <v>49</v>
      </c>
    </row>
    <row r="63" spans="5:8" x14ac:dyDescent="0.2">
      <c r="E63" s="1">
        <v>0.625</v>
      </c>
      <c r="F63" s="10">
        <f t="shared" si="8"/>
        <v>48</v>
      </c>
      <c r="G63">
        <f t="shared" si="9"/>
        <v>1</v>
      </c>
      <c r="H63">
        <f t="shared" si="7"/>
        <v>49</v>
      </c>
    </row>
    <row r="64" spans="5:8" x14ac:dyDescent="0.2">
      <c r="E64" s="1">
        <v>0.66666666666666696</v>
      </c>
      <c r="F64" s="10">
        <f t="shared" si="8"/>
        <v>48</v>
      </c>
      <c r="G64">
        <f t="shared" si="9"/>
        <v>1</v>
      </c>
      <c r="H64">
        <f t="shared" si="7"/>
        <v>49</v>
      </c>
    </row>
    <row r="65" spans="4:8" x14ac:dyDescent="0.2">
      <c r="E65" s="1">
        <v>0.70833333333333404</v>
      </c>
      <c r="F65" s="10">
        <f t="shared" si="8"/>
        <v>48</v>
      </c>
      <c r="G65">
        <f t="shared" si="9"/>
        <v>1</v>
      </c>
      <c r="H65">
        <f t="shared" si="7"/>
        <v>49</v>
      </c>
    </row>
    <row r="66" spans="4:8" x14ac:dyDescent="0.2">
      <c r="E66" s="1">
        <v>0.750000000000001</v>
      </c>
      <c r="F66" s="10">
        <f>(6*8)/2</f>
        <v>24</v>
      </c>
      <c r="G66">
        <f t="shared" si="9"/>
        <v>1</v>
      </c>
      <c r="H66">
        <f t="shared" si="7"/>
        <v>25</v>
      </c>
    </row>
    <row r="67" spans="4:8" x14ac:dyDescent="0.2">
      <c r="E67" s="1">
        <v>0.79166666666666696</v>
      </c>
      <c r="F67" s="10">
        <f t="shared" ref="F67:F71" si="10">(6*8)/2</f>
        <v>24</v>
      </c>
      <c r="G67">
        <f t="shared" ref="G67:G71" si="11">(60/1000)*5</f>
        <v>0.3</v>
      </c>
      <c r="H67">
        <f t="shared" si="7"/>
        <v>24.3</v>
      </c>
    </row>
    <row r="68" spans="4:8" x14ac:dyDescent="0.2">
      <c r="E68" s="1">
        <v>0.83333333333333404</v>
      </c>
      <c r="F68" s="10">
        <f t="shared" si="10"/>
        <v>24</v>
      </c>
      <c r="G68">
        <f t="shared" si="11"/>
        <v>0.3</v>
      </c>
      <c r="H68">
        <f t="shared" si="7"/>
        <v>24.3</v>
      </c>
    </row>
    <row r="69" spans="4:8" x14ac:dyDescent="0.2">
      <c r="E69" s="1">
        <v>0.875000000000001</v>
      </c>
      <c r="F69" s="10">
        <f t="shared" si="10"/>
        <v>24</v>
      </c>
      <c r="G69">
        <f t="shared" si="11"/>
        <v>0.3</v>
      </c>
      <c r="H69">
        <f t="shared" si="7"/>
        <v>24.3</v>
      </c>
    </row>
    <row r="70" spans="4:8" x14ac:dyDescent="0.2">
      <c r="E70" s="1">
        <v>0.91666666666666696</v>
      </c>
      <c r="F70" s="10">
        <f t="shared" si="10"/>
        <v>24</v>
      </c>
      <c r="G70">
        <f t="shared" si="11"/>
        <v>0.3</v>
      </c>
      <c r="H70">
        <f t="shared" si="7"/>
        <v>24.3</v>
      </c>
    </row>
    <row r="71" spans="4:8" x14ac:dyDescent="0.2">
      <c r="E71" s="1">
        <v>0.95833333333333404</v>
      </c>
      <c r="F71" s="10">
        <f t="shared" si="10"/>
        <v>24</v>
      </c>
      <c r="G71">
        <f t="shared" si="11"/>
        <v>0.3</v>
      </c>
      <c r="H71">
        <f t="shared" si="7"/>
        <v>24.3</v>
      </c>
    </row>
    <row r="72" spans="4:8" x14ac:dyDescent="0.2">
      <c r="E72" s="1"/>
      <c r="F72" s="4"/>
    </row>
    <row r="73" spans="4:8" x14ac:dyDescent="0.2">
      <c r="E73" s="1" t="s">
        <v>195</v>
      </c>
      <c r="F73" s="20">
        <f>F58</f>
        <v>48</v>
      </c>
      <c r="G73">
        <f>G60</f>
        <v>1</v>
      </c>
      <c r="H73">
        <f>SUM(F73:G73)</f>
        <v>49</v>
      </c>
    </row>
    <row r="74" spans="4:8" x14ac:dyDescent="0.2">
      <c r="E74" s="1"/>
      <c r="F74" s="4"/>
    </row>
    <row r="75" spans="4:8" x14ac:dyDescent="0.2">
      <c r="D75" t="s">
        <v>84</v>
      </c>
      <c r="E75" s="1" t="s">
        <v>67</v>
      </c>
      <c r="F75" s="4">
        <f>SUM(F48:F71)</f>
        <v>840</v>
      </c>
      <c r="G75">
        <f>SUM(G48:G71)</f>
        <v>14.900000000000004</v>
      </c>
      <c r="H75">
        <f>SUM(H48:H71)</f>
        <v>854.89999999999986</v>
      </c>
    </row>
    <row r="76" spans="4:8" x14ac:dyDescent="0.2">
      <c r="E76" s="1" t="s">
        <v>18</v>
      </c>
      <c r="F76" s="4">
        <f>F75*365</f>
        <v>306600</v>
      </c>
      <c r="G76">
        <f>G75*365</f>
        <v>5438.5000000000018</v>
      </c>
      <c r="H76">
        <f>H75*365</f>
        <v>312038.49999999994</v>
      </c>
    </row>
    <row r="77" spans="4:8" x14ac:dyDescent="0.2">
      <c r="E77" s="1"/>
      <c r="F77" s="4"/>
    </row>
    <row r="78" spans="4:8" x14ac:dyDescent="0.2">
      <c r="E78" s="1" t="s">
        <v>22</v>
      </c>
      <c r="F78" s="4">
        <f>900*8</f>
        <v>7200</v>
      </c>
      <c r="G78">
        <f>1000*5</f>
        <v>5000</v>
      </c>
    </row>
    <row r="79" spans="4:8" x14ac:dyDescent="0.2">
      <c r="E79" s="1"/>
      <c r="F79" s="4"/>
    </row>
    <row r="81" spans="6:7" x14ac:dyDescent="0.2">
      <c r="F81" t="s">
        <v>82</v>
      </c>
      <c r="G81" t="s">
        <v>91</v>
      </c>
    </row>
    <row r="82" spans="6:7" x14ac:dyDescent="0.2">
      <c r="F82" t="s">
        <v>83</v>
      </c>
      <c r="G82" t="s">
        <v>89</v>
      </c>
    </row>
    <row r="84" spans="6:7" x14ac:dyDescent="0.2">
      <c r="F84" t="s">
        <v>27</v>
      </c>
    </row>
    <row r="86" spans="6:7" x14ac:dyDescent="0.2">
      <c r="F86" t="s">
        <v>81</v>
      </c>
    </row>
    <row r="87" spans="6:7" x14ac:dyDescent="0.2">
      <c r="F87" t="s">
        <v>28</v>
      </c>
    </row>
  </sheetData>
  <hyperlinks>
    <hyperlink ref="G4" r:id="rId1" xr:uid="{08F625E4-10F0-814E-B860-D7035E5AD52B}"/>
    <hyperlink ref="G3" r:id="rId2" xr:uid="{E7F1B2F0-463E-1D4A-8190-4D0DC10B4BD5}"/>
    <hyperlink ref="G2" r:id="rId3" xr:uid="{4D4E1CBA-F9A2-5C4B-99FC-AA908FC022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F572-585F-2849-9915-228773437F01}">
  <dimension ref="B2:P64"/>
  <sheetViews>
    <sheetView workbookViewId="0">
      <selection activeCell="J33" sqref="J33"/>
    </sheetView>
  </sheetViews>
  <sheetFormatPr baseColWidth="10" defaultRowHeight="16" x14ac:dyDescent="0.2"/>
  <cols>
    <col min="2" max="2" width="14" bestFit="1" customWidth="1"/>
    <col min="3" max="3" width="11.33203125" bestFit="1" customWidth="1"/>
    <col min="5" max="5" width="25.83203125" customWidth="1"/>
    <col min="7" max="7" width="11.6640625" bestFit="1" customWidth="1"/>
    <col min="8" max="8" width="13.5" bestFit="1" customWidth="1"/>
    <col min="9" max="10" width="13.1640625" bestFit="1" customWidth="1"/>
    <col min="11" max="11" width="18" bestFit="1" customWidth="1"/>
    <col min="12" max="12" width="16.6640625" bestFit="1" customWidth="1"/>
  </cols>
  <sheetData>
    <row r="2" spans="2:16" x14ac:dyDescent="0.2">
      <c r="B2" t="s">
        <v>0</v>
      </c>
    </row>
    <row r="3" spans="2:16" x14ac:dyDescent="0.2">
      <c r="C3" t="s">
        <v>99</v>
      </c>
      <c r="G3" s="2"/>
      <c r="O3" t="s">
        <v>160</v>
      </c>
      <c r="P3" t="s">
        <v>161</v>
      </c>
    </row>
    <row r="4" spans="2:16" x14ac:dyDescent="0.2">
      <c r="D4" t="s">
        <v>75</v>
      </c>
      <c r="G4" s="2" t="s">
        <v>180</v>
      </c>
      <c r="O4" t="s">
        <v>162</v>
      </c>
      <c r="P4" t="s">
        <v>163</v>
      </c>
    </row>
    <row r="5" spans="2:16" x14ac:dyDescent="0.2">
      <c r="E5" t="s">
        <v>149</v>
      </c>
      <c r="G5" t="s">
        <v>179</v>
      </c>
      <c r="H5" t="s">
        <v>156</v>
      </c>
      <c r="I5" t="s">
        <v>157</v>
      </c>
      <c r="J5" t="s">
        <v>158</v>
      </c>
      <c r="K5" s="18" t="s">
        <v>159</v>
      </c>
      <c r="O5" t="s">
        <v>164</v>
      </c>
      <c r="P5" t="s">
        <v>165</v>
      </c>
    </row>
    <row r="6" spans="2:16" x14ac:dyDescent="0.2">
      <c r="F6" t="s">
        <v>62</v>
      </c>
      <c r="G6" t="s">
        <v>151</v>
      </c>
      <c r="H6" t="s">
        <v>152</v>
      </c>
      <c r="I6" t="s">
        <v>153</v>
      </c>
      <c r="J6" t="s">
        <v>154</v>
      </c>
      <c r="K6" s="18" t="s">
        <v>155</v>
      </c>
      <c r="O6" t="s">
        <v>166</v>
      </c>
      <c r="P6" t="s">
        <v>167</v>
      </c>
    </row>
    <row r="7" spans="2:16" x14ac:dyDescent="0.2">
      <c r="F7" s="8" t="s">
        <v>63</v>
      </c>
      <c r="G7" s="8" t="s">
        <v>19</v>
      </c>
      <c r="H7" s="8" t="s">
        <v>19</v>
      </c>
      <c r="I7" s="8" t="s">
        <v>19</v>
      </c>
      <c r="J7" s="8" t="s">
        <v>19</v>
      </c>
      <c r="K7" s="19" t="s">
        <v>19</v>
      </c>
      <c r="O7" t="s">
        <v>168</v>
      </c>
      <c r="P7" t="s">
        <v>169</v>
      </c>
    </row>
    <row r="8" spans="2:16" x14ac:dyDescent="0.2">
      <c r="F8" s="1">
        <v>0</v>
      </c>
      <c r="G8" s="12"/>
      <c r="H8" s="12"/>
      <c r="I8" s="12"/>
      <c r="J8" s="12"/>
      <c r="K8" s="6"/>
    </row>
    <row r="9" spans="2:16" x14ac:dyDescent="0.2">
      <c r="F9" s="1">
        <v>4.1666666666666699E-2</v>
      </c>
      <c r="G9" s="12"/>
      <c r="H9" s="12"/>
      <c r="I9" s="12"/>
      <c r="J9" s="12"/>
      <c r="K9" s="6"/>
    </row>
    <row r="10" spans="2:16" x14ac:dyDescent="0.2">
      <c r="F10" s="1">
        <v>8.3333333333333301E-2</v>
      </c>
      <c r="G10" s="12"/>
      <c r="H10" s="12"/>
      <c r="I10" s="12"/>
      <c r="J10" s="12"/>
      <c r="K10" s="6"/>
    </row>
    <row r="11" spans="2:16" x14ac:dyDescent="0.2">
      <c r="F11" s="1">
        <v>0.125</v>
      </c>
      <c r="G11" s="12"/>
      <c r="H11" s="12"/>
      <c r="I11" s="12"/>
      <c r="J11" s="12"/>
      <c r="K11" s="6"/>
    </row>
    <row r="12" spans="2:16" x14ac:dyDescent="0.2">
      <c r="F12" s="1">
        <v>0.16666666666666699</v>
      </c>
      <c r="G12" s="12"/>
      <c r="H12" s="12"/>
      <c r="I12" s="12"/>
      <c r="J12" s="12"/>
      <c r="K12" s="6"/>
    </row>
    <row r="13" spans="2:16" x14ac:dyDescent="0.2">
      <c r="F13" s="1">
        <v>0.20833333333333301</v>
      </c>
      <c r="G13" s="12"/>
      <c r="H13" s="12"/>
      <c r="I13" s="12"/>
      <c r="J13" s="12"/>
      <c r="K13" s="6"/>
    </row>
    <row r="14" spans="2:16" x14ac:dyDescent="0.2">
      <c r="F14" s="1">
        <v>0.25</v>
      </c>
      <c r="G14" s="12"/>
      <c r="H14" s="12"/>
      <c r="I14" s="12"/>
      <c r="J14" s="12"/>
      <c r="K14" s="6"/>
    </row>
    <row r="15" spans="2:16" x14ac:dyDescent="0.2">
      <c r="F15" s="1">
        <v>0.29166666666666702</v>
      </c>
      <c r="G15" s="12"/>
      <c r="K15" s="6"/>
    </row>
    <row r="16" spans="2:16" x14ac:dyDescent="0.2">
      <c r="F16" s="1">
        <v>0.33333333333333298</v>
      </c>
      <c r="G16" s="12"/>
      <c r="K16" s="6"/>
    </row>
    <row r="17" spans="6:11" x14ac:dyDescent="0.2">
      <c r="F17" s="1">
        <v>0.375</v>
      </c>
      <c r="G17" s="12"/>
      <c r="K17" s="6"/>
    </row>
    <row r="18" spans="6:11" x14ac:dyDescent="0.2">
      <c r="F18" s="1">
        <v>0.41666666666666702</v>
      </c>
      <c r="G18" s="12"/>
      <c r="K18" s="6"/>
    </row>
    <row r="19" spans="6:11" x14ac:dyDescent="0.2">
      <c r="F19" s="1">
        <v>0.45833333333333398</v>
      </c>
      <c r="G19" s="12"/>
      <c r="K19" s="6"/>
    </row>
    <row r="20" spans="6:11" x14ac:dyDescent="0.2">
      <c r="F20" s="1">
        <v>0.5</v>
      </c>
      <c r="G20" s="12"/>
      <c r="K20" s="6"/>
    </row>
    <row r="21" spans="6:11" x14ac:dyDescent="0.2">
      <c r="F21" s="1">
        <v>0.54166666666666696</v>
      </c>
      <c r="G21" s="12"/>
      <c r="K21" s="6"/>
    </row>
    <row r="22" spans="6:11" x14ac:dyDescent="0.2">
      <c r="F22" s="1">
        <v>0.58333333333333404</v>
      </c>
      <c r="G22" s="12"/>
      <c r="K22" s="6"/>
    </row>
    <row r="23" spans="6:11" x14ac:dyDescent="0.2">
      <c r="F23" s="1">
        <v>0.625</v>
      </c>
      <c r="G23" s="12"/>
      <c r="K23" s="6"/>
    </row>
    <row r="24" spans="6:11" x14ac:dyDescent="0.2">
      <c r="F24" s="1">
        <v>0.66666666666666696</v>
      </c>
      <c r="G24" s="12"/>
      <c r="K24" s="6"/>
    </row>
    <row r="25" spans="6:11" x14ac:dyDescent="0.2">
      <c r="F25" s="1">
        <v>0.70833333333333404</v>
      </c>
      <c r="G25" s="12"/>
      <c r="K25" s="6"/>
    </row>
    <row r="26" spans="6:11" x14ac:dyDescent="0.2">
      <c r="F26" s="1">
        <v>0.750000000000001</v>
      </c>
      <c r="G26" s="12"/>
      <c r="K26" s="6"/>
    </row>
    <row r="27" spans="6:11" x14ac:dyDescent="0.2">
      <c r="F27" s="1">
        <v>0.79166666666666696</v>
      </c>
      <c r="G27" s="12"/>
      <c r="K27" s="6"/>
    </row>
    <row r="28" spans="6:11" x14ac:dyDescent="0.2">
      <c r="F28" s="1">
        <v>0.83333333333333404</v>
      </c>
      <c r="G28" s="12"/>
      <c r="K28" s="6"/>
    </row>
    <row r="29" spans="6:11" x14ac:dyDescent="0.2">
      <c r="F29" s="1">
        <v>0.875000000000001</v>
      </c>
      <c r="G29" s="12"/>
      <c r="K29" s="6"/>
    </row>
    <row r="30" spans="6:11" x14ac:dyDescent="0.2">
      <c r="F30" s="1">
        <v>0.91666666666666696</v>
      </c>
      <c r="G30" s="12"/>
      <c r="K30" s="6"/>
    </row>
    <row r="31" spans="6:11" x14ac:dyDescent="0.2">
      <c r="F31" s="1">
        <v>0.95833333333333404</v>
      </c>
      <c r="G31" s="12"/>
      <c r="H31" s="12"/>
      <c r="I31" s="12"/>
      <c r="J31" s="12"/>
      <c r="K31" s="6"/>
    </row>
    <row r="33" spans="5:12" x14ac:dyDescent="0.2">
      <c r="G33" t="s">
        <v>181</v>
      </c>
    </row>
    <row r="36" spans="5:12" x14ac:dyDescent="0.2">
      <c r="E36" t="s">
        <v>150</v>
      </c>
    </row>
    <row r="37" spans="5:12" x14ac:dyDescent="0.2">
      <c r="F37" t="s">
        <v>62</v>
      </c>
      <c r="G37" t="s">
        <v>170</v>
      </c>
      <c r="H37" t="s">
        <v>171</v>
      </c>
      <c r="I37" s="18" t="s">
        <v>172</v>
      </c>
      <c r="J37" t="s">
        <v>176</v>
      </c>
      <c r="K37" t="s">
        <v>178</v>
      </c>
      <c r="L37" t="s">
        <v>177</v>
      </c>
    </row>
    <row r="38" spans="5:12" x14ac:dyDescent="0.2">
      <c r="F38" s="8" t="s">
        <v>63</v>
      </c>
      <c r="G38" s="8" t="s">
        <v>19</v>
      </c>
      <c r="H38" s="8" t="s">
        <v>19</v>
      </c>
      <c r="I38" s="8" t="s">
        <v>19</v>
      </c>
      <c r="J38" s="8" t="s">
        <v>123</v>
      </c>
      <c r="K38" s="8" t="s">
        <v>123</v>
      </c>
      <c r="L38" s="8" t="s">
        <v>123</v>
      </c>
    </row>
    <row r="39" spans="5:12" x14ac:dyDescent="0.2">
      <c r="F39" s="1">
        <v>0</v>
      </c>
      <c r="G39">
        <v>15</v>
      </c>
      <c r="H39">
        <v>15</v>
      </c>
      <c r="J39">
        <f>8.4*2</f>
        <v>16.8</v>
      </c>
      <c r="K39" s="8">
        <f>J39-L39</f>
        <v>10.200000000000001</v>
      </c>
      <c r="L39">
        <f>3.3*2</f>
        <v>6.6</v>
      </c>
    </row>
    <row r="40" spans="5:12" x14ac:dyDescent="0.2">
      <c r="F40" s="1">
        <v>4.1666666666666699E-2</v>
      </c>
      <c r="G40">
        <v>15</v>
      </c>
      <c r="H40">
        <v>15</v>
      </c>
      <c r="J40">
        <f t="shared" ref="J40:J62" si="0">8.4*2</f>
        <v>16.8</v>
      </c>
      <c r="K40" s="8">
        <f t="shared" ref="K40:K62" si="1">J40-L40</f>
        <v>10.200000000000001</v>
      </c>
      <c r="L40">
        <f t="shared" ref="L40:L62" si="2">3.3*2</f>
        <v>6.6</v>
      </c>
    </row>
    <row r="41" spans="5:12" x14ac:dyDescent="0.2">
      <c r="F41" s="1">
        <v>8.3333333333333301E-2</v>
      </c>
      <c r="G41">
        <v>15</v>
      </c>
      <c r="H41">
        <v>15</v>
      </c>
      <c r="J41">
        <f t="shared" si="0"/>
        <v>16.8</v>
      </c>
      <c r="K41" s="8">
        <f t="shared" si="1"/>
        <v>10.200000000000001</v>
      </c>
      <c r="L41">
        <f t="shared" si="2"/>
        <v>6.6</v>
      </c>
    </row>
    <row r="42" spans="5:12" x14ac:dyDescent="0.2">
      <c r="F42" s="1">
        <v>0.125</v>
      </c>
      <c r="G42">
        <v>15</v>
      </c>
      <c r="H42">
        <v>15</v>
      </c>
      <c r="J42">
        <f t="shared" si="0"/>
        <v>16.8</v>
      </c>
      <c r="K42" s="8">
        <f t="shared" si="1"/>
        <v>10.200000000000001</v>
      </c>
      <c r="L42">
        <f t="shared" si="2"/>
        <v>6.6</v>
      </c>
    </row>
    <row r="43" spans="5:12" x14ac:dyDescent="0.2">
      <c r="F43" s="1">
        <v>0.16666666666666699</v>
      </c>
      <c r="G43">
        <v>15</v>
      </c>
      <c r="H43">
        <v>15</v>
      </c>
      <c r="J43">
        <f t="shared" si="0"/>
        <v>16.8</v>
      </c>
      <c r="K43" s="8">
        <f t="shared" si="1"/>
        <v>10.200000000000001</v>
      </c>
      <c r="L43">
        <f t="shared" si="2"/>
        <v>6.6</v>
      </c>
    </row>
    <row r="44" spans="5:12" x14ac:dyDescent="0.2">
      <c r="F44" s="1">
        <v>0.20833333333333301</v>
      </c>
      <c r="G44">
        <v>15</v>
      </c>
      <c r="H44">
        <v>15</v>
      </c>
      <c r="J44">
        <f t="shared" si="0"/>
        <v>16.8</v>
      </c>
      <c r="K44" s="8">
        <f t="shared" si="1"/>
        <v>10.200000000000001</v>
      </c>
      <c r="L44">
        <f t="shared" si="2"/>
        <v>6.6</v>
      </c>
    </row>
    <row r="45" spans="5:12" x14ac:dyDescent="0.2">
      <c r="F45" s="1">
        <v>0.25</v>
      </c>
      <c r="G45">
        <v>15</v>
      </c>
      <c r="H45">
        <v>15</v>
      </c>
      <c r="J45">
        <f t="shared" si="0"/>
        <v>16.8</v>
      </c>
      <c r="K45" s="8">
        <f t="shared" si="1"/>
        <v>10.200000000000001</v>
      </c>
      <c r="L45">
        <f t="shared" si="2"/>
        <v>6.6</v>
      </c>
    </row>
    <row r="46" spans="5:12" x14ac:dyDescent="0.2">
      <c r="F46" s="1">
        <v>0.29166666666666702</v>
      </c>
      <c r="G46">
        <v>15</v>
      </c>
      <c r="H46">
        <v>15</v>
      </c>
      <c r="J46">
        <f t="shared" si="0"/>
        <v>16.8</v>
      </c>
      <c r="K46" s="8">
        <f t="shared" si="1"/>
        <v>10.200000000000001</v>
      </c>
      <c r="L46">
        <f t="shared" si="2"/>
        <v>6.6</v>
      </c>
    </row>
    <row r="47" spans="5:12" x14ac:dyDescent="0.2">
      <c r="F47" s="1">
        <v>0.33333333333333298</v>
      </c>
      <c r="G47">
        <v>15</v>
      </c>
      <c r="H47">
        <v>15</v>
      </c>
      <c r="J47">
        <f t="shared" si="0"/>
        <v>16.8</v>
      </c>
      <c r="K47" s="8">
        <f t="shared" si="1"/>
        <v>10.200000000000001</v>
      </c>
      <c r="L47">
        <f t="shared" si="2"/>
        <v>6.6</v>
      </c>
    </row>
    <row r="48" spans="5:12" x14ac:dyDescent="0.2">
      <c r="F48" s="1">
        <v>0.375</v>
      </c>
      <c r="G48">
        <v>15</v>
      </c>
      <c r="H48">
        <v>15</v>
      </c>
      <c r="J48">
        <f t="shared" si="0"/>
        <v>16.8</v>
      </c>
      <c r="K48" s="8">
        <f t="shared" si="1"/>
        <v>10.200000000000001</v>
      </c>
      <c r="L48">
        <f t="shared" si="2"/>
        <v>6.6</v>
      </c>
    </row>
    <row r="49" spans="5:12" x14ac:dyDescent="0.2">
      <c r="F49" s="1">
        <v>0.41666666666666702</v>
      </c>
      <c r="G49">
        <v>15</v>
      </c>
      <c r="H49">
        <v>15</v>
      </c>
      <c r="J49">
        <f t="shared" si="0"/>
        <v>16.8</v>
      </c>
      <c r="K49" s="8">
        <f t="shared" si="1"/>
        <v>10.200000000000001</v>
      </c>
      <c r="L49">
        <f t="shared" si="2"/>
        <v>6.6</v>
      </c>
    </row>
    <row r="50" spans="5:12" x14ac:dyDescent="0.2">
      <c r="F50" s="1">
        <v>0.45833333333333398</v>
      </c>
      <c r="G50">
        <v>15</v>
      </c>
      <c r="H50">
        <v>15</v>
      </c>
      <c r="J50">
        <f t="shared" si="0"/>
        <v>16.8</v>
      </c>
      <c r="K50" s="8">
        <f t="shared" si="1"/>
        <v>10.200000000000001</v>
      </c>
      <c r="L50">
        <f t="shared" si="2"/>
        <v>6.6</v>
      </c>
    </row>
    <row r="51" spans="5:12" x14ac:dyDescent="0.2">
      <c r="F51" s="1">
        <v>0.5</v>
      </c>
      <c r="G51">
        <v>15</v>
      </c>
      <c r="H51">
        <v>15</v>
      </c>
      <c r="J51">
        <f t="shared" si="0"/>
        <v>16.8</v>
      </c>
      <c r="K51" s="8">
        <f t="shared" si="1"/>
        <v>10.200000000000001</v>
      </c>
      <c r="L51">
        <f t="shared" si="2"/>
        <v>6.6</v>
      </c>
    </row>
    <row r="52" spans="5:12" x14ac:dyDescent="0.2">
      <c r="F52" s="1">
        <v>0.54166666666666696</v>
      </c>
      <c r="G52">
        <v>15</v>
      </c>
      <c r="H52">
        <v>15</v>
      </c>
      <c r="J52">
        <f t="shared" si="0"/>
        <v>16.8</v>
      </c>
      <c r="K52" s="8">
        <f t="shared" si="1"/>
        <v>10.200000000000001</v>
      </c>
      <c r="L52">
        <f t="shared" si="2"/>
        <v>6.6</v>
      </c>
    </row>
    <row r="53" spans="5:12" x14ac:dyDescent="0.2">
      <c r="F53" s="1">
        <v>0.58333333333333404</v>
      </c>
      <c r="G53">
        <v>15</v>
      </c>
      <c r="H53">
        <v>15</v>
      </c>
      <c r="J53">
        <f t="shared" si="0"/>
        <v>16.8</v>
      </c>
      <c r="K53" s="8">
        <f t="shared" si="1"/>
        <v>10.200000000000001</v>
      </c>
      <c r="L53">
        <f t="shared" si="2"/>
        <v>6.6</v>
      </c>
    </row>
    <row r="54" spans="5:12" x14ac:dyDescent="0.2">
      <c r="F54" s="1">
        <v>0.625</v>
      </c>
      <c r="G54">
        <v>15</v>
      </c>
      <c r="H54">
        <v>15</v>
      </c>
      <c r="J54">
        <f t="shared" si="0"/>
        <v>16.8</v>
      </c>
      <c r="K54" s="8">
        <f t="shared" si="1"/>
        <v>10.200000000000001</v>
      </c>
      <c r="L54">
        <f t="shared" si="2"/>
        <v>6.6</v>
      </c>
    </row>
    <row r="55" spans="5:12" x14ac:dyDescent="0.2">
      <c r="F55" s="1">
        <v>0.66666666666666696</v>
      </c>
      <c r="G55">
        <v>15</v>
      </c>
      <c r="H55">
        <v>15</v>
      </c>
      <c r="J55">
        <f t="shared" si="0"/>
        <v>16.8</v>
      </c>
      <c r="K55" s="8">
        <f t="shared" si="1"/>
        <v>10.200000000000001</v>
      </c>
      <c r="L55">
        <f t="shared" si="2"/>
        <v>6.6</v>
      </c>
    </row>
    <row r="56" spans="5:12" x14ac:dyDescent="0.2">
      <c r="F56" s="1">
        <v>0.70833333333333404</v>
      </c>
      <c r="G56">
        <v>15</v>
      </c>
      <c r="H56">
        <v>15</v>
      </c>
      <c r="J56">
        <f t="shared" si="0"/>
        <v>16.8</v>
      </c>
      <c r="K56" s="8">
        <f t="shared" si="1"/>
        <v>10.200000000000001</v>
      </c>
      <c r="L56">
        <f t="shared" si="2"/>
        <v>6.6</v>
      </c>
    </row>
    <row r="57" spans="5:12" x14ac:dyDescent="0.2">
      <c r="F57" s="1">
        <v>0.750000000000001</v>
      </c>
      <c r="G57">
        <v>15</v>
      </c>
      <c r="H57">
        <v>15</v>
      </c>
      <c r="J57">
        <f t="shared" si="0"/>
        <v>16.8</v>
      </c>
      <c r="K57" s="8">
        <f t="shared" si="1"/>
        <v>10.200000000000001</v>
      </c>
      <c r="L57">
        <f t="shared" si="2"/>
        <v>6.6</v>
      </c>
    </row>
    <row r="58" spans="5:12" x14ac:dyDescent="0.2">
      <c r="F58" s="1">
        <v>0.79166666666666696</v>
      </c>
      <c r="G58">
        <v>15</v>
      </c>
      <c r="H58">
        <v>15</v>
      </c>
      <c r="J58">
        <f t="shared" si="0"/>
        <v>16.8</v>
      </c>
      <c r="K58" s="8">
        <f t="shared" si="1"/>
        <v>10.200000000000001</v>
      </c>
      <c r="L58">
        <f t="shared" si="2"/>
        <v>6.6</v>
      </c>
    </row>
    <row r="59" spans="5:12" x14ac:dyDescent="0.2">
      <c r="F59" s="1">
        <v>0.83333333333333404</v>
      </c>
      <c r="G59">
        <v>15</v>
      </c>
      <c r="H59">
        <v>15</v>
      </c>
      <c r="J59">
        <f t="shared" si="0"/>
        <v>16.8</v>
      </c>
      <c r="K59" s="8">
        <f t="shared" si="1"/>
        <v>10.200000000000001</v>
      </c>
      <c r="L59">
        <f t="shared" si="2"/>
        <v>6.6</v>
      </c>
    </row>
    <row r="60" spans="5:12" x14ac:dyDescent="0.2">
      <c r="F60" s="1">
        <v>0.875000000000001</v>
      </c>
      <c r="G60">
        <v>15</v>
      </c>
      <c r="H60">
        <v>15</v>
      </c>
      <c r="J60">
        <f t="shared" si="0"/>
        <v>16.8</v>
      </c>
      <c r="K60" s="8">
        <f t="shared" si="1"/>
        <v>10.200000000000001</v>
      </c>
      <c r="L60">
        <f t="shared" si="2"/>
        <v>6.6</v>
      </c>
    </row>
    <row r="61" spans="5:12" x14ac:dyDescent="0.2">
      <c r="F61" s="1">
        <v>0.91666666666666696</v>
      </c>
      <c r="G61">
        <v>15</v>
      </c>
      <c r="H61">
        <v>15</v>
      </c>
      <c r="J61">
        <f t="shared" si="0"/>
        <v>16.8</v>
      </c>
      <c r="K61" s="8">
        <f t="shared" si="1"/>
        <v>10.200000000000001</v>
      </c>
      <c r="L61">
        <f t="shared" si="2"/>
        <v>6.6</v>
      </c>
    </row>
    <row r="62" spans="5:12" x14ac:dyDescent="0.2">
      <c r="F62" s="1">
        <v>0.95833333333333404</v>
      </c>
      <c r="G62">
        <v>15</v>
      </c>
      <c r="H62">
        <v>15</v>
      </c>
      <c r="J62">
        <f t="shared" si="0"/>
        <v>16.8</v>
      </c>
      <c r="K62" s="8">
        <f t="shared" si="1"/>
        <v>10.200000000000001</v>
      </c>
      <c r="L62">
        <f t="shared" si="2"/>
        <v>6.6</v>
      </c>
    </row>
    <row r="64" spans="5:12" x14ac:dyDescent="0.2">
      <c r="E64" t="s">
        <v>173</v>
      </c>
      <c r="F64" t="s">
        <v>174</v>
      </c>
      <c r="G64">
        <f>SUM(G39:G62)</f>
        <v>360</v>
      </c>
      <c r="H64">
        <f t="shared" ref="H64" si="3">SUM(H39:H62)</f>
        <v>360</v>
      </c>
      <c r="I64">
        <f>SUM(I39:I62)</f>
        <v>0</v>
      </c>
      <c r="J64">
        <f>SUM(J39:J62)</f>
        <v>403.20000000000016</v>
      </c>
      <c r="K64">
        <f t="shared" ref="K64:L64" si="4">SUM(K39:K62)</f>
        <v>244.7999999999999</v>
      </c>
      <c r="L64">
        <f t="shared" si="4"/>
        <v>158.39999999999992</v>
      </c>
    </row>
  </sheetData>
  <hyperlinks>
    <hyperlink ref="G4" r:id="rId1" xr:uid="{778B8D9B-1479-124F-9C0F-E8637BCF88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3BAD-B3DD-7145-8D26-02C9C974933D}">
  <dimension ref="A1"/>
  <sheetViews>
    <sheetView workbookViewId="0">
      <selection activeCell="J34" sqref="J34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CDAF-535D-094F-A0E5-C5F955B03634}">
  <dimension ref="B2:X40"/>
  <sheetViews>
    <sheetView topLeftCell="N1" workbookViewId="0">
      <selection activeCell="O6" sqref="O6"/>
    </sheetView>
  </sheetViews>
  <sheetFormatPr baseColWidth="10" defaultRowHeight="16" x14ac:dyDescent="0.2"/>
  <cols>
    <col min="2" max="2" width="14" bestFit="1" customWidth="1"/>
    <col min="3" max="3" width="14" customWidth="1"/>
    <col min="4" max="4" width="13.33203125" bestFit="1" customWidth="1"/>
    <col min="7" max="7" width="15.33203125" bestFit="1" customWidth="1"/>
    <col min="8" max="8" width="18" bestFit="1" customWidth="1"/>
    <col min="9" max="11" width="11.33203125" bestFit="1" customWidth="1"/>
    <col min="12" max="12" width="12.5" bestFit="1" customWidth="1"/>
    <col min="14" max="14" width="21.83203125" bestFit="1" customWidth="1"/>
    <col min="15" max="15" width="26.6640625" bestFit="1" customWidth="1"/>
    <col min="17" max="17" width="13.33203125" bestFit="1" customWidth="1"/>
    <col min="18" max="18" width="19.33203125" bestFit="1" customWidth="1"/>
  </cols>
  <sheetData>
    <row r="2" spans="2:24" x14ac:dyDescent="0.2">
      <c r="B2" t="s">
        <v>0</v>
      </c>
      <c r="R2" s="2" t="s">
        <v>273</v>
      </c>
    </row>
    <row r="3" spans="2:24" x14ac:dyDescent="0.2">
      <c r="C3" t="s">
        <v>12</v>
      </c>
      <c r="Q3" t="s">
        <v>208</v>
      </c>
    </row>
    <row r="4" spans="2:24" x14ac:dyDescent="0.2">
      <c r="D4" t="s">
        <v>59</v>
      </c>
      <c r="G4" t="s">
        <v>14</v>
      </c>
      <c r="H4" t="s">
        <v>69</v>
      </c>
      <c r="I4" t="s">
        <v>70</v>
      </c>
      <c r="J4" t="s">
        <v>70</v>
      </c>
      <c r="K4" t="s">
        <v>70</v>
      </c>
      <c r="L4" t="s">
        <v>206</v>
      </c>
      <c r="N4" s="6" t="s">
        <v>205</v>
      </c>
      <c r="O4" s="6" t="s">
        <v>204</v>
      </c>
      <c r="R4" t="s">
        <v>210</v>
      </c>
      <c r="S4">
        <v>200</v>
      </c>
      <c r="T4" t="s">
        <v>209</v>
      </c>
      <c r="V4" t="s">
        <v>274</v>
      </c>
      <c r="W4" t="s">
        <v>275</v>
      </c>
    </row>
    <row r="5" spans="2:24" x14ac:dyDescent="0.2">
      <c r="E5" t="s">
        <v>13</v>
      </c>
      <c r="G5" s="8" t="s">
        <v>71</v>
      </c>
      <c r="H5" s="8" t="s">
        <v>19</v>
      </c>
      <c r="I5" s="8" t="s">
        <v>19</v>
      </c>
      <c r="J5" s="8" t="s">
        <v>19</v>
      </c>
      <c r="K5" s="8" t="s">
        <v>72</v>
      </c>
      <c r="L5" s="8" t="s">
        <v>207</v>
      </c>
      <c r="N5" s="22" t="s">
        <v>194</v>
      </c>
      <c r="O5" s="22" t="s">
        <v>194</v>
      </c>
      <c r="R5" t="s">
        <v>211</v>
      </c>
      <c r="S5">
        <v>4.7</v>
      </c>
      <c r="T5" t="s">
        <v>214</v>
      </c>
      <c r="V5" t="s">
        <v>276</v>
      </c>
    </row>
    <row r="6" spans="2:24" x14ac:dyDescent="0.2">
      <c r="F6">
        <v>1</v>
      </c>
      <c r="G6">
        <v>10</v>
      </c>
      <c r="H6">
        <f>'DMND Flat'!$R$37*G6</f>
        <v>2736.6502739726043</v>
      </c>
      <c r="I6">
        <f>SUM(H6:H15)</f>
        <v>27366.502739726049</v>
      </c>
      <c r="J6">
        <f>I6+I16+I26+I36</f>
        <v>82986.28931506857</v>
      </c>
      <c r="K6">
        <f>J6/1000</f>
        <v>82.986289315068575</v>
      </c>
      <c r="L6">
        <f>S16</f>
        <v>7020.6400760548022</v>
      </c>
      <c r="N6" s="6">
        <f>'DMND Flat'!U12</f>
        <v>664.93802739726027</v>
      </c>
      <c r="O6" s="6">
        <f>N6+N16+N26+N36</f>
        <v>2025.0601095890413</v>
      </c>
      <c r="R6" t="s">
        <v>211</v>
      </c>
      <c r="S6">
        <f>S5/1000</f>
        <v>4.7000000000000002E-3</v>
      </c>
      <c r="T6" t="s">
        <v>213</v>
      </c>
      <c r="V6" t="s">
        <v>277</v>
      </c>
      <c r="W6" t="s">
        <v>278</v>
      </c>
    </row>
    <row r="7" spans="2:24" x14ac:dyDescent="0.2">
      <c r="F7">
        <v>2</v>
      </c>
      <c r="G7">
        <v>10</v>
      </c>
      <c r="H7">
        <f>'DMND Flat'!$R$37*G7</f>
        <v>2736.6502739726043</v>
      </c>
      <c r="N7" s="6"/>
      <c r="O7" s="6"/>
      <c r="R7" t="s">
        <v>211</v>
      </c>
      <c r="S7">
        <f>(S6/9)*103</f>
        <v>5.3788888888888886E-2</v>
      </c>
      <c r="T7" t="s">
        <v>215</v>
      </c>
    </row>
    <row r="8" spans="2:24" x14ac:dyDescent="0.2">
      <c r="F8">
        <v>3</v>
      </c>
      <c r="G8">
        <v>10</v>
      </c>
      <c r="H8">
        <f>'DMND Flat'!$R$37*G8</f>
        <v>2736.6502739726043</v>
      </c>
    </row>
    <row r="9" spans="2:24" x14ac:dyDescent="0.2">
      <c r="F9">
        <v>4</v>
      </c>
      <c r="G9">
        <v>10</v>
      </c>
      <c r="H9">
        <f>'DMND Flat'!$R$37*G9</f>
        <v>2736.6502739726043</v>
      </c>
      <c r="Q9" t="s">
        <v>219</v>
      </c>
      <c r="V9">
        <f>S7*60*60</f>
        <v>193.64</v>
      </c>
      <c r="W9">
        <v>200</v>
      </c>
      <c r="X9" t="s">
        <v>272</v>
      </c>
    </row>
    <row r="10" spans="2:24" x14ac:dyDescent="0.2">
      <c r="F10">
        <v>5</v>
      </c>
      <c r="G10">
        <v>10</v>
      </c>
      <c r="H10">
        <f>'DMND Flat'!$R$37*G10</f>
        <v>2736.6502739726043</v>
      </c>
      <c r="Q10" t="s">
        <v>220</v>
      </c>
      <c r="V10">
        <v>1</v>
      </c>
      <c r="W10">
        <f>W9/V9</f>
        <v>1.0328444536252841</v>
      </c>
      <c r="X10" t="s">
        <v>272</v>
      </c>
    </row>
    <row r="11" spans="2:24" x14ac:dyDescent="0.2">
      <c r="F11">
        <v>6</v>
      </c>
      <c r="G11">
        <v>10</v>
      </c>
      <c r="H11">
        <f>'DMND Flat'!$R$37*G11</f>
        <v>2736.6502739726043</v>
      </c>
      <c r="Q11" t="s">
        <v>221</v>
      </c>
    </row>
    <row r="12" spans="2:24" x14ac:dyDescent="0.2">
      <c r="F12">
        <v>7</v>
      </c>
      <c r="G12">
        <v>10</v>
      </c>
      <c r="H12">
        <f>'DMND Flat'!$R$37*G12</f>
        <v>2736.6502739726043</v>
      </c>
      <c r="Q12" t="s">
        <v>222</v>
      </c>
    </row>
    <row r="13" spans="2:24" x14ac:dyDescent="0.2">
      <c r="F13">
        <v>8</v>
      </c>
      <c r="G13">
        <v>10</v>
      </c>
      <c r="H13">
        <f>'DMND Flat'!$R$37*G13</f>
        <v>2736.6502739726043</v>
      </c>
      <c r="Q13" t="s">
        <v>223</v>
      </c>
      <c r="R13" t="s">
        <v>224</v>
      </c>
      <c r="S13">
        <f>J6/S4</f>
        <v>414.93144657534287</v>
      </c>
      <c r="T13" t="s">
        <v>233</v>
      </c>
    </row>
    <row r="14" spans="2:24" x14ac:dyDescent="0.2">
      <c r="F14">
        <v>9</v>
      </c>
      <c r="G14">
        <v>10</v>
      </c>
      <c r="H14">
        <f>'DMND Flat'!$R$37*G14</f>
        <v>2736.6502739726043</v>
      </c>
      <c r="R14" t="s">
        <v>216</v>
      </c>
      <c r="S14">
        <f>(S13*60)*60</f>
        <v>1493753.2076712344</v>
      </c>
      <c r="T14" t="s">
        <v>234</v>
      </c>
    </row>
    <row r="15" spans="2:24" x14ac:dyDescent="0.2">
      <c r="F15">
        <v>10</v>
      </c>
      <c r="G15">
        <v>10</v>
      </c>
      <c r="H15">
        <f>'DMND Flat'!$R$37*G15</f>
        <v>2736.6502739726043</v>
      </c>
      <c r="R15" t="s">
        <v>217</v>
      </c>
      <c r="S15">
        <f>S7*S14</f>
        <v>80347.325314849397</v>
      </c>
      <c r="T15" t="s">
        <v>212</v>
      </c>
    </row>
    <row r="16" spans="2:24" x14ac:dyDescent="0.2">
      <c r="D16" t="s">
        <v>60</v>
      </c>
      <c r="E16" t="s">
        <v>13</v>
      </c>
      <c r="F16">
        <v>1</v>
      </c>
      <c r="G16">
        <v>10</v>
      </c>
      <c r="H16">
        <f>'DMND Flat'!$R$37*G16</f>
        <v>2736.6502739726043</v>
      </c>
      <c r="I16">
        <f>SUM(H16:H25)</f>
        <v>27366.502739726049</v>
      </c>
      <c r="N16">
        <f>N6</f>
        <v>664.93802739726027</v>
      </c>
      <c r="R16" t="s">
        <v>218</v>
      </c>
      <c r="S16">
        <f>S14*S6</f>
        <v>7020.6400760548022</v>
      </c>
      <c r="T16" t="s">
        <v>235</v>
      </c>
    </row>
    <row r="17" spans="4:20" x14ac:dyDescent="0.2">
      <c r="F17">
        <v>2</v>
      </c>
      <c r="G17">
        <v>10</v>
      </c>
      <c r="H17">
        <f>'DMND Flat'!$R$37*G17</f>
        <v>2736.6502739726043</v>
      </c>
    </row>
    <row r="18" spans="4:20" x14ac:dyDescent="0.2">
      <c r="F18">
        <v>3</v>
      </c>
      <c r="G18">
        <v>10</v>
      </c>
      <c r="H18">
        <f>'DMND Flat'!$R$37*G18</f>
        <v>2736.6502739726043</v>
      </c>
      <c r="Q18" t="s">
        <v>225</v>
      </c>
    </row>
    <row r="19" spans="4:20" x14ac:dyDescent="0.2">
      <c r="F19">
        <v>4</v>
      </c>
      <c r="G19">
        <v>10</v>
      </c>
      <c r="H19">
        <f>'DMND Flat'!$R$37*G19</f>
        <v>2736.6502739726043</v>
      </c>
      <c r="Q19" t="s">
        <v>226</v>
      </c>
    </row>
    <row r="20" spans="4:20" x14ac:dyDescent="0.2">
      <c r="F20">
        <v>5</v>
      </c>
      <c r="G20">
        <v>10</v>
      </c>
      <c r="H20">
        <f>'DMND Flat'!$R$37*G20</f>
        <v>2736.6502739726043</v>
      </c>
      <c r="Q20" t="s">
        <v>227</v>
      </c>
    </row>
    <row r="21" spans="4:20" x14ac:dyDescent="0.2">
      <c r="F21">
        <v>6</v>
      </c>
      <c r="G21">
        <v>10</v>
      </c>
      <c r="H21">
        <f>'DMND Flat'!$R$37*G21</f>
        <v>2736.6502739726043</v>
      </c>
      <c r="Q21" t="s">
        <v>228</v>
      </c>
    </row>
    <row r="22" spans="4:20" x14ac:dyDescent="0.2">
      <c r="F22">
        <v>7</v>
      </c>
      <c r="G22">
        <v>10</v>
      </c>
      <c r="H22">
        <f>'DMND Flat'!$R$37*G22</f>
        <v>2736.6502739726043</v>
      </c>
      <c r="Q22" t="s">
        <v>229</v>
      </c>
      <c r="R22" t="s">
        <v>230</v>
      </c>
      <c r="S22">
        <f>O6/S4</f>
        <v>10.125300547945207</v>
      </c>
      <c r="T22" t="s">
        <v>226</v>
      </c>
    </row>
    <row r="23" spans="4:20" x14ac:dyDescent="0.2">
      <c r="F23">
        <v>8</v>
      </c>
      <c r="G23">
        <v>10</v>
      </c>
      <c r="H23">
        <f>'DMND Flat'!$R$37*G23</f>
        <v>2736.6502739726043</v>
      </c>
      <c r="R23" t="s">
        <v>231</v>
      </c>
      <c r="S23">
        <v>11</v>
      </c>
      <c r="T23" t="s">
        <v>226</v>
      </c>
    </row>
    <row r="24" spans="4:20" x14ac:dyDescent="0.2">
      <c r="F24">
        <v>9</v>
      </c>
      <c r="G24">
        <v>10</v>
      </c>
      <c r="H24">
        <f>'DMND Flat'!$R$37*G24</f>
        <v>2736.6502739726043</v>
      </c>
      <c r="R24" t="s">
        <v>232</v>
      </c>
      <c r="S24">
        <f>S23*S4</f>
        <v>2200</v>
      </c>
      <c r="T24" t="s">
        <v>209</v>
      </c>
    </row>
    <row r="25" spans="4:20" x14ac:dyDescent="0.2">
      <c r="F25">
        <v>10</v>
      </c>
      <c r="G25">
        <v>10</v>
      </c>
      <c r="H25">
        <f>'DMND Flat'!$R$37*G25</f>
        <v>2736.6502739726043</v>
      </c>
    </row>
    <row r="26" spans="4:20" x14ac:dyDescent="0.2">
      <c r="D26" t="s">
        <v>61</v>
      </c>
      <c r="E26" t="s">
        <v>13</v>
      </c>
      <c r="F26">
        <v>1</v>
      </c>
      <c r="G26">
        <v>10</v>
      </c>
      <c r="H26">
        <f>'DMND Flat'!$R$37*G26</f>
        <v>2736.6502739726043</v>
      </c>
      <c r="I26">
        <f>SUM(H26:H35)</f>
        <v>27366.502739726049</v>
      </c>
      <c r="N26">
        <f>N16</f>
        <v>664.93802739726027</v>
      </c>
    </row>
    <row r="27" spans="4:20" x14ac:dyDescent="0.2">
      <c r="F27">
        <v>2</v>
      </c>
      <c r="G27">
        <v>10</v>
      </c>
      <c r="H27">
        <f>'DMND Flat'!$R$37*G27</f>
        <v>2736.6502739726043</v>
      </c>
    </row>
    <row r="28" spans="4:20" x14ac:dyDescent="0.2">
      <c r="F28">
        <v>3</v>
      </c>
      <c r="G28">
        <v>10</v>
      </c>
      <c r="H28">
        <f>'DMND Flat'!$R$37*G28</f>
        <v>2736.6502739726043</v>
      </c>
    </row>
    <row r="29" spans="4:20" x14ac:dyDescent="0.2">
      <c r="F29">
        <v>4</v>
      </c>
      <c r="G29">
        <v>10</v>
      </c>
      <c r="H29">
        <f>'DMND Flat'!$R$37*G29</f>
        <v>2736.6502739726043</v>
      </c>
    </row>
    <row r="30" spans="4:20" x14ac:dyDescent="0.2">
      <c r="F30">
        <v>5</v>
      </c>
      <c r="G30">
        <v>10</v>
      </c>
      <c r="H30">
        <f>'DMND Flat'!$R$37*G30</f>
        <v>2736.6502739726043</v>
      </c>
    </row>
    <row r="31" spans="4:20" x14ac:dyDescent="0.2">
      <c r="F31">
        <v>6</v>
      </c>
      <c r="G31">
        <v>10</v>
      </c>
      <c r="H31">
        <f>'DMND Flat'!$R$37*G31</f>
        <v>2736.6502739726043</v>
      </c>
    </row>
    <row r="32" spans="4:20" x14ac:dyDescent="0.2">
      <c r="F32">
        <v>7</v>
      </c>
      <c r="G32">
        <v>10</v>
      </c>
      <c r="H32">
        <f>'DMND Flat'!$R$37*G32</f>
        <v>2736.6502739726043</v>
      </c>
    </row>
    <row r="33" spans="4:14" x14ac:dyDescent="0.2">
      <c r="F33">
        <v>8</v>
      </c>
      <c r="G33">
        <v>10</v>
      </c>
      <c r="H33">
        <f>'DMND Flat'!$R$37*G33</f>
        <v>2736.6502739726043</v>
      </c>
    </row>
    <row r="34" spans="4:14" x14ac:dyDescent="0.2">
      <c r="F34">
        <v>9</v>
      </c>
      <c r="G34">
        <v>10</v>
      </c>
      <c r="H34">
        <f>'DMND Flat'!$R$37*G34</f>
        <v>2736.6502739726043</v>
      </c>
    </row>
    <row r="35" spans="4:14" x14ac:dyDescent="0.2">
      <c r="F35">
        <v>10</v>
      </c>
      <c r="G35">
        <v>10</v>
      </c>
      <c r="H35">
        <f>'DMND Flat'!$R$37*G35</f>
        <v>2736.6502739726043</v>
      </c>
    </row>
    <row r="36" spans="4:14" x14ac:dyDescent="0.2">
      <c r="D36" t="s">
        <v>74</v>
      </c>
      <c r="E36" t="s">
        <v>75</v>
      </c>
      <c r="F36">
        <v>1</v>
      </c>
      <c r="G36" t="s">
        <v>44</v>
      </c>
      <c r="H36">
        <f>'DMND Shop and Lobby'!H34</f>
        <v>31.881095890410975</v>
      </c>
      <c r="I36">
        <f>SUM(H36:H37)</f>
        <v>886.78109589041082</v>
      </c>
      <c r="N36">
        <f>'DMND Shop and Lobby'!K7</f>
        <v>30.246027397260274</v>
      </c>
    </row>
    <row r="37" spans="4:14" x14ac:dyDescent="0.2">
      <c r="F37">
        <v>2</v>
      </c>
      <c r="G37" t="s">
        <v>44</v>
      </c>
      <c r="H37">
        <f>'DMND Shop and Lobby'!H75</f>
        <v>854.89999999999986</v>
      </c>
    </row>
    <row r="38" spans="4:14" x14ac:dyDescent="0.2">
      <c r="D38" t="s">
        <v>136</v>
      </c>
      <c r="E38" t="s">
        <v>75</v>
      </c>
      <c r="F38">
        <v>1</v>
      </c>
    </row>
    <row r="39" spans="4:14" x14ac:dyDescent="0.2">
      <c r="F39">
        <v>2</v>
      </c>
    </row>
    <row r="40" spans="4:14" x14ac:dyDescent="0.2">
      <c r="D40" t="s">
        <v>142</v>
      </c>
    </row>
  </sheetData>
  <hyperlinks>
    <hyperlink ref="R2" r:id="rId1" xr:uid="{4A7517F9-8C1F-9445-8212-DBF9B37F7E2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9B8C-2E22-0145-B711-43C7971637F3}">
  <dimension ref="B2:V46"/>
  <sheetViews>
    <sheetView workbookViewId="0">
      <selection activeCell="O4" sqref="O4"/>
    </sheetView>
  </sheetViews>
  <sheetFormatPr baseColWidth="10" defaultRowHeight="16" x14ac:dyDescent="0.2"/>
  <cols>
    <col min="2" max="2" width="14.6640625" customWidth="1"/>
    <col min="8" max="8" width="29.1640625" bestFit="1" customWidth="1"/>
    <col min="9" max="9" width="27.1640625" bestFit="1" customWidth="1"/>
    <col min="10" max="10" width="27.1640625" customWidth="1"/>
    <col min="11" max="12" width="15.5" bestFit="1" customWidth="1"/>
    <col min="13" max="17" width="15.5" customWidth="1"/>
    <col min="18" max="18" width="15.5" bestFit="1" customWidth="1"/>
  </cols>
  <sheetData>
    <row r="2" spans="2:22" x14ac:dyDescent="0.2">
      <c r="B2" t="s">
        <v>0</v>
      </c>
    </row>
    <row r="3" spans="2:22" x14ac:dyDescent="0.2">
      <c r="C3" t="s">
        <v>12</v>
      </c>
      <c r="N3" t="s">
        <v>236</v>
      </c>
      <c r="S3" t="s">
        <v>139</v>
      </c>
    </row>
    <row r="4" spans="2:22" x14ac:dyDescent="0.2">
      <c r="D4" t="s">
        <v>59</v>
      </c>
      <c r="G4" t="s">
        <v>14</v>
      </c>
      <c r="H4" t="s">
        <v>134</v>
      </c>
      <c r="I4" t="s">
        <v>135</v>
      </c>
      <c r="J4" t="s">
        <v>182</v>
      </c>
      <c r="K4" t="s">
        <v>122</v>
      </c>
      <c r="L4" t="s">
        <v>122</v>
      </c>
      <c r="S4" t="s">
        <v>138</v>
      </c>
    </row>
    <row r="5" spans="2:22" x14ac:dyDescent="0.2">
      <c r="E5" t="s">
        <v>13</v>
      </c>
      <c r="G5" s="8" t="s">
        <v>71</v>
      </c>
      <c r="H5" s="8" t="s">
        <v>123</v>
      </c>
      <c r="I5" s="8" t="s">
        <v>123</v>
      </c>
      <c r="J5" s="8" t="s">
        <v>123</v>
      </c>
      <c r="K5" s="8" t="s">
        <v>123</v>
      </c>
      <c r="L5" s="8" t="s">
        <v>123</v>
      </c>
      <c r="M5" s="8"/>
      <c r="N5" s="8"/>
      <c r="O5" s="8"/>
      <c r="P5" s="8"/>
      <c r="Q5" s="8"/>
      <c r="R5" s="8"/>
      <c r="S5" s="8" t="s">
        <v>140</v>
      </c>
      <c r="T5" s="17" t="s">
        <v>59</v>
      </c>
    </row>
    <row r="6" spans="2:22" x14ac:dyDescent="0.2">
      <c r="F6">
        <v>1</v>
      </c>
      <c r="G6">
        <v>10</v>
      </c>
      <c r="H6">
        <f>((8*62)*10)/1000</f>
        <v>4.96</v>
      </c>
      <c r="I6">
        <f>((11/1000)*G6)</f>
        <v>0.10999999999999999</v>
      </c>
      <c r="J6">
        <f>((5*8)/1000)*G6</f>
        <v>0.4</v>
      </c>
      <c r="K6">
        <f>SUM(H6:J15)</f>
        <v>54.699999999999989</v>
      </c>
      <c r="L6">
        <f>K6+K16+K26+K36</f>
        <v>165.59999999999997</v>
      </c>
      <c r="T6" s="17" t="s">
        <v>60</v>
      </c>
    </row>
    <row r="7" spans="2:22" x14ac:dyDescent="0.2">
      <c r="F7">
        <v>2</v>
      </c>
      <c r="G7">
        <v>10</v>
      </c>
      <c r="H7">
        <f t="shared" ref="H7:H35" si="0">((8*62)*10)/1000</f>
        <v>4.96</v>
      </c>
      <c r="I7">
        <f t="shared" ref="I7:I35" si="1">((11/1000)*G7)</f>
        <v>0.10999999999999999</v>
      </c>
      <c r="J7">
        <f t="shared" ref="J7:J35" si="2">((5*8)/1000)*G7</f>
        <v>0.4</v>
      </c>
      <c r="T7" s="17" t="s">
        <v>61</v>
      </c>
    </row>
    <row r="8" spans="2:22" x14ac:dyDescent="0.2">
      <c r="F8">
        <v>3</v>
      </c>
      <c r="G8">
        <v>10</v>
      </c>
      <c r="H8">
        <f t="shared" si="0"/>
        <v>4.96</v>
      </c>
      <c r="I8">
        <f t="shared" si="1"/>
        <v>0.10999999999999999</v>
      </c>
      <c r="J8">
        <f t="shared" si="2"/>
        <v>0.4</v>
      </c>
      <c r="T8" s="17" t="s">
        <v>141</v>
      </c>
    </row>
    <row r="9" spans="2:22" x14ac:dyDescent="0.2">
      <c r="F9">
        <v>4</v>
      </c>
      <c r="G9">
        <v>10</v>
      </c>
      <c r="H9">
        <f t="shared" si="0"/>
        <v>4.96</v>
      </c>
      <c r="I9">
        <f t="shared" si="1"/>
        <v>0.10999999999999999</v>
      </c>
      <c r="J9">
        <f t="shared" si="2"/>
        <v>0.4</v>
      </c>
    </row>
    <row r="10" spans="2:22" x14ac:dyDescent="0.2">
      <c r="F10">
        <v>5</v>
      </c>
      <c r="G10">
        <v>10</v>
      </c>
      <c r="H10">
        <f t="shared" si="0"/>
        <v>4.96</v>
      </c>
      <c r="I10">
        <f t="shared" si="1"/>
        <v>0.10999999999999999</v>
      </c>
      <c r="J10">
        <f t="shared" si="2"/>
        <v>0.4</v>
      </c>
      <c r="S10" t="s">
        <v>143</v>
      </c>
    </row>
    <row r="11" spans="2:22" x14ac:dyDescent="0.2">
      <c r="F11">
        <v>6</v>
      </c>
      <c r="G11">
        <v>10</v>
      </c>
      <c r="H11">
        <f t="shared" si="0"/>
        <v>4.96</v>
      </c>
      <c r="I11">
        <f t="shared" si="1"/>
        <v>0.10999999999999999</v>
      </c>
      <c r="J11">
        <f t="shared" si="2"/>
        <v>0.4</v>
      </c>
      <c r="S11" s="2" t="s">
        <v>144</v>
      </c>
    </row>
    <row r="12" spans="2:22" x14ac:dyDescent="0.2">
      <c r="F12">
        <v>7</v>
      </c>
      <c r="G12">
        <v>10</v>
      </c>
      <c r="H12">
        <f t="shared" si="0"/>
        <v>4.96</v>
      </c>
      <c r="I12">
        <f t="shared" si="1"/>
        <v>0.10999999999999999</v>
      </c>
      <c r="J12">
        <f t="shared" si="2"/>
        <v>0.4</v>
      </c>
      <c r="S12" t="s">
        <v>145</v>
      </c>
      <c r="T12">
        <v>3.3</v>
      </c>
      <c r="U12" t="s">
        <v>146</v>
      </c>
      <c r="V12" t="s">
        <v>147</v>
      </c>
    </row>
    <row r="13" spans="2:22" x14ac:dyDescent="0.2">
      <c r="F13">
        <v>8</v>
      </c>
      <c r="G13">
        <v>10</v>
      </c>
      <c r="H13">
        <f t="shared" si="0"/>
        <v>4.96</v>
      </c>
      <c r="I13">
        <f t="shared" si="1"/>
        <v>0.10999999999999999</v>
      </c>
      <c r="J13">
        <f t="shared" si="2"/>
        <v>0.4</v>
      </c>
      <c r="T13" t="s">
        <v>148</v>
      </c>
    </row>
    <row r="14" spans="2:22" x14ac:dyDescent="0.2">
      <c r="F14">
        <v>9</v>
      </c>
      <c r="G14">
        <v>10</v>
      </c>
      <c r="H14">
        <f t="shared" si="0"/>
        <v>4.96</v>
      </c>
      <c r="I14">
        <f t="shared" si="1"/>
        <v>0.10999999999999999</v>
      </c>
      <c r="J14">
        <f t="shared" si="2"/>
        <v>0.4</v>
      </c>
      <c r="T14">
        <v>0.14000000000000001</v>
      </c>
      <c r="U14" t="s">
        <v>175</v>
      </c>
    </row>
    <row r="15" spans="2:22" x14ac:dyDescent="0.2">
      <c r="F15">
        <v>10</v>
      </c>
      <c r="G15">
        <v>10</v>
      </c>
      <c r="H15">
        <f t="shared" si="0"/>
        <v>4.96</v>
      </c>
      <c r="I15">
        <f t="shared" si="1"/>
        <v>0.10999999999999999</v>
      </c>
      <c r="J15">
        <f t="shared" si="2"/>
        <v>0.4</v>
      </c>
    </row>
    <row r="16" spans="2:22" x14ac:dyDescent="0.2">
      <c r="D16" t="s">
        <v>60</v>
      </c>
      <c r="E16" t="s">
        <v>13</v>
      </c>
      <c r="F16">
        <v>1</v>
      </c>
      <c r="G16">
        <v>10</v>
      </c>
      <c r="H16">
        <f t="shared" si="0"/>
        <v>4.96</v>
      </c>
      <c r="I16">
        <f t="shared" si="1"/>
        <v>0.10999999999999999</v>
      </c>
      <c r="J16">
        <f t="shared" si="2"/>
        <v>0.4</v>
      </c>
      <c r="K16">
        <f>SUM(H16:J25)</f>
        <v>54.699999999999989</v>
      </c>
    </row>
    <row r="17" spans="4:11" x14ac:dyDescent="0.2">
      <c r="F17">
        <v>2</v>
      </c>
      <c r="G17">
        <v>10</v>
      </c>
      <c r="H17">
        <f t="shared" si="0"/>
        <v>4.96</v>
      </c>
      <c r="I17">
        <f t="shared" si="1"/>
        <v>0.10999999999999999</v>
      </c>
      <c r="J17">
        <f t="shared" si="2"/>
        <v>0.4</v>
      </c>
    </row>
    <row r="18" spans="4:11" x14ac:dyDescent="0.2">
      <c r="F18">
        <v>3</v>
      </c>
      <c r="G18">
        <v>10</v>
      </c>
      <c r="H18">
        <f t="shared" si="0"/>
        <v>4.96</v>
      </c>
      <c r="I18">
        <f t="shared" si="1"/>
        <v>0.10999999999999999</v>
      </c>
      <c r="J18">
        <f t="shared" si="2"/>
        <v>0.4</v>
      </c>
    </row>
    <row r="19" spans="4:11" x14ac:dyDescent="0.2">
      <c r="F19">
        <v>4</v>
      </c>
      <c r="G19">
        <v>10</v>
      </c>
      <c r="H19">
        <f t="shared" si="0"/>
        <v>4.96</v>
      </c>
      <c r="I19">
        <f t="shared" si="1"/>
        <v>0.10999999999999999</v>
      </c>
      <c r="J19">
        <f t="shared" si="2"/>
        <v>0.4</v>
      </c>
    </row>
    <row r="20" spans="4:11" x14ac:dyDescent="0.2">
      <c r="F20">
        <v>5</v>
      </c>
      <c r="G20">
        <v>10</v>
      </c>
      <c r="H20">
        <f t="shared" si="0"/>
        <v>4.96</v>
      </c>
      <c r="I20">
        <f t="shared" si="1"/>
        <v>0.10999999999999999</v>
      </c>
      <c r="J20">
        <f t="shared" si="2"/>
        <v>0.4</v>
      </c>
    </row>
    <row r="21" spans="4:11" x14ac:dyDescent="0.2">
      <c r="F21">
        <v>6</v>
      </c>
      <c r="G21">
        <v>10</v>
      </c>
      <c r="H21">
        <f>((8*62)*10)/1000</f>
        <v>4.96</v>
      </c>
      <c r="I21">
        <f t="shared" si="1"/>
        <v>0.10999999999999999</v>
      </c>
      <c r="J21">
        <f t="shared" si="2"/>
        <v>0.4</v>
      </c>
    </row>
    <row r="22" spans="4:11" x14ac:dyDescent="0.2">
      <c r="F22">
        <v>7</v>
      </c>
      <c r="G22">
        <v>10</v>
      </c>
      <c r="H22">
        <f t="shared" si="0"/>
        <v>4.96</v>
      </c>
      <c r="I22">
        <f t="shared" si="1"/>
        <v>0.10999999999999999</v>
      </c>
      <c r="J22">
        <f t="shared" si="2"/>
        <v>0.4</v>
      </c>
    </row>
    <row r="23" spans="4:11" x14ac:dyDescent="0.2">
      <c r="F23">
        <v>8</v>
      </c>
      <c r="G23">
        <v>10</v>
      </c>
      <c r="H23">
        <f t="shared" si="0"/>
        <v>4.96</v>
      </c>
      <c r="I23">
        <f t="shared" si="1"/>
        <v>0.10999999999999999</v>
      </c>
      <c r="J23">
        <f t="shared" si="2"/>
        <v>0.4</v>
      </c>
    </row>
    <row r="24" spans="4:11" x14ac:dyDescent="0.2">
      <c r="F24">
        <v>9</v>
      </c>
      <c r="G24">
        <v>10</v>
      </c>
      <c r="H24">
        <f t="shared" si="0"/>
        <v>4.96</v>
      </c>
      <c r="I24">
        <f t="shared" si="1"/>
        <v>0.10999999999999999</v>
      </c>
      <c r="J24">
        <f t="shared" si="2"/>
        <v>0.4</v>
      </c>
    </row>
    <row r="25" spans="4:11" x14ac:dyDescent="0.2">
      <c r="F25">
        <v>10</v>
      </c>
      <c r="G25">
        <v>10</v>
      </c>
      <c r="H25">
        <f t="shared" si="0"/>
        <v>4.96</v>
      </c>
      <c r="I25">
        <f t="shared" si="1"/>
        <v>0.10999999999999999</v>
      </c>
      <c r="J25">
        <f t="shared" si="2"/>
        <v>0.4</v>
      </c>
    </row>
    <row r="26" spans="4:11" x14ac:dyDescent="0.2">
      <c r="D26" t="s">
        <v>61</v>
      </c>
      <c r="E26" t="s">
        <v>13</v>
      </c>
      <c r="F26">
        <v>1</v>
      </c>
      <c r="G26">
        <v>10</v>
      </c>
      <c r="H26">
        <f t="shared" si="0"/>
        <v>4.96</v>
      </c>
      <c r="I26">
        <f t="shared" si="1"/>
        <v>0.10999999999999999</v>
      </c>
      <c r="J26">
        <f t="shared" si="2"/>
        <v>0.4</v>
      </c>
      <c r="K26">
        <f>SUM(H26:J35)</f>
        <v>54.699999999999989</v>
      </c>
    </row>
    <row r="27" spans="4:11" x14ac:dyDescent="0.2">
      <c r="F27">
        <v>2</v>
      </c>
      <c r="G27">
        <v>10</v>
      </c>
      <c r="H27">
        <f t="shared" si="0"/>
        <v>4.96</v>
      </c>
      <c r="I27">
        <f t="shared" si="1"/>
        <v>0.10999999999999999</v>
      </c>
      <c r="J27">
        <f t="shared" si="2"/>
        <v>0.4</v>
      </c>
    </row>
    <row r="28" spans="4:11" x14ac:dyDescent="0.2">
      <c r="F28">
        <v>3</v>
      </c>
      <c r="G28">
        <v>10</v>
      </c>
      <c r="H28">
        <f t="shared" si="0"/>
        <v>4.96</v>
      </c>
      <c r="I28">
        <f t="shared" si="1"/>
        <v>0.10999999999999999</v>
      </c>
      <c r="J28">
        <f t="shared" si="2"/>
        <v>0.4</v>
      </c>
    </row>
    <row r="29" spans="4:11" x14ac:dyDescent="0.2">
      <c r="F29">
        <v>4</v>
      </c>
      <c r="G29">
        <v>10</v>
      </c>
      <c r="H29">
        <f t="shared" si="0"/>
        <v>4.96</v>
      </c>
      <c r="I29">
        <f t="shared" si="1"/>
        <v>0.10999999999999999</v>
      </c>
      <c r="J29">
        <f t="shared" si="2"/>
        <v>0.4</v>
      </c>
    </row>
    <row r="30" spans="4:11" x14ac:dyDescent="0.2">
      <c r="F30">
        <v>5</v>
      </c>
      <c r="G30">
        <v>10</v>
      </c>
      <c r="H30">
        <f t="shared" si="0"/>
        <v>4.96</v>
      </c>
      <c r="I30">
        <f t="shared" si="1"/>
        <v>0.10999999999999999</v>
      </c>
      <c r="J30">
        <f t="shared" si="2"/>
        <v>0.4</v>
      </c>
    </row>
    <row r="31" spans="4:11" x14ac:dyDescent="0.2">
      <c r="F31">
        <v>6</v>
      </c>
      <c r="G31">
        <v>10</v>
      </c>
      <c r="H31">
        <f t="shared" si="0"/>
        <v>4.96</v>
      </c>
      <c r="I31">
        <f t="shared" si="1"/>
        <v>0.10999999999999999</v>
      </c>
      <c r="J31">
        <f t="shared" si="2"/>
        <v>0.4</v>
      </c>
    </row>
    <row r="32" spans="4:11" x14ac:dyDescent="0.2">
      <c r="F32">
        <v>7</v>
      </c>
      <c r="G32">
        <v>10</v>
      </c>
      <c r="H32">
        <f t="shared" si="0"/>
        <v>4.96</v>
      </c>
      <c r="I32">
        <f t="shared" si="1"/>
        <v>0.10999999999999999</v>
      </c>
      <c r="J32">
        <f t="shared" si="2"/>
        <v>0.4</v>
      </c>
    </row>
    <row r="33" spans="2:11" x14ac:dyDescent="0.2">
      <c r="F33">
        <v>8</v>
      </c>
      <c r="G33">
        <v>10</v>
      </c>
      <c r="H33">
        <f t="shared" si="0"/>
        <v>4.96</v>
      </c>
      <c r="I33">
        <f t="shared" si="1"/>
        <v>0.10999999999999999</v>
      </c>
      <c r="J33">
        <f t="shared" si="2"/>
        <v>0.4</v>
      </c>
    </row>
    <row r="34" spans="2:11" x14ac:dyDescent="0.2">
      <c r="F34">
        <v>9</v>
      </c>
      <c r="G34">
        <v>10</v>
      </c>
      <c r="H34">
        <f t="shared" si="0"/>
        <v>4.96</v>
      </c>
      <c r="I34">
        <f t="shared" si="1"/>
        <v>0.10999999999999999</v>
      </c>
      <c r="J34">
        <f t="shared" si="2"/>
        <v>0.4</v>
      </c>
    </row>
    <row r="35" spans="2:11" x14ac:dyDescent="0.2">
      <c r="F35">
        <v>10</v>
      </c>
      <c r="G35">
        <v>10</v>
      </c>
      <c r="H35">
        <f t="shared" si="0"/>
        <v>4.96</v>
      </c>
      <c r="I35">
        <f t="shared" si="1"/>
        <v>0.10999999999999999</v>
      </c>
      <c r="J35">
        <f t="shared" si="2"/>
        <v>0.4</v>
      </c>
    </row>
    <row r="36" spans="2:11" x14ac:dyDescent="0.2">
      <c r="D36" t="s">
        <v>74</v>
      </c>
      <c r="E36" t="s">
        <v>75</v>
      </c>
      <c r="F36">
        <v>1</v>
      </c>
      <c r="G36" t="s">
        <v>44</v>
      </c>
      <c r="H36" t="s">
        <v>44</v>
      </c>
      <c r="I36" t="s">
        <v>44</v>
      </c>
      <c r="J36">
        <v>0</v>
      </c>
      <c r="K36">
        <f>SUM(J36:J37)</f>
        <v>1.5</v>
      </c>
    </row>
    <row r="37" spans="2:11" x14ac:dyDescent="0.2">
      <c r="F37">
        <v>2</v>
      </c>
      <c r="G37" t="s">
        <v>44</v>
      </c>
      <c r="H37" t="s">
        <v>44</v>
      </c>
      <c r="I37" t="s">
        <v>44</v>
      </c>
      <c r="J37">
        <f>((5*30)/1000)*G35</f>
        <v>1.5</v>
      </c>
    </row>
    <row r="39" spans="2:11" x14ac:dyDescent="0.2">
      <c r="J39" t="s">
        <v>190</v>
      </c>
    </row>
    <row r="42" spans="2:11" x14ac:dyDescent="0.2">
      <c r="B42" t="s">
        <v>124</v>
      </c>
    </row>
    <row r="44" spans="2:11" x14ac:dyDescent="0.2">
      <c r="B44" t="s">
        <v>125</v>
      </c>
    </row>
    <row r="45" spans="2:11" x14ac:dyDescent="0.2">
      <c r="B45">
        <v>1</v>
      </c>
      <c r="C45" t="s">
        <v>126</v>
      </c>
      <c r="D45">
        <v>1</v>
      </c>
      <c r="E45" t="s">
        <v>128</v>
      </c>
      <c r="F45">
        <v>1E-3</v>
      </c>
      <c r="G45" t="s">
        <v>127</v>
      </c>
    </row>
    <row r="46" spans="2:11" x14ac:dyDescent="0.2">
      <c r="B46">
        <v>4960</v>
      </c>
      <c r="C46" t="s">
        <v>126</v>
      </c>
      <c r="D46">
        <v>4960</v>
      </c>
      <c r="E46" t="s">
        <v>128</v>
      </c>
      <c r="F46">
        <f>D46/1000</f>
        <v>4.96</v>
      </c>
      <c r="G46" t="s">
        <v>127</v>
      </c>
    </row>
  </sheetData>
  <hyperlinks>
    <hyperlink ref="S11" r:id="rId1" xr:uid="{1B40545A-566E-5D48-BB2D-308C7269F5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81F2-9161-6842-913D-451395AF0C5B}">
  <dimension ref="B2:W21"/>
  <sheetViews>
    <sheetView workbookViewId="0">
      <selection activeCell="H12" sqref="H12"/>
    </sheetView>
  </sheetViews>
  <sheetFormatPr baseColWidth="10" defaultRowHeight="16" x14ac:dyDescent="0.2"/>
  <cols>
    <col min="2" max="2" width="17.83203125" bestFit="1" customWidth="1"/>
    <col min="3" max="3" width="25.6640625" bestFit="1" customWidth="1"/>
    <col min="5" max="5" width="11.6640625" bestFit="1" customWidth="1"/>
    <col min="7" max="7" width="18.1640625" bestFit="1" customWidth="1"/>
    <col min="9" max="9" width="11.6640625" bestFit="1" customWidth="1"/>
    <col min="12" max="12" width="11.6640625" bestFit="1" customWidth="1"/>
  </cols>
  <sheetData>
    <row r="2" spans="2:23" x14ac:dyDescent="0.2">
      <c r="B2" t="s">
        <v>237</v>
      </c>
      <c r="D2" s="2" t="s">
        <v>249</v>
      </c>
      <c r="H2" t="s">
        <v>250</v>
      </c>
    </row>
    <row r="3" spans="2:23" x14ac:dyDescent="0.2">
      <c r="C3" t="s">
        <v>241</v>
      </c>
      <c r="D3">
        <v>4.53</v>
      </c>
      <c r="E3" t="s">
        <v>238</v>
      </c>
      <c r="F3">
        <v>4.53</v>
      </c>
      <c r="V3" t="s">
        <v>235</v>
      </c>
      <c r="W3" t="s">
        <v>262</v>
      </c>
    </row>
    <row r="4" spans="2:23" x14ac:dyDescent="0.2">
      <c r="C4" t="s">
        <v>240</v>
      </c>
      <c r="D4">
        <v>207</v>
      </c>
      <c r="E4" t="s">
        <v>239</v>
      </c>
      <c r="M4" t="s">
        <v>253</v>
      </c>
      <c r="N4" t="s">
        <v>254</v>
      </c>
      <c r="O4" t="s">
        <v>255</v>
      </c>
      <c r="P4" t="s">
        <v>256</v>
      </c>
      <c r="V4">
        <v>9</v>
      </c>
      <c r="W4">
        <v>103</v>
      </c>
    </row>
    <row r="5" spans="2:23" x14ac:dyDescent="0.2">
      <c r="C5" t="s">
        <v>251</v>
      </c>
      <c r="D5">
        <v>160</v>
      </c>
      <c r="E5" t="s">
        <v>118</v>
      </c>
      <c r="L5" t="s">
        <v>235</v>
      </c>
      <c r="M5">
        <f>M6*M9</f>
        <v>4.5</v>
      </c>
      <c r="O5">
        <v>1</v>
      </c>
    </row>
    <row r="6" spans="2:23" x14ac:dyDescent="0.2">
      <c r="C6" t="s">
        <v>252</v>
      </c>
      <c r="D6">
        <v>4.5</v>
      </c>
      <c r="E6" t="s">
        <v>261</v>
      </c>
      <c r="G6" t="s">
        <v>244</v>
      </c>
      <c r="H6">
        <f>D11*D3</f>
        <v>363973.38367626781</v>
      </c>
      <c r="I6" t="s">
        <v>243</v>
      </c>
      <c r="L6" t="s">
        <v>257</v>
      </c>
      <c r="M6">
        <v>18</v>
      </c>
      <c r="O6">
        <v>2</v>
      </c>
      <c r="R6" t="s">
        <v>259</v>
      </c>
    </row>
    <row r="7" spans="2:23" x14ac:dyDescent="0.2">
      <c r="C7" t="s">
        <v>252</v>
      </c>
      <c r="D7">
        <v>4.5</v>
      </c>
      <c r="E7" t="s">
        <v>263</v>
      </c>
      <c r="H7">
        <f>H6/1000</f>
        <v>363.97338367626782</v>
      </c>
      <c r="I7" t="s">
        <v>280</v>
      </c>
      <c r="R7" t="s">
        <v>260</v>
      </c>
      <c r="S7" t="s">
        <v>258</v>
      </c>
    </row>
    <row r="8" spans="2:23" x14ac:dyDescent="0.2">
      <c r="C8" t="s">
        <v>252</v>
      </c>
      <c r="D8">
        <f>D7/1000</f>
        <v>4.4999999999999997E-3</v>
      </c>
      <c r="E8" t="s">
        <v>264</v>
      </c>
    </row>
    <row r="9" spans="2:23" x14ac:dyDescent="0.2">
      <c r="L9" t="s">
        <v>258</v>
      </c>
      <c r="M9">
        <f>M10</f>
        <v>0.25</v>
      </c>
      <c r="O9">
        <f>O5/O6</f>
        <v>0.5</v>
      </c>
    </row>
    <row r="10" spans="2:23" x14ac:dyDescent="0.2">
      <c r="B10" t="s">
        <v>270</v>
      </c>
      <c r="G10" t="s">
        <v>245</v>
      </c>
      <c r="H10">
        <f>D11/D4</f>
        <v>388.15133002342702</v>
      </c>
      <c r="I10" t="s">
        <v>233</v>
      </c>
      <c r="M10">
        <f>O10</f>
        <v>0.25</v>
      </c>
      <c r="O10">
        <f>O9/2</f>
        <v>0.25</v>
      </c>
    </row>
    <row r="11" spans="2:23" x14ac:dyDescent="0.2">
      <c r="C11" t="s">
        <v>242</v>
      </c>
      <c r="D11">
        <f>'TOTDMND E Demands'!S15</f>
        <v>80347.325314849397</v>
      </c>
      <c r="E11" t="s">
        <v>212</v>
      </c>
      <c r="H11" t="s">
        <v>246</v>
      </c>
    </row>
    <row r="12" spans="2:23" x14ac:dyDescent="0.2">
      <c r="C12" t="s">
        <v>242</v>
      </c>
      <c r="D12">
        <f>'TOTDMND E Demands'!L6</f>
        <v>7020.6400760548022</v>
      </c>
      <c r="E12" t="s">
        <v>235</v>
      </c>
    </row>
    <row r="14" spans="2:23" x14ac:dyDescent="0.2">
      <c r="B14" t="s">
        <v>265</v>
      </c>
    </row>
    <row r="15" spans="2:23" x14ac:dyDescent="0.2">
      <c r="C15" t="s">
        <v>266</v>
      </c>
      <c r="D15">
        <f>D6*D12</f>
        <v>31592.880342246608</v>
      </c>
      <c r="E15" t="s">
        <v>235</v>
      </c>
      <c r="G15" t="s">
        <v>281</v>
      </c>
      <c r="H15">
        <f>H10/70</f>
        <v>5.5450190003346718</v>
      </c>
    </row>
    <row r="16" spans="2:23" x14ac:dyDescent="0.2">
      <c r="D16">
        <f>D15</f>
        <v>31592.880342246608</v>
      </c>
      <c r="E16" t="s">
        <v>268</v>
      </c>
      <c r="H16">
        <v>3.5</v>
      </c>
      <c r="I16" t="s">
        <v>247</v>
      </c>
      <c r="J16" t="s">
        <v>248</v>
      </c>
    </row>
    <row r="17" spans="2:5" x14ac:dyDescent="0.2">
      <c r="D17">
        <f>D16/1000</f>
        <v>31.592880342246609</v>
      </c>
      <c r="E17" t="s">
        <v>267</v>
      </c>
    </row>
    <row r="19" spans="2:5" x14ac:dyDescent="0.2">
      <c r="B19" t="s">
        <v>269</v>
      </c>
    </row>
    <row r="20" spans="2:5" x14ac:dyDescent="0.2">
      <c r="C20" t="s">
        <v>271</v>
      </c>
      <c r="D20">
        <f>D11*D3</f>
        <v>363973.38367626781</v>
      </c>
      <c r="E20" t="s">
        <v>243</v>
      </c>
    </row>
    <row r="21" spans="2:5" x14ac:dyDescent="0.2">
      <c r="D21">
        <f>D20/1000</f>
        <v>363.97338367626782</v>
      </c>
      <c r="E21" t="s">
        <v>279</v>
      </c>
    </row>
  </sheetData>
  <hyperlinks>
    <hyperlink ref="D2" r:id="rId1" xr:uid="{2394F2A9-C6B8-E440-ACF3-1B117F860E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DMND Flat</vt:lpstr>
      <vt:lpstr>DMND Shop and Lobby</vt:lpstr>
      <vt:lpstr>DMND Single Pump House</vt:lpstr>
      <vt:lpstr>DMND Bus</vt:lpstr>
      <vt:lpstr>TOTDMND E Demands</vt:lpstr>
      <vt:lpstr>TOTDEMAND H2O Demands</vt:lpstr>
      <vt:lpstr>MNFCTR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Dodd</cp:lastModifiedBy>
  <dcterms:created xsi:type="dcterms:W3CDTF">2019-12-15T14:46:31Z</dcterms:created>
  <dcterms:modified xsi:type="dcterms:W3CDTF">2019-12-17T08:56:56Z</dcterms:modified>
</cp:coreProperties>
</file>