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jhojlunddodd/OneDrive - Millfield Enterprises Limited/Oxford/Energy Systems MSc/Michaelmas/Assignments Declared/Sy1/Part 2 (60)/"/>
    </mc:Choice>
  </mc:AlternateContent>
  <xr:revisionPtr revIDLastSave="108" documentId="13_ncr:1_{6F29E22B-D085-A24E-9223-EA097D0D4615}" xr6:coauthVersionLast="45" xr6:coauthVersionMax="45" xr10:uidLastSave="{041BAD45-906A-F041-B36D-202549DF8076}"/>
  <bookViews>
    <workbookView xWindow="0" yWindow="460" windowWidth="25600" windowHeight="15540" activeTab="4" xr2:uid="{07DFB7EC-A277-654A-B3EA-C5CD31771A0E}"/>
  </bookViews>
  <sheets>
    <sheet name="Energy Demand" sheetId="1" r:id="rId1"/>
    <sheet name="Solar Field" sheetId="4" r:id="rId2"/>
    <sheet name="Electrolysers" sheetId="3" r:id="rId3"/>
    <sheet name="H2 Stores" sheetId="5" r:id="rId4"/>
    <sheet name="Fuel Cells" sheetId="2" r:id="rId5"/>
    <sheet name="d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2" l="1"/>
  <c r="F35" i="2" l="1"/>
  <c r="F34" i="2"/>
  <c r="F32" i="2"/>
  <c r="F31" i="2"/>
  <c r="D23" i="2"/>
  <c r="H4" i="2"/>
  <c r="D21" i="2"/>
  <c r="AE34" i="1"/>
  <c r="D36" i="3"/>
  <c r="J16" i="3" l="1"/>
  <c r="J12" i="3" l="1"/>
  <c r="I28" i="2" l="1"/>
  <c r="I27" i="2"/>
  <c r="I24" i="2"/>
  <c r="I22" i="2"/>
  <c r="E23" i="3" l="1"/>
  <c r="J13" i="4"/>
  <c r="J10" i="4"/>
  <c r="J11" i="4" s="1"/>
  <c r="J7" i="4"/>
  <c r="J8" i="4" s="1"/>
  <c r="D10" i="4"/>
  <c r="D11" i="4" s="1"/>
  <c r="D7" i="4"/>
  <c r="D8" i="4" s="1"/>
  <c r="D9" i="3"/>
  <c r="U29" i="1"/>
  <c r="S27" i="1"/>
  <c r="R27" i="1"/>
  <c r="S26" i="1"/>
  <c r="R26" i="1"/>
  <c r="T26" i="1" s="1"/>
  <c r="S25" i="1"/>
  <c r="R25" i="1"/>
  <c r="T25" i="1" s="1"/>
  <c r="S24" i="1"/>
  <c r="R24" i="1"/>
  <c r="T24" i="1" s="1"/>
  <c r="S23" i="1"/>
  <c r="R23" i="1"/>
  <c r="S22" i="1"/>
  <c r="R22" i="1"/>
  <c r="T22" i="1" s="1"/>
  <c r="S21" i="1"/>
  <c r="R21" i="1"/>
  <c r="T21" i="1" s="1"/>
  <c r="S20" i="1"/>
  <c r="R20" i="1"/>
  <c r="T20" i="1" s="1"/>
  <c r="S19" i="1"/>
  <c r="R19" i="1"/>
  <c r="S18" i="1"/>
  <c r="R18" i="1"/>
  <c r="T18" i="1" s="1"/>
  <c r="S17" i="1"/>
  <c r="R17" i="1"/>
  <c r="T17" i="1" s="1"/>
  <c r="S16" i="1"/>
  <c r="R16" i="1"/>
  <c r="T16" i="1" s="1"/>
  <c r="S15" i="1"/>
  <c r="R15" i="1"/>
  <c r="S14" i="1"/>
  <c r="R14" i="1"/>
  <c r="T14" i="1" s="1"/>
  <c r="S13" i="1"/>
  <c r="R13" i="1"/>
  <c r="T13" i="1" s="1"/>
  <c r="S12" i="1"/>
  <c r="R12" i="1"/>
  <c r="T12" i="1" s="1"/>
  <c r="S11" i="1"/>
  <c r="R11" i="1"/>
  <c r="S10" i="1"/>
  <c r="R10" i="1"/>
  <c r="T10" i="1" s="1"/>
  <c r="S9" i="1"/>
  <c r="R9" i="1"/>
  <c r="T9" i="1" s="1"/>
  <c r="S8" i="1"/>
  <c r="R8" i="1"/>
  <c r="T8" i="1" s="1"/>
  <c r="S7" i="1"/>
  <c r="R7" i="1"/>
  <c r="S6" i="1"/>
  <c r="R6" i="1"/>
  <c r="T6" i="1" s="1"/>
  <c r="S5" i="1"/>
  <c r="R5" i="1"/>
  <c r="T5" i="1" s="1"/>
  <c r="S4" i="1"/>
  <c r="R4" i="1"/>
  <c r="T4" i="1" s="1"/>
  <c r="W9" i="1"/>
  <c r="W13" i="1"/>
  <c r="W17" i="1"/>
  <c r="W25" i="1"/>
  <c r="V27" i="1"/>
  <c r="W27" i="1" s="1"/>
  <c r="V26" i="1"/>
  <c r="W26" i="1" s="1"/>
  <c r="V25" i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V16" i="1"/>
  <c r="W16" i="1" s="1"/>
  <c r="V15" i="1"/>
  <c r="W15" i="1" s="1"/>
  <c r="V14" i="1"/>
  <c r="W14" i="1" s="1"/>
  <c r="V13" i="1"/>
  <c r="V12" i="1"/>
  <c r="W12" i="1" s="1"/>
  <c r="V11" i="1"/>
  <c r="W11" i="1" s="1"/>
  <c r="V10" i="1"/>
  <c r="W10" i="1" s="1"/>
  <c r="V9" i="1"/>
  <c r="V8" i="1"/>
  <c r="W8" i="1" s="1"/>
  <c r="V7" i="1"/>
  <c r="W7" i="1" s="1"/>
  <c r="V6" i="1"/>
  <c r="W6" i="1" s="1"/>
  <c r="V5" i="1"/>
  <c r="W5" i="1" s="1"/>
  <c r="V4" i="1"/>
  <c r="W4" i="1" s="1"/>
  <c r="J29" i="1"/>
  <c r="H29" i="1"/>
  <c r="E29" i="1"/>
  <c r="D5" i="2"/>
  <c r="D6" i="2" s="1"/>
  <c r="I27" i="1"/>
  <c r="F27" i="1"/>
  <c r="C27" i="1"/>
  <c r="I26" i="1"/>
  <c r="F26" i="1"/>
  <c r="C26" i="1"/>
  <c r="I25" i="1"/>
  <c r="I29" i="1" s="1"/>
  <c r="F25" i="1"/>
  <c r="C25" i="1"/>
  <c r="I24" i="1"/>
  <c r="G24" i="1"/>
  <c r="C24" i="1"/>
  <c r="I23" i="1"/>
  <c r="G23" i="1"/>
  <c r="C23" i="1"/>
  <c r="I22" i="1"/>
  <c r="G22" i="1"/>
  <c r="C22" i="1"/>
  <c r="I21" i="1"/>
  <c r="G21" i="1"/>
  <c r="D21" i="1"/>
  <c r="C21" i="1"/>
  <c r="I20" i="1"/>
  <c r="G20" i="1"/>
  <c r="C20" i="1"/>
  <c r="I19" i="1"/>
  <c r="G19" i="1"/>
  <c r="C19" i="1"/>
  <c r="I18" i="1"/>
  <c r="G18" i="1"/>
  <c r="C18" i="1"/>
  <c r="I17" i="1"/>
  <c r="G17" i="1"/>
  <c r="G29" i="1" s="1"/>
  <c r="C17" i="1"/>
  <c r="I16" i="1"/>
  <c r="G16" i="1"/>
  <c r="C16" i="1"/>
  <c r="I15" i="1"/>
  <c r="G15" i="1"/>
  <c r="C15" i="1"/>
  <c r="I14" i="1"/>
  <c r="G14" i="1"/>
  <c r="C14" i="1"/>
  <c r="I13" i="1"/>
  <c r="G13" i="1"/>
  <c r="C13" i="1"/>
  <c r="I12" i="1"/>
  <c r="G12" i="1"/>
  <c r="F12" i="1"/>
  <c r="D12" i="1"/>
  <c r="D29" i="1" s="1"/>
  <c r="C12" i="1"/>
  <c r="I11" i="1"/>
  <c r="F11" i="1"/>
  <c r="C11" i="1"/>
  <c r="I10" i="1"/>
  <c r="F10" i="1"/>
  <c r="C10" i="1"/>
  <c r="I9" i="1"/>
  <c r="F9" i="1"/>
  <c r="C9" i="1"/>
  <c r="I8" i="1"/>
  <c r="F8" i="1"/>
  <c r="F29" i="1" s="1"/>
  <c r="C8" i="1"/>
  <c r="I7" i="1"/>
  <c r="F7" i="1"/>
  <c r="C7" i="1"/>
  <c r="I6" i="1"/>
  <c r="F6" i="1"/>
  <c r="C6" i="1"/>
  <c r="I5" i="1"/>
  <c r="F5" i="1"/>
  <c r="C5" i="1"/>
  <c r="I4" i="1"/>
  <c r="F4" i="1"/>
  <c r="C4" i="1"/>
  <c r="R29" i="1" l="1"/>
  <c r="V29" i="1"/>
  <c r="T7" i="1"/>
  <c r="T11" i="1"/>
  <c r="T15" i="1"/>
  <c r="T19" i="1"/>
  <c r="T23" i="1"/>
  <c r="T27" i="1"/>
  <c r="S29" i="1"/>
  <c r="X14" i="1"/>
  <c r="X13" i="1"/>
  <c r="L13" i="1"/>
  <c r="M13" i="1" s="1"/>
  <c r="N13" i="1" s="1"/>
  <c r="O13" i="1" s="1"/>
  <c r="P13" i="1" s="1"/>
  <c r="Q13" i="1" s="1"/>
  <c r="L17" i="1"/>
  <c r="M17" i="1" s="1"/>
  <c r="N17" i="1" s="1"/>
  <c r="O17" i="1" s="1"/>
  <c r="P17" i="1" s="1"/>
  <c r="Q17" i="1" s="1"/>
  <c r="X17" i="1" s="1"/>
  <c r="L22" i="1"/>
  <c r="M22" i="1" s="1"/>
  <c r="N22" i="1" s="1"/>
  <c r="O22" i="1" s="1"/>
  <c r="P22" i="1" s="1"/>
  <c r="Q22" i="1" s="1"/>
  <c r="X22" i="1" s="1"/>
  <c r="L26" i="1"/>
  <c r="M26" i="1" s="1"/>
  <c r="N26" i="1" s="1"/>
  <c r="O26" i="1" s="1"/>
  <c r="P26" i="1" s="1"/>
  <c r="Q26" i="1" s="1"/>
  <c r="X26" i="1" s="1"/>
  <c r="L4" i="1"/>
  <c r="L8" i="1"/>
  <c r="M8" i="1" s="1"/>
  <c r="N8" i="1" s="1"/>
  <c r="O8" i="1" s="1"/>
  <c r="P8" i="1" s="1"/>
  <c r="Q8" i="1" s="1"/>
  <c r="X8" i="1" s="1"/>
  <c r="L14" i="1"/>
  <c r="M14" i="1" s="1"/>
  <c r="N14" i="1" s="1"/>
  <c r="O14" i="1" s="1"/>
  <c r="P14" i="1" s="1"/>
  <c r="Q14" i="1" s="1"/>
  <c r="L18" i="1"/>
  <c r="M18" i="1" s="1"/>
  <c r="N18" i="1" s="1"/>
  <c r="O18" i="1" s="1"/>
  <c r="P18" i="1" s="1"/>
  <c r="Q18" i="1" s="1"/>
  <c r="X18" i="1" s="1"/>
  <c r="L23" i="1"/>
  <c r="M23" i="1" s="1"/>
  <c r="N23" i="1" s="1"/>
  <c r="O23" i="1" s="1"/>
  <c r="P23" i="1" s="1"/>
  <c r="Q23" i="1" s="1"/>
  <c r="X23" i="1" s="1"/>
  <c r="L27" i="1"/>
  <c r="L16" i="1"/>
  <c r="M16" i="1" s="1"/>
  <c r="N16" i="1" s="1"/>
  <c r="O16" i="1" s="1"/>
  <c r="P16" i="1" s="1"/>
  <c r="Q16" i="1" s="1"/>
  <c r="X16" i="1" s="1"/>
  <c r="L20" i="1"/>
  <c r="M20" i="1" s="1"/>
  <c r="N20" i="1" s="1"/>
  <c r="O20" i="1" s="1"/>
  <c r="P20" i="1" s="1"/>
  <c r="Q20" i="1" s="1"/>
  <c r="X20" i="1" s="1"/>
  <c r="L21" i="1"/>
  <c r="M21" i="1" s="1"/>
  <c r="N21" i="1" s="1"/>
  <c r="O21" i="1" s="1"/>
  <c r="P21" i="1" s="1"/>
  <c r="Q21" i="1" s="1"/>
  <c r="X21" i="1" s="1"/>
  <c r="L5" i="1"/>
  <c r="L9" i="1"/>
  <c r="L15" i="1"/>
  <c r="M15" i="1" s="1"/>
  <c r="N15" i="1" s="1"/>
  <c r="O15" i="1" s="1"/>
  <c r="P15" i="1" s="1"/>
  <c r="Q15" i="1" s="1"/>
  <c r="X15" i="1" s="1"/>
  <c r="L19" i="1"/>
  <c r="M19" i="1" s="1"/>
  <c r="N19" i="1" s="1"/>
  <c r="O19" i="1" s="1"/>
  <c r="P19" i="1" s="1"/>
  <c r="Q19" i="1" s="1"/>
  <c r="X19" i="1" s="1"/>
  <c r="C29" i="1"/>
  <c r="AG6" i="1" s="1"/>
  <c r="AE6" i="1" s="1"/>
  <c r="AG10" i="1" s="1"/>
  <c r="AE10" i="1" s="1"/>
  <c r="L7" i="1"/>
  <c r="L11" i="1"/>
  <c r="L12" i="1"/>
  <c r="L25" i="1"/>
  <c r="L6" i="1"/>
  <c r="L10" i="1"/>
  <c r="L24" i="1"/>
  <c r="AG26" i="1" l="1"/>
  <c r="AE26" i="1" s="1"/>
  <c r="M4" i="1"/>
  <c r="N4" i="1" s="1"/>
  <c r="O4" i="1" s="1"/>
  <c r="P4" i="1" s="1"/>
  <c r="Q4" i="1" s="1"/>
  <c r="X4" i="1" s="1"/>
  <c r="M27" i="1"/>
  <c r="N27" i="1" s="1"/>
  <c r="O27" i="1" s="1"/>
  <c r="P27" i="1" s="1"/>
  <c r="Q27" i="1" s="1"/>
  <c r="X27" i="1" s="1"/>
  <c r="AE21" i="1"/>
  <c r="AE16" i="1"/>
  <c r="M5" i="1"/>
  <c r="N5" i="1" s="1"/>
  <c r="O5" i="1" s="1"/>
  <c r="P5" i="1" s="1"/>
  <c r="Q5" i="1" s="1"/>
  <c r="X5" i="1" s="1"/>
  <c r="M25" i="1"/>
  <c r="N25" i="1" s="1"/>
  <c r="O25" i="1" s="1"/>
  <c r="P25" i="1" s="1"/>
  <c r="Q25" i="1" s="1"/>
  <c r="X25" i="1" s="1"/>
  <c r="M9" i="1"/>
  <c r="N9" i="1" s="1"/>
  <c r="O9" i="1" s="1"/>
  <c r="P9" i="1" s="1"/>
  <c r="Q9" i="1" s="1"/>
  <c r="X9" i="1" s="1"/>
  <c r="M10" i="1"/>
  <c r="N10" i="1" s="1"/>
  <c r="O10" i="1" s="1"/>
  <c r="P10" i="1" s="1"/>
  <c r="Q10" i="1" s="1"/>
  <c r="X10" i="1" s="1"/>
  <c r="M24" i="1"/>
  <c r="N24" i="1" s="1"/>
  <c r="O24" i="1" s="1"/>
  <c r="P24" i="1" s="1"/>
  <c r="Q24" i="1" s="1"/>
  <c r="X24" i="1" s="1"/>
  <c r="M6" i="1"/>
  <c r="N6" i="1" s="1"/>
  <c r="O6" i="1" s="1"/>
  <c r="P6" i="1" s="1"/>
  <c r="Q6" i="1" s="1"/>
  <c r="X6" i="1" s="1"/>
  <c r="M7" i="1"/>
  <c r="N7" i="1" s="1"/>
  <c r="O7" i="1" s="1"/>
  <c r="P7" i="1" s="1"/>
  <c r="Q7" i="1" s="1"/>
  <c r="X7" i="1" s="1"/>
  <c r="M12" i="1"/>
  <c r="N12" i="1" s="1"/>
  <c r="O12" i="1" s="1"/>
  <c r="P12" i="1" s="1"/>
  <c r="Q12" i="1" s="1"/>
  <c r="X12" i="1" s="1"/>
  <c r="M11" i="1"/>
  <c r="N11" i="1" s="1"/>
  <c r="O11" i="1" s="1"/>
  <c r="P11" i="1" s="1"/>
  <c r="Q11" i="1" s="1"/>
  <c r="X11" i="1" s="1"/>
  <c r="X30" i="1" l="1"/>
  <c r="J2" i="3" s="1"/>
  <c r="E18" i="3" s="1"/>
  <c r="E19" i="3" s="1"/>
  <c r="M3" i="4" s="1"/>
  <c r="H2" i="2" l="1"/>
  <c r="Y30" i="1"/>
  <c r="D12" i="2" l="1"/>
  <c r="D13" i="2" s="1"/>
  <c r="D15" i="2" l="1"/>
  <c r="D14" i="2"/>
  <c r="J4" i="3" s="1"/>
  <c r="E24" i="3" s="1"/>
  <c r="J3" i="3" l="1"/>
  <c r="E13" i="3" s="1"/>
  <c r="E14" i="3" s="1"/>
  <c r="E15" i="3" s="1"/>
  <c r="L3" i="5"/>
  <c r="C9" i="5" s="1"/>
</calcChain>
</file>

<file path=xl/sharedStrings.xml><?xml version="1.0" encoding="utf-8"?>
<sst xmlns="http://schemas.openxmlformats.org/spreadsheetml/2006/main" count="249" uniqueCount="150">
  <si>
    <t>Time</t>
  </si>
  <si>
    <t>Fridge</t>
  </si>
  <si>
    <t>Electric Shower</t>
  </si>
  <si>
    <t>Air Conditioner</t>
  </si>
  <si>
    <t>Charging of Devices</t>
  </si>
  <si>
    <t>Lights</t>
  </si>
  <si>
    <t>Oven</t>
  </si>
  <si>
    <t>TV</t>
  </si>
  <si>
    <t>Dishwasher</t>
  </si>
  <si>
    <t>Toilet</t>
  </si>
  <si>
    <t>Total</t>
  </si>
  <si>
    <t>(hrs)</t>
  </si>
  <si>
    <t>(kWh)</t>
  </si>
  <si>
    <t>Building 1</t>
  </si>
  <si>
    <t>Building 2</t>
  </si>
  <si>
    <t>Building 3</t>
  </si>
  <si>
    <t>Lobby</t>
  </si>
  <si>
    <t>Shop</t>
  </si>
  <si>
    <t>Grand Total E</t>
  </si>
  <si>
    <t>E daily (kWh)</t>
  </si>
  <si>
    <t>Total Floor</t>
  </si>
  <si>
    <t>Total Building</t>
  </si>
  <si>
    <t>Alterations</t>
  </si>
  <si>
    <t>Cut night time air conditioning</t>
  </si>
  <si>
    <t>Alter flats so only cooled for 21000BTU / 6.3kW required alone</t>
  </si>
  <si>
    <t>https://www.appliancesonline.com.au/product/kelvinator-6kw-window-box-reverse-cycle-air-conditioner-kwh62hre</t>
  </si>
  <si>
    <t>6kw appliance chosen</t>
  </si>
  <si>
    <t>Alter Lobby, 20 people max, hot, well insulated, produces result of 19000W required.</t>
  </si>
  <si>
    <t>https://www.calculator.net/btu-calculator.html?roomsize1=300&amp;roomwidthunit=meters&amp;ceilingheight1=3&amp;ceilingheight1unit=meters&amp;people1=20&amp;roomtype1=house&amp;insulation1=good&amp;sunexposure1=normal&amp;climate1=hot&amp;ctype=room&amp;x=64&amp;y=33</t>
  </si>
  <si>
    <t>3* 6kw devices chosen</t>
  </si>
  <si>
    <t>Fuel Cell Specs</t>
  </si>
  <si>
    <t>Output</t>
  </si>
  <si>
    <t>kW</t>
  </si>
  <si>
    <t>Consumption</t>
  </si>
  <si>
    <t>g s^-1</t>
  </si>
  <si>
    <t>kg s^-1</t>
  </si>
  <si>
    <t>Nm^3 s^-1</t>
  </si>
  <si>
    <t>One machine</t>
  </si>
  <si>
    <t>producing</t>
  </si>
  <si>
    <t>a days</t>
  </si>
  <si>
    <t>consumption</t>
  </si>
  <si>
    <t>would use:</t>
  </si>
  <si>
    <t>Equivalent hours work</t>
  </si>
  <si>
    <t>hrs</t>
  </si>
  <si>
    <t>Equivalent seconds</t>
  </si>
  <si>
    <t>s</t>
  </si>
  <si>
    <t>Nm^3 Used</t>
  </si>
  <si>
    <t>Nm^3</t>
  </si>
  <si>
    <t>kg Used</t>
  </si>
  <si>
    <t>kg</t>
  </si>
  <si>
    <t>Number of</t>
  </si>
  <si>
    <t>fuel cells</t>
  </si>
  <si>
    <t xml:space="preserve">required for </t>
  </si>
  <si>
    <t>diversified peak</t>
  </si>
  <si>
    <t>demand:</t>
  </si>
  <si>
    <t>Number required:</t>
  </si>
  <si>
    <t>Number practically:</t>
  </si>
  <si>
    <t>Practical max product:</t>
  </si>
  <si>
    <t>E Required Daily Overall</t>
  </si>
  <si>
    <t>kWh</t>
  </si>
  <si>
    <t>Diversified Demand</t>
  </si>
  <si>
    <t>OVERALL</t>
  </si>
  <si>
    <t>Max Demand</t>
  </si>
  <si>
    <t>Demand Factor</t>
  </si>
  <si>
    <t>Total Connected Load</t>
  </si>
  <si>
    <t>(kW)</t>
  </si>
  <si>
    <t>Residential</t>
  </si>
  <si>
    <t>Diversity Factor</t>
  </si>
  <si>
    <t>Sum of max demands</t>
  </si>
  <si>
    <t>50 to above apartments</t>
  </si>
  <si>
    <t>Load</t>
  </si>
  <si>
    <t>Max Diversified Demand of Building</t>
  </si>
  <si>
    <t>airport/bank/shop</t>
  </si>
  <si>
    <t>Fridges</t>
  </si>
  <si>
    <t>Desktop</t>
  </si>
  <si>
    <t>E daily (MWh)</t>
  </si>
  <si>
    <t>Lobby+Shop</t>
  </si>
  <si>
    <t>Overall Diversified Demand</t>
  </si>
  <si>
    <t>Electrolyser Specs</t>
  </si>
  <si>
    <t>https://nelhydrogen.com/product/m-series/</t>
  </si>
  <si>
    <t>E required:</t>
  </si>
  <si>
    <t>kWh/Nm³</t>
  </si>
  <si>
    <t>Max output:</t>
  </si>
  <si>
    <t>Nm³/h</t>
  </si>
  <si>
    <t>Dimensions</t>
  </si>
  <si>
    <t>m^2</t>
  </si>
  <si>
    <t>Theoretical H2O consumption</t>
  </si>
  <si>
    <t>kg kg^-1</t>
  </si>
  <si>
    <t>L kg^-1</t>
  </si>
  <si>
    <t>m^3 kg^-1</t>
  </si>
  <si>
    <t>E required daily overall</t>
  </si>
  <si>
    <t>Hydrogen Required Daily Overall</t>
  </si>
  <si>
    <t>Electrolysers Required</t>
  </si>
  <si>
    <t>Water</t>
  </si>
  <si>
    <t>H2O used daily</t>
  </si>
  <si>
    <t>L</t>
  </si>
  <si>
    <t>m^3</t>
  </si>
  <si>
    <t>Electricity</t>
  </si>
  <si>
    <t>E from Solar daily</t>
  </si>
  <si>
    <t>MWh</t>
  </si>
  <si>
    <t>Solar Field Specs</t>
  </si>
  <si>
    <t>Area per kW of panel</t>
  </si>
  <si>
    <t>m^2 kW^-1</t>
  </si>
  <si>
    <t>Total System Capacity</t>
  </si>
  <si>
    <t>£</t>
  </si>
  <si>
    <t>£ per kW of panelling</t>
  </si>
  <si>
    <t>Pricing of panels</t>
  </si>
  <si>
    <t>Area of system</t>
  </si>
  <si>
    <t>km^2</t>
  </si>
  <si>
    <t>Price of system</t>
  </si>
  <si>
    <t>mill£</t>
  </si>
  <si>
    <t>Average daily production</t>
  </si>
  <si>
    <t>Hydrogen Only System Size</t>
  </si>
  <si>
    <t>Electrolyser Requirement Daily</t>
  </si>
  <si>
    <t>Number of Electrolysers</t>
  </si>
  <si>
    <t>Hours in sunlight</t>
  </si>
  <si>
    <t>1 Machine for 6hrs</t>
  </si>
  <si>
    <t>Nr of machines required</t>
  </si>
  <si>
    <t>Basically 23</t>
  </si>
  <si>
    <t>L: 12300mm W: 2400mm H: flexible 600-3000mm</t>
  </si>
  <si>
    <t>https://nelhydrogen.com/product/hydrogen-supply-storage-ss001/</t>
  </si>
  <si>
    <t>Storage Unit Specs</t>
  </si>
  <si>
    <t>Website</t>
  </si>
  <si>
    <t>Max storage possible</t>
  </si>
  <si>
    <t>kg hydrogen used daily</t>
  </si>
  <si>
    <t>System required</t>
  </si>
  <si>
    <t>5 storage vessels required at minimum for a days operation</t>
  </si>
  <si>
    <t>kg /h</t>
  </si>
  <si>
    <t>hr</t>
  </si>
  <si>
    <t>secs</t>
  </si>
  <si>
    <t>Rough Working</t>
  </si>
  <si>
    <t>1 machine can handle</t>
  </si>
  <si>
    <t>kWh an hour</t>
  </si>
  <si>
    <t>Nm3 hr-1</t>
  </si>
  <si>
    <t>kWh over 1 hour</t>
  </si>
  <si>
    <t>M400 produces double the amount per hour as the regular m200, thus can halve the number required but not the price as this is dependent upon kW.</t>
  </si>
  <si>
    <t>992 cm x 82 cm x 214 cm</t>
  </si>
  <si>
    <t>M400 DIMENSIONS</t>
  </si>
  <si>
    <t>long</t>
  </si>
  <si>
    <t>m</t>
  </si>
  <si>
    <t>wide</t>
  </si>
  <si>
    <t>high</t>
  </si>
  <si>
    <t>332 cm x 58 cm x 208 mm</t>
  </si>
  <si>
    <t>Pumphouse</t>
  </si>
  <si>
    <t>https://www.ballard.com/docs/default-source/motive-modules-documents/hd_motive_brochure_pgs_072517-01.pdf?sfvrsn=2</t>
  </si>
  <si>
    <t>1200 x 869 x 506 mm</t>
  </si>
  <si>
    <t>for a 100kW cell</t>
  </si>
  <si>
    <t>Assume it is double for the 200kW fuel cell.</t>
  </si>
  <si>
    <t>Thus for 200kW::</t>
  </si>
  <si>
    <t>Area taken up by fuel cells: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</si>
</sst>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1" fillId="0" borderId="0" xfId="1"/>
    <xf numFmtId="0" fontId="0" fillId="0" borderId="0" xfId="0" applyFill="1"/>
    <xf numFmtId="0" fontId="2" fillId="0" borderId="0" xfId="0" applyFont="1" applyAlignment="1">
      <alignment horizontal="center" vertical="center"/>
    </xf>
    <xf numFmtId="0" fontId="0" fillId="6" borderId="0" xfId="0" applyFill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alculator.net/btu-calculator.html?roomsize1=300&amp;roomwidthunit=meters&amp;ceilingheight1=3&amp;ceilingheight1unit=meters&amp;people1=20&amp;roomtype1=house&amp;insulation1=good&amp;sunexposure1=normal&amp;climate1=hot&amp;ctype=room&amp;x=64&amp;y=33" TargetMode="External"/><Relationship Id="rId1" Type="http://schemas.openxmlformats.org/officeDocument/2006/relationships/hyperlink" Target="https://www.appliancesonline.com.au/product/kelvinator-6kw-window-box-reverse-cycle-air-conditioner-kwh62hr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nelhydrogen.com/product/m-serie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nelhydrogen.com/product/hydrogen-supply-storage-ss001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llard.com/docs/default-source/motive-modules-documents/hd_motive_brochure_pgs_072517-01.pdf?sfvrsn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BE0B-0508-094D-89F2-64E8E875ADD0}">
  <dimension ref="A1:AG37"/>
  <sheetViews>
    <sheetView topLeftCell="W6" workbookViewId="0">
      <selection activeCell="AE35" sqref="AE35"/>
    </sheetView>
  </sheetViews>
  <sheetFormatPr baseColWidth="10" defaultRowHeight="16" x14ac:dyDescent="0.2"/>
  <cols>
    <col min="14" max="14" width="12.5" bestFit="1" customWidth="1"/>
    <col min="15" max="15" width="12.5" customWidth="1"/>
    <col min="20" max="20" width="13.33203125" bestFit="1" customWidth="1"/>
    <col min="21" max="22" width="13.33203125" customWidth="1"/>
    <col min="24" max="25" width="12.33203125" bestFit="1" customWidth="1"/>
    <col min="29" max="29" width="17.33203125" bestFit="1" customWidth="1"/>
    <col min="31" max="31" width="31" bestFit="1" customWidth="1"/>
    <col min="32" max="32" width="20.83203125" bestFit="1" customWidth="1"/>
    <col min="33" max="33" width="19.1640625" bestFit="1" customWidth="1"/>
  </cols>
  <sheetData>
    <row r="1" spans="2:33" x14ac:dyDescent="0.2">
      <c r="O1" t="s">
        <v>13</v>
      </c>
      <c r="P1" t="s">
        <v>14</v>
      </c>
      <c r="Q1" t="s">
        <v>15</v>
      </c>
      <c r="T1" t="s">
        <v>17</v>
      </c>
      <c r="W1" t="s">
        <v>16</v>
      </c>
    </row>
    <row r="2" spans="2:33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20</v>
      </c>
      <c r="N2" t="s">
        <v>21</v>
      </c>
      <c r="O2" t="s">
        <v>10</v>
      </c>
      <c r="P2" t="s">
        <v>10</v>
      </c>
      <c r="Q2" t="s">
        <v>10</v>
      </c>
      <c r="R2" t="s">
        <v>73</v>
      </c>
      <c r="S2" t="s">
        <v>74</v>
      </c>
      <c r="T2" t="s">
        <v>10</v>
      </c>
      <c r="U2" t="s">
        <v>3</v>
      </c>
      <c r="V2" t="s">
        <v>74</v>
      </c>
      <c r="W2" t="s">
        <v>10</v>
      </c>
      <c r="X2" s="7" t="s">
        <v>18</v>
      </c>
      <c r="AC2" t="s">
        <v>60</v>
      </c>
    </row>
    <row r="3" spans="2:33" x14ac:dyDescent="0.2">
      <c r="B3" s="1" t="s">
        <v>11</v>
      </c>
      <c r="C3" s="2" t="s">
        <v>12</v>
      </c>
      <c r="D3" s="2" t="s">
        <v>12</v>
      </c>
      <c r="E3" s="2" t="s">
        <v>12</v>
      </c>
      <c r="F3" s="2" t="s">
        <v>12</v>
      </c>
      <c r="G3" s="2" t="s">
        <v>12</v>
      </c>
      <c r="H3" s="2" t="s">
        <v>12</v>
      </c>
      <c r="I3" s="2" t="s">
        <v>12</v>
      </c>
      <c r="J3" s="2" t="s">
        <v>12</v>
      </c>
      <c r="K3" s="2" t="s">
        <v>12</v>
      </c>
      <c r="L3" s="2" t="s">
        <v>12</v>
      </c>
      <c r="M3" s="1" t="s">
        <v>12</v>
      </c>
      <c r="N3" s="1" t="s">
        <v>12</v>
      </c>
      <c r="O3" s="1" t="s">
        <v>12</v>
      </c>
      <c r="P3" t="s">
        <v>12</v>
      </c>
      <c r="Q3" t="s">
        <v>12</v>
      </c>
      <c r="R3" s="11" t="s">
        <v>12</v>
      </c>
      <c r="S3" s="11" t="s">
        <v>12</v>
      </c>
      <c r="T3" s="11" t="s">
        <v>12</v>
      </c>
      <c r="U3" s="2" t="s">
        <v>12</v>
      </c>
      <c r="V3" s="11" t="s">
        <v>12</v>
      </c>
      <c r="W3" s="11" t="s">
        <v>12</v>
      </c>
      <c r="X3" s="7" t="s">
        <v>12</v>
      </c>
      <c r="Z3" s="10"/>
      <c r="AD3" t="s">
        <v>13</v>
      </c>
    </row>
    <row r="4" spans="2:33" x14ac:dyDescent="0.2">
      <c r="B4" s="3">
        <v>0</v>
      </c>
      <c r="C4" s="4">
        <f>(265/365)/24</f>
        <v>3.0251141552511417E-2</v>
      </c>
      <c r="D4">
        <v>0</v>
      </c>
      <c r="E4">
        <v>0</v>
      </c>
      <c r="F4" s="4">
        <f>((61/1000)+(18/1000))*4</f>
        <v>0.316</v>
      </c>
      <c r="G4">
        <v>0</v>
      </c>
      <c r="H4">
        <v>0</v>
      </c>
      <c r="I4" s="4">
        <f>0.5/1000</f>
        <v>5.0000000000000001E-4</v>
      </c>
      <c r="J4">
        <v>0</v>
      </c>
      <c r="K4">
        <v>0</v>
      </c>
      <c r="L4" s="5">
        <f>SUM(C4:J4)</f>
        <v>0.34675114155251141</v>
      </c>
      <c r="M4" s="5">
        <f>L4*10</f>
        <v>3.4675114155251139</v>
      </c>
      <c r="N4" s="5">
        <f>M4*10</f>
        <v>34.675114155251137</v>
      </c>
      <c r="O4" s="5">
        <f>N4</f>
        <v>34.675114155251137</v>
      </c>
      <c r="P4">
        <f>O4</f>
        <v>34.675114155251137</v>
      </c>
      <c r="Q4">
        <f>P4</f>
        <v>34.675114155251137</v>
      </c>
      <c r="R4" s="4">
        <f>((265/365)/24)*40</f>
        <v>1.2100456621004567</v>
      </c>
      <c r="S4">
        <f>(60/1000)*1</f>
        <v>0.06</v>
      </c>
      <c r="T4" s="10">
        <f>R4+S4</f>
        <v>1.2700456621004568</v>
      </c>
      <c r="U4" s="4">
        <v>0</v>
      </c>
      <c r="V4">
        <f>(60/1000)*5</f>
        <v>0.3</v>
      </c>
      <c r="W4">
        <f>U4+V4</f>
        <v>0.3</v>
      </c>
      <c r="X4" s="7">
        <f>W4+T4+Q4+P4+O4</f>
        <v>105.59538812785387</v>
      </c>
      <c r="Z4" s="10"/>
      <c r="AE4" t="s">
        <v>62</v>
      </c>
      <c r="AF4" t="s">
        <v>63</v>
      </c>
      <c r="AG4" t="s">
        <v>64</v>
      </c>
    </row>
    <row r="5" spans="2:33" x14ac:dyDescent="0.2">
      <c r="B5" s="3">
        <v>4.1666666666666699E-2</v>
      </c>
      <c r="C5" s="4">
        <f t="shared" ref="C5:C27" si="0">(265/365)/24</f>
        <v>3.0251141552511417E-2</v>
      </c>
      <c r="D5">
        <v>0</v>
      </c>
      <c r="E5">
        <v>0</v>
      </c>
      <c r="F5" s="4">
        <f t="shared" ref="F5:F11" si="1">((61/1000)+(18/1000))*4</f>
        <v>0.316</v>
      </c>
      <c r="G5">
        <v>0</v>
      </c>
      <c r="H5">
        <v>0</v>
      </c>
      <c r="I5" s="4">
        <f t="shared" ref="I5:I27" si="2">0.5/1000</f>
        <v>5.0000000000000001E-4</v>
      </c>
      <c r="J5">
        <v>0</v>
      </c>
      <c r="K5">
        <v>0</v>
      </c>
      <c r="L5" s="5">
        <f t="shared" ref="L5:L27" si="3">SUM(C5:J5)</f>
        <v>0.34675114155251141</v>
      </c>
      <c r="M5" s="5">
        <f t="shared" ref="M5:N27" si="4">L5*10</f>
        <v>3.4675114155251139</v>
      </c>
      <c r="N5" s="5">
        <f t="shared" si="4"/>
        <v>34.675114155251137</v>
      </c>
      <c r="O5" s="5">
        <f t="shared" ref="O5:Q27" si="5">N5</f>
        <v>34.675114155251137</v>
      </c>
      <c r="P5">
        <f t="shared" si="5"/>
        <v>34.675114155251137</v>
      </c>
      <c r="Q5">
        <f t="shared" si="5"/>
        <v>34.675114155251137</v>
      </c>
      <c r="R5" s="4">
        <f t="shared" ref="R5:R27" si="6">((265/365)/24)*40</f>
        <v>1.2100456621004567</v>
      </c>
      <c r="S5">
        <f t="shared" ref="S5:S12" si="7">(60/1000)*1</f>
        <v>0.06</v>
      </c>
      <c r="T5" s="10">
        <f t="shared" ref="T5:T27" si="8">R5+S5</f>
        <v>1.2700456621004568</v>
      </c>
      <c r="U5" s="4">
        <v>0</v>
      </c>
      <c r="V5">
        <f t="shared" ref="V5:V11" si="9">(60/1000)*5</f>
        <v>0.3</v>
      </c>
      <c r="W5">
        <f t="shared" ref="W5:W27" si="10">U5+V5</f>
        <v>0.3</v>
      </c>
      <c r="X5" s="7">
        <f t="shared" ref="X5:X27" si="11">W5+T5+Q5+P5+O5</f>
        <v>105.59538812785387</v>
      </c>
      <c r="Z5" s="10"/>
      <c r="AE5" s="2" t="s">
        <v>65</v>
      </c>
      <c r="AF5" s="2" t="s">
        <v>66</v>
      </c>
      <c r="AG5" s="2" t="s">
        <v>65</v>
      </c>
    </row>
    <row r="6" spans="2:33" x14ac:dyDescent="0.2">
      <c r="B6" s="3">
        <v>8.3333333333333301E-2</v>
      </c>
      <c r="C6" s="4">
        <f t="shared" si="0"/>
        <v>3.0251141552511417E-2</v>
      </c>
      <c r="D6">
        <v>0</v>
      </c>
      <c r="E6">
        <v>0</v>
      </c>
      <c r="F6" s="4">
        <f t="shared" si="1"/>
        <v>0.316</v>
      </c>
      <c r="G6">
        <v>0</v>
      </c>
      <c r="H6">
        <v>0</v>
      </c>
      <c r="I6" s="4">
        <f t="shared" si="2"/>
        <v>5.0000000000000001E-4</v>
      </c>
      <c r="J6">
        <v>0</v>
      </c>
      <c r="K6">
        <v>0</v>
      </c>
      <c r="L6" s="5">
        <f t="shared" si="3"/>
        <v>0.34675114155251141</v>
      </c>
      <c r="M6" s="5">
        <f t="shared" si="4"/>
        <v>3.4675114155251139</v>
      </c>
      <c r="N6" s="5">
        <f t="shared" si="4"/>
        <v>34.675114155251137</v>
      </c>
      <c r="O6" s="5">
        <f t="shared" si="5"/>
        <v>34.675114155251137</v>
      </c>
      <c r="P6">
        <f t="shared" si="5"/>
        <v>34.675114155251137</v>
      </c>
      <c r="Q6">
        <f t="shared" si="5"/>
        <v>34.675114155251137</v>
      </c>
      <c r="R6" s="4">
        <f t="shared" si="6"/>
        <v>1.2100456621004567</v>
      </c>
      <c r="S6">
        <f t="shared" si="7"/>
        <v>0.06</v>
      </c>
      <c r="T6" s="10">
        <f t="shared" si="8"/>
        <v>1.2700456621004568</v>
      </c>
      <c r="U6" s="4">
        <v>0</v>
      </c>
      <c r="V6">
        <f t="shared" si="9"/>
        <v>0.3</v>
      </c>
      <c r="W6">
        <f t="shared" si="10"/>
        <v>0.3</v>
      </c>
      <c r="X6" s="7">
        <f t="shared" si="11"/>
        <v>105.59538812785387</v>
      </c>
      <c r="Z6" s="10"/>
      <c r="AE6" s="7">
        <f>AF6*AG6</f>
        <v>11.943450684931507</v>
      </c>
      <c r="AF6">
        <v>0.6</v>
      </c>
      <c r="AG6">
        <f>SUM(C29:J29)</f>
        <v>19.905751141552514</v>
      </c>
    </row>
    <row r="7" spans="2:33" x14ac:dyDescent="0.2">
      <c r="B7" s="3">
        <v>0.125</v>
      </c>
      <c r="C7" s="4">
        <f t="shared" si="0"/>
        <v>3.0251141552511417E-2</v>
      </c>
      <c r="D7">
        <v>0</v>
      </c>
      <c r="E7">
        <v>0</v>
      </c>
      <c r="F7" s="4">
        <f t="shared" si="1"/>
        <v>0.316</v>
      </c>
      <c r="G7">
        <v>0</v>
      </c>
      <c r="H7">
        <v>0</v>
      </c>
      <c r="I7" s="4">
        <f t="shared" si="2"/>
        <v>5.0000000000000001E-4</v>
      </c>
      <c r="J7">
        <v>0</v>
      </c>
      <c r="K7">
        <v>0</v>
      </c>
      <c r="L7" s="5">
        <f t="shared" si="3"/>
        <v>0.34675114155251141</v>
      </c>
      <c r="M7" s="5">
        <f t="shared" si="4"/>
        <v>3.4675114155251139</v>
      </c>
      <c r="N7" s="5">
        <f t="shared" si="4"/>
        <v>34.675114155251137</v>
      </c>
      <c r="O7" s="5">
        <f t="shared" si="5"/>
        <v>34.675114155251137</v>
      </c>
      <c r="P7">
        <f t="shared" si="5"/>
        <v>34.675114155251137</v>
      </c>
      <c r="Q7">
        <f t="shared" si="5"/>
        <v>34.675114155251137</v>
      </c>
      <c r="R7" s="4">
        <f t="shared" si="6"/>
        <v>1.2100456621004567</v>
      </c>
      <c r="S7">
        <f t="shared" si="7"/>
        <v>0.06</v>
      </c>
      <c r="T7" s="10">
        <f t="shared" si="8"/>
        <v>1.2700456621004568</v>
      </c>
      <c r="U7" s="4">
        <v>0</v>
      </c>
      <c r="V7">
        <f t="shared" si="9"/>
        <v>0.3</v>
      </c>
      <c r="W7">
        <f t="shared" si="10"/>
        <v>0.3</v>
      </c>
      <c r="X7" s="7">
        <f t="shared" si="11"/>
        <v>105.59538812785387</v>
      </c>
      <c r="Z7" s="10"/>
    </row>
    <row r="8" spans="2:33" x14ac:dyDescent="0.2">
      <c r="B8" s="3">
        <v>0.16666666666666699</v>
      </c>
      <c r="C8" s="4">
        <f t="shared" si="0"/>
        <v>3.0251141552511417E-2</v>
      </c>
      <c r="D8">
        <v>0</v>
      </c>
      <c r="E8">
        <v>0</v>
      </c>
      <c r="F8" s="4">
        <f t="shared" si="1"/>
        <v>0.316</v>
      </c>
      <c r="G8">
        <v>0</v>
      </c>
      <c r="H8">
        <v>0</v>
      </c>
      <c r="I8" s="4">
        <f t="shared" si="2"/>
        <v>5.0000000000000001E-4</v>
      </c>
      <c r="J8">
        <v>0</v>
      </c>
      <c r="K8">
        <v>0</v>
      </c>
      <c r="L8" s="5">
        <f t="shared" si="3"/>
        <v>0.34675114155251141</v>
      </c>
      <c r="M8" s="5">
        <f t="shared" si="4"/>
        <v>3.4675114155251139</v>
      </c>
      <c r="N8" s="5">
        <f t="shared" si="4"/>
        <v>34.675114155251137</v>
      </c>
      <c r="O8" s="5">
        <f t="shared" si="5"/>
        <v>34.675114155251137</v>
      </c>
      <c r="P8">
        <f t="shared" si="5"/>
        <v>34.675114155251137</v>
      </c>
      <c r="Q8">
        <f t="shared" si="5"/>
        <v>34.675114155251137</v>
      </c>
      <c r="R8" s="4">
        <f t="shared" si="6"/>
        <v>1.2100456621004567</v>
      </c>
      <c r="S8">
        <f t="shared" si="7"/>
        <v>0.06</v>
      </c>
      <c r="T8" s="10">
        <f t="shared" si="8"/>
        <v>1.2700456621004568</v>
      </c>
      <c r="U8" s="4">
        <v>0</v>
      </c>
      <c r="V8">
        <f t="shared" si="9"/>
        <v>0.3</v>
      </c>
      <c r="W8">
        <f t="shared" si="10"/>
        <v>0.3</v>
      </c>
      <c r="X8" s="7">
        <f t="shared" si="11"/>
        <v>105.59538812785387</v>
      </c>
      <c r="Z8" s="10"/>
      <c r="AE8" t="s">
        <v>71</v>
      </c>
      <c r="AF8" t="s">
        <v>67</v>
      </c>
      <c r="AG8" t="s">
        <v>68</v>
      </c>
    </row>
    <row r="9" spans="2:33" x14ac:dyDescent="0.2">
      <c r="B9" s="3">
        <v>0.20833333333333301</v>
      </c>
      <c r="C9" s="4">
        <f t="shared" si="0"/>
        <v>3.0251141552511417E-2</v>
      </c>
      <c r="D9">
        <v>0</v>
      </c>
      <c r="E9">
        <v>0</v>
      </c>
      <c r="F9" s="4">
        <f t="shared" si="1"/>
        <v>0.316</v>
      </c>
      <c r="G9">
        <v>0</v>
      </c>
      <c r="H9">
        <v>0</v>
      </c>
      <c r="I9" s="4">
        <f t="shared" si="2"/>
        <v>5.0000000000000001E-4</v>
      </c>
      <c r="J9">
        <v>0</v>
      </c>
      <c r="K9">
        <v>0</v>
      </c>
      <c r="L9" s="5">
        <f t="shared" si="3"/>
        <v>0.34675114155251141</v>
      </c>
      <c r="M9" s="5">
        <f t="shared" si="4"/>
        <v>3.4675114155251139</v>
      </c>
      <c r="N9" s="5">
        <f t="shared" si="4"/>
        <v>34.675114155251137</v>
      </c>
      <c r="O9" s="5">
        <f t="shared" si="5"/>
        <v>34.675114155251137</v>
      </c>
      <c r="P9">
        <f t="shared" si="5"/>
        <v>34.675114155251137</v>
      </c>
      <c r="Q9">
        <f t="shared" si="5"/>
        <v>34.675114155251137</v>
      </c>
      <c r="R9" s="4">
        <f t="shared" si="6"/>
        <v>1.2100456621004567</v>
      </c>
      <c r="S9">
        <f t="shared" si="7"/>
        <v>0.06</v>
      </c>
      <c r="T9" s="10">
        <f t="shared" si="8"/>
        <v>1.2700456621004568</v>
      </c>
      <c r="U9" s="4">
        <v>0</v>
      </c>
      <c r="V9">
        <f t="shared" si="9"/>
        <v>0.3</v>
      </c>
      <c r="W9">
        <f t="shared" si="10"/>
        <v>0.3</v>
      </c>
      <c r="X9" s="7">
        <f t="shared" si="11"/>
        <v>105.59538812785387</v>
      </c>
      <c r="Z9" s="10"/>
      <c r="AE9" s="2" t="s">
        <v>65</v>
      </c>
      <c r="AF9" t="s">
        <v>69</v>
      </c>
      <c r="AG9" t="s">
        <v>65</v>
      </c>
    </row>
    <row r="10" spans="2:33" x14ac:dyDescent="0.2">
      <c r="B10" s="3">
        <v>0.25</v>
      </c>
      <c r="C10" s="4">
        <f t="shared" si="0"/>
        <v>3.0251141552511417E-2</v>
      </c>
      <c r="D10">
        <v>0</v>
      </c>
      <c r="E10">
        <v>0</v>
      </c>
      <c r="F10" s="4">
        <f t="shared" si="1"/>
        <v>0.316</v>
      </c>
      <c r="G10">
        <v>0</v>
      </c>
      <c r="H10">
        <v>0</v>
      </c>
      <c r="I10" s="4">
        <f t="shared" si="2"/>
        <v>5.0000000000000001E-4</v>
      </c>
      <c r="J10">
        <v>0</v>
      </c>
      <c r="K10">
        <v>0</v>
      </c>
      <c r="L10" s="6">
        <f t="shared" si="3"/>
        <v>0.34675114155251141</v>
      </c>
      <c r="M10" s="5">
        <f t="shared" si="4"/>
        <v>3.4675114155251139</v>
      </c>
      <c r="N10" s="5">
        <f t="shared" si="4"/>
        <v>34.675114155251137</v>
      </c>
      <c r="O10" s="5">
        <f t="shared" si="5"/>
        <v>34.675114155251137</v>
      </c>
      <c r="P10">
        <f t="shared" si="5"/>
        <v>34.675114155251137</v>
      </c>
      <c r="Q10">
        <f t="shared" si="5"/>
        <v>34.675114155251137</v>
      </c>
      <c r="R10" s="4">
        <f t="shared" si="6"/>
        <v>1.2100456621004567</v>
      </c>
      <c r="S10">
        <f t="shared" si="7"/>
        <v>0.06</v>
      </c>
      <c r="T10" s="10">
        <f t="shared" si="8"/>
        <v>1.2700456621004568</v>
      </c>
      <c r="U10" s="4">
        <v>0</v>
      </c>
      <c r="V10">
        <f t="shared" si="9"/>
        <v>0.3</v>
      </c>
      <c r="W10">
        <f t="shared" si="10"/>
        <v>0.3</v>
      </c>
      <c r="X10" s="7">
        <f t="shared" si="11"/>
        <v>105.59538812785387</v>
      </c>
      <c r="Z10" s="10"/>
      <c r="AE10" s="7">
        <f>AG10*AF10</f>
        <v>477.73802739726034</v>
      </c>
      <c r="AF10">
        <v>0.4</v>
      </c>
      <c r="AG10">
        <f>100*AE6</f>
        <v>1194.3450684931508</v>
      </c>
    </row>
    <row r="11" spans="2:33" x14ac:dyDescent="0.2">
      <c r="B11" s="3">
        <v>0.29166666666666702</v>
      </c>
      <c r="C11" s="4">
        <f t="shared" si="0"/>
        <v>3.0251141552511417E-2</v>
      </c>
      <c r="D11" s="4">
        <v>0</v>
      </c>
      <c r="E11">
        <v>6</v>
      </c>
      <c r="F11" s="4">
        <f t="shared" si="1"/>
        <v>0.316</v>
      </c>
      <c r="G11" s="4">
        <v>0</v>
      </c>
      <c r="H11">
        <v>0</v>
      </c>
      <c r="I11" s="4">
        <f t="shared" si="2"/>
        <v>5.0000000000000001E-4</v>
      </c>
      <c r="J11">
        <v>0</v>
      </c>
      <c r="K11">
        <v>0</v>
      </c>
      <c r="L11" s="6">
        <f t="shared" si="3"/>
        <v>6.3467511415525113</v>
      </c>
      <c r="M11" s="5">
        <f t="shared" si="4"/>
        <v>63.467511415525109</v>
      </c>
      <c r="N11" s="5">
        <f t="shared" si="4"/>
        <v>634.67511415525109</v>
      </c>
      <c r="O11" s="5">
        <f t="shared" si="5"/>
        <v>634.67511415525109</v>
      </c>
      <c r="P11">
        <f t="shared" si="5"/>
        <v>634.67511415525109</v>
      </c>
      <c r="Q11">
        <f t="shared" si="5"/>
        <v>634.67511415525109</v>
      </c>
      <c r="R11" s="4">
        <f t="shared" si="6"/>
        <v>1.2100456621004567</v>
      </c>
      <c r="S11">
        <f t="shared" si="7"/>
        <v>0.06</v>
      </c>
      <c r="T11" s="10">
        <f t="shared" si="8"/>
        <v>1.2700456621004568</v>
      </c>
      <c r="U11" s="4">
        <v>18</v>
      </c>
      <c r="V11">
        <f t="shared" si="9"/>
        <v>0.3</v>
      </c>
      <c r="W11">
        <f t="shared" si="10"/>
        <v>18.3</v>
      </c>
      <c r="X11" s="7">
        <f t="shared" si="11"/>
        <v>1923.5953881278538</v>
      </c>
      <c r="Z11" s="10"/>
    </row>
    <row r="12" spans="2:33" x14ac:dyDescent="0.2">
      <c r="B12" s="3">
        <v>0.33333333333333298</v>
      </c>
      <c r="C12" s="4">
        <f t="shared" si="0"/>
        <v>3.0251141552511417E-2</v>
      </c>
      <c r="D12" s="4">
        <f>9.5*0.5</f>
        <v>4.75</v>
      </c>
      <c r="E12">
        <v>6</v>
      </c>
      <c r="F12" s="4">
        <f>((61/1000)+(18/1000))*4</f>
        <v>0.316</v>
      </c>
      <c r="G12" s="4">
        <f>((50/1000)*20)</f>
        <v>1</v>
      </c>
      <c r="H12">
        <v>0</v>
      </c>
      <c r="I12" s="4">
        <f t="shared" si="2"/>
        <v>5.0000000000000001E-4</v>
      </c>
      <c r="J12">
        <v>0</v>
      </c>
      <c r="K12">
        <v>0</v>
      </c>
      <c r="L12" s="6">
        <f t="shared" si="3"/>
        <v>12.096751141552513</v>
      </c>
      <c r="M12" s="5">
        <f t="shared" si="4"/>
        <v>120.96751141552514</v>
      </c>
      <c r="N12" s="5">
        <f t="shared" si="4"/>
        <v>1209.6751141552513</v>
      </c>
      <c r="O12" s="5">
        <f t="shared" si="5"/>
        <v>1209.6751141552513</v>
      </c>
      <c r="P12">
        <f t="shared" si="5"/>
        <v>1209.6751141552513</v>
      </c>
      <c r="Q12">
        <f t="shared" si="5"/>
        <v>1209.6751141552513</v>
      </c>
      <c r="R12" s="4">
        <f t="shared" si="6"/>
        <v>1.2100456621004567</v>
      </c>
      <c r="S12">
        <f t="shared" si="7"/>
        <v>0.06</v>
      </c>
      <c r="T12" s="10">
        <f t="shared" si="8"/>
        <v>1.2700456621004568</v>
      </c>
      <c r="U12" s="4">
        <v>18</v>
      </c>
      <c r="V12">
        <f>(200/1000)*5</f>
        <v>1</v>
      </c>
      <c r="W12">
        <f t="shared" si="10"/>
        <v>19</v>
      </c>
      <c r="X12" s="7">
        <f t="shared" si="11"/>
        <v>3649.2953881278545</v>
      </c>
      <c r="Z12" s="10"/>
    </row>
    <row r="13" spans="2:33" x14ac:dyDescent="0.2">
      <c r="B13" s="3">
        <v>0.375</v>
      </c>
      <c r="C13" s="4">
        <f t="shared" si="0"/>
        <v>3.0251141552511417E-2</v>
      </c>
      <c r="D13" s="4">
        <v>0</v>
      </c>
      <c r="E13">
        <v>6</v>
      </c>
      <c r="F13" s="4">
        <v>0</v>
      </c>
      <c r="G13" s="4">
        <f t="shared" ref="G13:G24" si="12">((50/1000)*20)</f>
        <v>1</v>
      </c>
      <c r="H13">
        <v>0</v>
      </c>
      <c r="I13" s="4">
        <f t="shared" si="2"/>
        <v>5.0000000000000001E-4</v>
      </c>
      <c r="J13">
        <v>0</v>
      </c>
      <c r="K13">
        <v>0</v>
      </c>
      <c r="L13" s="6">
        <f t="shared" si="3"/>
        <v>7.0307511415525115</v>
      </c>
      <c r="M13" s="5">
        <f t="shared" si="4"/>
        <v>70.307511415525113</v>
      </c>
      <c r="N13" s="5">
        <f t="shared" si="4"/>
        <v>703.07511415525119</v>
      </c>
      <c r="O13" s="5">
        <f t="shared" si="5"/>
        <v>703.07511415525119</v>
      </c>
      <c r="P13">
        <f t="shared" si="5"/>
        <v>703.07511415525119</v>
      </c>
      <c r="Q13">
        <f t="shared" si="5"/>
        <v>703.07511415525119</v>
      </c>
      <c r="R13" s="4">
        <f t="shared" si="6"/>
        <v>1.2100456621004567</v>
      </c>
      <c r="S13">
        <f>(200/1000)*1</f>
        <v>0.2</v>
      </c>
      <c r="T13" s="10">
        <f t="shared" si="8"/>
        <v>1.4100456621004567</v>
      </c>
      <c r="U13" s="4">
        <v>18</v>
      </c>
      <c r="V13">
        <f t="shared" ref="V13:V22" si="13">(200/1000)*5</f>
        <v>1</v>
      </c>
      <c r="W13">
        <f t="shared" si="10"/>
        <v>19</v>
      </c>
      <c r="X13" s="7">
        <f t="shared" si="11"/>
        <v>2129.6353881278537</v>
      </c>
      <c r="Z13" s="10"/>
      <c r="AD13" t="s">
        <v>14</v>
      </c>
    </row>
    <row r="14" spans="2:33" x14ac:dyDescent="0.2">
      <c r="B14" s="3">
        <v>0.41666666666666702</v>
      </c>
      <c r="C14" s="4">
        <f t="shared" si="0"/>
        <v>3.0251141552511417E-2</v>
      </c>
      <c r="D14">
        <v>0</v>
      </c>
      <c r="E14">
        <v>6</v>
      </c>
      <c r="F14">
        <v>0</v>
      </c>
      <c r="G14" s="4">
        <f t="shared" si="12"/>
        <v>1</v>
      </c>
      <c r="H14">
        <v>0</v>
      </c>
      <c r="I14" s="4">
        <f t="shared" si="2"/>
        <v>5.0000000000000001E-4</v>
      </c>
      <c r="J14">
        <v>0</v>
      </c>
      <c r="K14">
        <v>0</v>
      </c>
      <c r="L14" s="6">
        <f t="shared" si="3"/>
        <v>7.0307511415525115</v>
      </c>
      <c r="M14" s="5">
        <f t="shared" si="4"/>
        <v>70.307511415525113</v>
      </c>
      <c r="N14" s="5">
        <f t="shared" si="4"/>
        <v>703.07511415525119</v>
      </c>
      <c r="O14" s="5">
        <f t="shared" si="5"/>
        <v>703.07511415525119</v>
      </c>
      <c r="P14">
        <f t="shared" si="5"/>
        <v>703.07511415525119</v>
      </c>
      <c r="Q14">
        <f t="shared" si="5"/>
        <v>703.07511415525119</v>
      </c>
      <c r="R14" s="4">
        <f t="shared" si="6"/>
        <v>1.2100456621004567</v>
      </c>
      <c r="S14">
        <f t="shared" ref="S14:S22" si="14">(200/1000)*1</f>
        <v>0.2</v>
      </c>
      <c r="T14" s="10">
        <f t="shared" si="8"/>
        <v>1.4100456621004567</v>
      </c>
      <c r="U14" s="4">
        <v>18</v>
      </c>
      <c r="V14">
        <f t="shared" si="13"/>
        <v>1</v>
      </c>
      <c r="W14">
        <f t="shared" si="10"/>
        <v>19</v>
      </c>
      <c r="X14" s="7">
        <f t="shared" si="11"/>
        <v>2129.6353881278537</v>
      </c>
      <c r="Z14" s="10"/>
      <c r="AE14" t="s">
        <v>71</v>
      </c>
    </row>
    <row r="15" spans="2:33" x14ac:dyDescent="0.2">
      <c r="B15" s="3">
        <v>0.45833333333333398</v>
      </c>
      <c r="C15" s="4">
        <f t="shared" si="0"/>
        <v>3.0251141552511417E-2</v>
      </c>
      <c r="D15">
        <v>0</v>
      </c>
      <c r="E15">
        <v>6</v>
      </c>
      <c r="F15">
        <v>0</v>
      </c>
      <c r="G15" s="4">
        <f t="shared" si="12"/>
        <v>1</v>
      </c>
      <c r="H15">
        <v>0</v>
      </c>
      <c r="I15" s="4">
        <f t="shared" si="2"/>
        <v>5.0000000000000001E-4</v>
      </c>
      <c r="J15">
        <v>0</v>
      </c>
      <c r="K15">
        <v>0</v>
      </c>
      <c r="L15" s="6">
        <f t="shared" si="3"/>
        <v>7.0307511415525115</v>
      </c>
      <c r="M15" s="5">
        <f t="shared" si="4"/>
        <v>70.307511415525113</v>
      </c>
      <c r="N15" s="5">
        <f t="shared" si="4"/>
        <v>703.07511415525119</v>
      </c>
      <c r="O15" s="5">
        <f t="shared" si="5"/>
        <v>703.07511415525119</v>
      </c>
      <c r="P15">
        <f t="shared" si="5"/>
        <v>703.07511415525119</v>
      </c>
      <c r="Q15">
        <f t="shared" si="5"/>
        <v>703.07511415525119</v>
      </c>
      <c r="R15" s="4">
        <f t="shared" si="6"/>
        <v>1.2100456621004567</v>
      </c>
      <c r="S15">
        <f t="shared" si="14"/>
        <v>0.2</v>
      </c>
      <c r="T15" s="10">
        <f t="shared" si="8"/>
        <v>1.4100456621004567</v>
      </c>
      <c r="U15" s="4">
        <v>18</v>
      </c>
      <c r="V15">
        <f t="shared" si="13"/>
        <v>1</v>
      </c>
      <c r="W15">
        <f t="shared" si="10"/>
        <v>19</v>
      </c>
      <c r="X15" s="7">
        <f t="shared" si="11"/>
        <v>2129.6353881278537</v>
      </c>
      <c r="Z15" s="10"/>
      <c r="AA15" s="8"/>
      <c r="AE15" s="2" t="s">
        <v>65</v>
      </c>
    </row>
    <row r="16" spans="2:33" x14ac:dyDescent="0.2">
      <c r="B16" s="3">
        <v>0.5</v>
      </c>
      <c r="C16" s="4">
        <f t="shared" si="0"/>
        <v>3.0251141552511417E-2</v>
      </c>
      <c r="D16">
        <v>0</v>
      </c>
      <c r="E16">
        <v>6</v>
      </c>
      <c r="F16">
        <v>0</v>
      </c>
      <c r="G16" s="4">
        <f t="shared" si="12"/>
        <v>1</v>
      </c>
      <c r="H16">
        <v>0</v>
      </c>
      <c r="I16" s="4">
        <f t="shared" si="2"/>
        <v>5.0000000000000001E-4</v>
      </c>
      <c r="J16">
        <v>0</v>
      </c>
      <c r="K16">
        <v>0</v>
      </c>
      <c r="L16" s="6">
        <f t="shared" si="3"/>
        <v>7.0307511415525115</v>
      </c>
      <c r="M16" s="5">
        <f t="shared" si="4"/>
        <v>70.307511415525113</v>
      </c>
      <c r="N16" s="5">
        <f t="shared" si="4"/>
        <v>703.07511415525119</v>
      </c>
      <c r="O16" s="5">
        <f t="shared" si="5"/>
        <v>703.07511415525119</v>
      </c>
      <c r="P16">
        <f t="shared" si="5"/>
        <v>703.07511415525119</v>
      </c>
      <c r="Q16">
        <f t="shared" si="5"/>
        <v>703.07511415525119</v>
      </c>
      <c r="R16" s="4">
        <f t="shared" si="6"/>
        <v>1.2100456621004567</v>
      </c>
      <c r="S16">
        <f t="shared" si="14"/>
        <v>0.2</v>
      </c>
      <c r="T16" s="10">
        <f t="shared" si="8"/>
        <v>1.4100456621004567</v>
      </c>
      <c r="U16" s="4">
        <v>18</v>
      </c>
      <c r="V16">
        <f t="shared" si="13"/>
        <v>1</v>
      </c>
      <c r="W16">
        <f t="shared" si="10"/>
        <v>19</v>
      </c>
      <c r="X16" s="7">
        <f t="shared" si="11"/>
        <v>2129.6353881278537</v>
      </c>
      <c r="Z16" s="10"/>
      <c r="AE16">
        <f>AE10</f>
        <v>477.73802739726034</v>
      </c>
    </row>
    <row r="17" spans="1:33" x14ac:dyDescent="0.2">
      <c r="B17" s="3">
        <v>0.54166666666666696</v>
      </c>
      <c r="C17" s="4">
        <f t="shared" si="0"/>
        <v>3.0251141552511417E-2</v>
      </c>
      <c r="D17">
        <v>0</v>
      </c>
      <c r="E17">
        <v>6</v>
      </c>
      <c r="F17">
        <v>0</v>
      </c>
      <c r="G17" s="4">
        <f t="shared" si="12"/>
        <v>1</v>
      </c>
      <c r="H17">
        <v>0</v>
      </c>
      <c r="I17" s="4">
        <f t="shared" si="2"/>
        <v>5.0000000000000001E-4</v>
      </c>
      <c r="J17">
        <v>0</v>
      </c>
      <c r="K17">
        <v>0</v>
      </c>
      <c r="L17" s="6">
        <f t="shared" si="3"/>
        <v>7.0307511415525115</v>
      </c>
      <c r="M17" s="5">
        <f t="shared" si="4"/>
        <v>70.307511415525113</v>
      </c>
      <c r="N17" s="5">
        <f t="shared" si="4"/>
        <v>703.07511415525119</v>
      </c>
      <c r="O17" s="5">
        <f t="shared" si="5"/>
        <v>703.07511415525119</v>
      </c>
      <c r="P17">
        <f t="shared" si="5"/>
        <v>703.07511415525119</v>
      </c>
      <c r="Q17">
        <f t="shared" si="5"/>
        <v>703.07511415525119</v>
      </c>
      <c r="R17" s="4">
        <f t="shared" si="6"/>
        <v>1.2100456621004567</v>
      </c>
      <c r="S17">
        <f t="shared" si="14"/>
        <v>0.2</v>
      </c>
      <c r="T17" s="10">
        <f t="shared" si="8"/>
        <v>1.4100456621004567</v>
      </c>
      <c r="U17" s="4">
        <v>18</v>
      </c>
      <c r="V17">
        <f t="shared" si="13"/>
        <v>1</v>
      </c>
      <c r="W17">
        <f t="shared" si="10"/>
        <v>19</v>
      </c>
      <c r="X17" s="7">
        <f t="shared" si="11"/>
        <v>2129.6353881278537</v>
      </c>
      <c r="Z17" s="10"/>
    </row>
    <row r="18" spans="1:33" x14ac:dyDescent="0.2">
      <c r="B18" s="3">
        <v>0.58333333333333404</v>
      </c>
      <c r="C18" s="4">
        <f t="shared" si="0"/>
        <v>3.0251141552511417E-2</v>
      </c>
      <c r="D18">
        <v>0</v>
      </c>
      <c r="E18">
        <v>6</v>
      </c>
      <c r="F18">
        <v>0</v>
      </c>
      <c r="G18" s="4">
        <f t="shared" si="12"/>
        <v>1</v>
      </c>
      <c r="H18">
        <v>0</v>
      </c>
      <c r="I18" s="4">
        <f t="shared" si="2"/>
        <v>5.0000000000000001E-4</v>
      </c>
      <c r="J18">
        <v>0</v>
      </c>
      <c r="K18">
        <v>0</v>
      </c>
      <c r="L18" s="6">
        <f t="shared" si="3"/>
        <v>7.0307511415525115</v>
      </c>
      <c r="M18" s="5">
        <f t="shared" si="4"/>
        <v>70.307511415525113</v>
      </c>
      <c r="N18" s="5">
        <f t="shared" si="4"/>
        <v>703.07511415525119</v>
      </c>
      <c r="O18" s="5">
        <f t="shared" si="5"/>
        <v>703.07511415525119</v>
      </c>
      <c r="P18">
        <f t="shared" si="5"/>
        <v>703.07511415525119</v>
      </c>
      <c r="Q18">
        <f t="shared" si="5"/>
        <v>703.07511415525119</v>
      </c>
      <c r="R18" s="4">
        <f t="shared" si="6"/>
        <v>1.2100456621004567</v>
      </c>
      <c r="S18">
        <f t="shared" si="14"/>
        <v>0.2</v>
      </c>
      <c r="T18" s="10">
        <f t="shared" si="8"/>
        <v>1.4100456621004567</v>
      </c>
      <c r="U18" s="4">
        <v>18</v>
      </c>
      <c r="V18">
        <f t="shared" si="13"/>
        <v>1</v>
      </c>
      <c r="W18">
        <f t="shared" si="10"/>
        <v>19</v>
      </c>
      <c r="X18" s="7">
        <f t="shared" si="11"/>
        <v>2129.6353881278537</v>
      </c>
      <c r="Z18" s="10"/>
      <c r="AD18" t="s">
        <v>15</v>
      </c>
    </row>
    <row r="19" spans="1:33" x14ac:dyDescent="0.2">
      <c r="B19" s="3">
        <v>0.625</v>
      </c>
      <c r="C19" s="4">
        <f t="shared" si="0"/>
        <v>3.0251141552511417E-2</v>
      </c>
      <c r="D19">
        <v>0</v>
      </c>
      <c r="E19">
        <v>6</v>
      </c>
      <c r="F19">
        <v>0</v>
      </c>
      <c r="G19" s="4">
        <f t="shared" si="12"/>
        <v>1</v>
      </c>
      <c r="H19">
        <v>0</v>
      </c>
      <c r="I19" s="4">
        <f t="shared" si="2"/>
        <v>5.0000000000000001E-4</v>
      </c>
      <c r="J19">
        <v>0</v>
      </c>
      <c r="K19">
        <v>0</v>
      </c>
      <c r="L19" s="6">
        <f t="shared" si="3"/>
        <v>7.0307511415525115</v>
      </c>
      <c r="M19" s="5">
        <f t="shared" si="4"/>
        <v>70.307511415525113</v>
      </c>
      <c r="N19" s="5">
        <f t="shared" si="4"/>
        <v>703.07511415525119</v>
      </c>
      <c r="O19" s="5">
        <f t="shared" si="5"/>
        <v>703.07511415525119</v>
      </c>
      <c r="P19">
        <f t="shared" si="5"/>
        <v>703.07511415525119</v>
      </c>
      <c r="Q19">
        <f t="shared" si="5"/>
        <v>703.07511415525119</v>
      </c>
      <c r="R19" s="4">
        <f t="shared" si="6"/>
        <v>1.2100456621004567</v>
      </c>
      <c r="S19">
        <f t="shared" si="14"/>
        <v>0.2</v>
      </c>
      <c r="T19" s="10">
        <f t="shared" si="8"/>
        <v>1.4100456621004567</v>
      </c>
      <c r="U19" s="4">
        <v>18</v>
      </c>
      <c r="V19">
        <f t="shared" si="13"/>
        <v>1</v>
      </c>
      <c r="W19">
        <f t="shared" si="10"/>
        <v>19</v>
      </c>
      <c r="X19" s="7">
        <f t="shared" si="11"/>
        <v>2129.6353881278537</v>
      </c>
      <c r="Z19" s="10"/>
      <c r="AE19" t="s">
        <v>71</v>
      </c>
    </row>
    <row r="20" spans="1:33" x14ac:dyDescent="0.2">
      <c r="B20" s="3">
        <v>0.66666666666666696</v>
      </c>
      <c r="C20" s="4">
        <f t="shared" si="0"/>
        <v>3.0251141552511417E-2</v>
      </c>
      <c r="D20" s="4">
        <v>0</v>
      </c>
      <c r="E20">
        <v>6</v>
      </c>
      <c r="F20">
        <v>0</v>
      </c>
      <c r="G20" s="4">
        <f t="shared" si="12"/>
        <v>1</v>
      </c>
      <c r="H20">
        <v>0</v>
      </c>
      <c r="I20" s="4">
        <f t="shared" si="2"/>
        <v>5.0000000000000001E-4</v>
      </c>
      <c r="J20">
        <v>0</v>
      </c>
      <c r="K20">
        <v>0</v>
      </c>
      <c r="L20" s="6">
        <f t="shared" si="3"/>
        <v>7.0307511415525115</v>
      </c>
      <c r="M20" s="5">
        <f t="shared" si="4"/>
        <v>70.307511415525113</v>
      </c>
      <c r="N20" s="5">
        <f t="shared" si="4"/>
        <v>703.07511415525119</v>
      </c>
      <c r="O20" s="5">
        <f t="shared" si="5"/>
        <v>703.07511415525119</v>
      </c>
      <c r="P20">
        <f t="shared" si="5"/>
        <v>703.07511415525119</v>
      </c>
      <c r="Q20">
        <f t="shared" si="5"/>
        <v>703.07511415525119</v>
      </c>
      <c r="R20" s="4">
        <f t="shared" si="6"/>
        <v>1.2100456621004567</v>
      </c>
      <c r="S20">
        <f t="shared" si="14"/>
        <v>0.2</v>
      </c>
      <c r="T20" s="10">
        <f t="shared" si="8"/>
        <v>1.4100456621004567</v>
      </c>
      <c r="U20" s="4">
        <v>18</v>
      </c>
      <c r="V20">
        <f t="shared" si="13"/>
        <v>1</v>
      </c>
      <c r="W20">
        <f t="shared" si="10"/>
        <v>19</v>
      </c>
      <c r="X20" s="7">
        <f t="shared" si="11"/>
        <v>2129.6353881278537</v>
      </c>
      <c r="Z20" s="10"/>
      <c r="AE20" s="2" t="s">
        <v>65</v>
      </c>
    </row>
    <row r="21" spans="1:33" x14ac:dyDescent="0.2">
      <c r="B21" s="3">
        <v>0.70833333333333404</v>
      </c>
      <c r="C21" s="4">
        <f t="shared" si="0"/>
        <v>3.0251141552511417E-2</v>
      </c>
      <c r="D21" s="4">
        <f>9.5*0.5</f>
        <v>4.75</v>
      </c>
      <c r="E21">
        <v>6</v>
      </c>
      <c r="F21">
        <v>0</v>
      </c>
      <c r="G21" s="4">
        <f t="shared" si="12"/>
        <v>1</v>
      </c>
      <c r="H21">
        <v>0</v>
      </c>
      <c r="I21" s="4">
        <f t="shared" si="2"/>
        <v>5.0000000000000001E-4</v>
      </c>
      <c r="J21">
        <v>0</v>
      </c>
      <c r="K21">
        <v>0</v>
      </c>
      <c r="L21" s="6">
        <f t="shared" si="3"/>
        <v>11.780751141552512</v>
      </c>
      <c r="M21" s="5">
        <f t="shared" si="4"/>
        <v>117.80751141552513</v>
      </c>
      <c r="N21" s="5">
        <f t="shared" si="4"/>
        <v>1178.0751141552512</v>
      </c>
      <c r="O21" s="5">
        <f t="shared" si="5"/>
        <v>1178.0751141552512</v>
      </c>
      <c r="P21">
        <f t="shared" si="5"/>
        <v>1178.0751141552512</v>
      </c>
      <c r="Q21">
        <f t="shared" si="5"/>
        <v>1178.0751141552512</v>
      </c>
      <c r="R21" s="4">
        <f t="shared" si="6"/>
        <v>1.2100456621004567</v>
      </c>
      <c r="S21">
        <f t="shared" si="14"/>
        <v>0.2</v>
      </c>
      <c r="T21" s="10">
        <f t="shared" si="8"/>
        <v>1.4100456621004567</v>
      </c>
      <c r="U21" s="4">
        <v>18</v>
      </c>
      <c r="V21">
        <f t="shared" si="13"/>
        <v>1</v>
      </c>
      <c r="W21">
        <f t="shared" si="10"/>
        <v>19</v>
      </c>
      <c r="X21" s="7">
        <f t="shared" si="11"/>
        <v>3554.6353881278537</v>
      </c>
      <c r="Z21" s="10"/>
      <c r="AE21">
        <f>AE10</f>
        <v>477.73802739726034</v>
      </c>
    </row>
    <row r="22" spans="1:33" x14ac:dyDescent="0.2">
      <c r="B22" s="3">
        <v>0.750000000000001</v>
      </c>
      <c r="C22" s="4">
        <f t="shared" si="0"/>
        <v>3.0251141552511417E-2</v>
      </c>
      <c r="D22" s="4">
        <v>0</v>
      </c>
      <c r="E22">
        <v>0</v>
      </c>
      <c r="F22">
        <v>0</v>
      </c>
      <c r="G22" s="4">
        <f t="shared" si="12"/>
        <v>1</v>
      </c>
      <c r="H22" s="4">
        <v>0</v>
      </c>
      <c r="I22" s="4">
        <f t="shared" ref="I22:I25" si="15">(0.5/1000)+(19/1000)</f>
        <v>1.95E-2</v>
      </c>
      <c r="J22">
        <v>0</v>
      </c>
      <c r="K22">
        <v>0</v>
      </c>
      <c r="L22" s="6">
        <f t="shared" si="3"/>
        <v>1.0497511415525116</v>
      </c>
      <c r="M22" s="5">
        <f t="shared" si="4"/>
        <v>10.497511415525116</v>
      </c>
      <c r="N22" s="5">
        <f t="shared" si="4"/>
        <v>104.97511415525116</v>
      </c>
      <c r="O22" s="5">
        <f t="shared" si="5"/>
        <v>104.97511415525116</v>
      </c>
      <c r="P22">
        <f t="shared" si="5"/>
        <v>104.97511415525116</v>
      </c>
      <c r="Q22">
        <f t="shared" si="5"/>
        <v>104.97511415525116</v>
      </c>
      <c r="R22" s="4">
        <f t="shared" si="6"/>
        <v>1.2100456621004567</v>
      </c>
      <c r="S22">
        <f t="shared" si="14"/>
        <v>0.2</v>
      </c>
      <c r="T22" s="10">
        <f t="shared" si="8"/>
        <v>1.4100456621004567</v>
      </c>
      <c r="U22" s="4">
        <v>0</v>
      </c>
      <c r="V22">
        <f t="shared" si="13"/>
        <v>1</v>
      </c>
      <c r="W22">
        <f t="shared" si="10"/>
        <v>1</v>
      </c>
      <c r="X22" s="7">
        <f t="shared" si="11"/>
        <v>317.33538812785395</v>
      </c>
      <c r="Z22" s="10"/>
    </row>
    <row r="23" spans="1:33" x14ac:dyDescent="0.2">
      <c r="B23" s="3">
        <v>0.79166666666666696</v>
      </c>
      <c r="C23" s="4">
        <f t="shared" si="0"/>
        <v>3.0251141552511417E-2</v>
      </c>
      <c r="D23">
        <v>0</v>
      </c>
      <c r="E23">
        <v>0</v>
      </c>
      <c r="F23">
        <v>0</v>
      </c>
      <c r="G23" s="4">
        <f t="shared" si="12"/>
        <v>1</v>
      </c>
      <c r="H23" s="4">
        <v>2</v>
      </c>
      <c r="I23" s="4">
        <f t="shared" si="15"/>
        <v>1.95E-2</v>
      </c>
      <c r="J23">
        <v>0</v>
      </c>
      <c r="K23">
        <v>0</v>
      </c>
      <c r="L23" s="5">
        <f t="shared" si="3"/>
        <v>3.0497511415525116</v>
      </c>
      <c r="M23" s="5">
        <f t="shared" si="4"/>
        <v>30.497511415525118</v>
      </c>
      <c r="N23" s="5">
        <f t="shared" si="4"/>
        <v>304.97511415525116</v>
      </c>
      <c r="O23" s="5">
        <f t="shared" si="5"/>
        <v>304.97511415525116</v>
      </c>
      <c r="P23">
        <f t="shared" si="5"/>
        <v>304.97511415525116</v>
      </c>
      <c r="Q23">
        <f t="shared" si="5"/>
        <v>304.97511415525116</v>
      </c>
      <c r="R23" s="4">
        <f t="shared" si="6"/>
        <v>1.2100456621004567</v>
      </c>
      <c r="S23">
        <f t="shared" ref="S23:S27" si="16">(60/1000)*1</f>
        <v>0.06</v>
      </c>
      <c r="T23" s="10">
        <f t="shared" si="8"/>
        <v>1.2700456621004568</v>
      </c>
      <c r="U23" s="4">
        <v>0</v>
      </c>
      <c r="V23">
        <f t="shared" ref="V23:V27" si="17">(60/1000)*5</f>
        <v>0.3</v>
      </c>
      <c r="W23">
        <f t="shared" si="10"/>
        <v>0.3</v>
      </c>
      <c r="X23" s="7">
        <f t="shared" si="11"/>
        <v>916.49538812785397</v>
      </c>
      <c r="Z23" s="10"/>
      <c r="AD23" t="s">
        <v>76</v>
      </c>
    </row>
    <row r="24" spans="1:33" x14ac:dyDescent="0.2">
      <c r="B24" s="3">
        <v>0.83333333333333404</v>
      </c>
      <c r="C24" s="4">
        <f t="shared" si="0"/>
        <v>3.0251141552511417E-2</v>
      </c>
      <c r="D24">
        <v>0</v>
      </c>
      <c r="E24">
        <v>0</v>
      </c>
      <c r="F24" s="4">
        <v>0</v>
      </c>
      <c r="G24" s="4">
        <f t="shared" si="12"/>
        <v>1</v>
      </c>
      <c r="H24" s="4">
        <v>2</v>
      </c>
      <c r="I24" s="4">
        <f t="shared" si="15"/>
        <v>1.95E-2</v>
      </c>
      <c r="J24" s="4">
        <v>0</v>
      </c>
      <c r="K24">
        <v>0</v>
      </c>
      <c r="L24" s="5">
        <f t="shared" si="3"/>
        <v>3.0497511415525116</v>
      </c>
      <c r="M24" s="5">
        <f t="shared" si="4"/>
        <v>30.497511415525118</v>
      </c>
      <c r="N24" s="5">
        <f t="shared" si="4"/>
        <v>304.97511415525116</v>
      </c>
      <c r="O24" s="5">
        <f t="shared" si="5"/>
        <v>304.97511415525116</v>
      </c>
      <c r="P24">
        <f t="shared" si="5"/>
        <v>304.97511415525116</v>
      </c>
      <c r="Q24">
        <f t="shared" si="5"/>
        <v>304.97511415525116</v>
      </c>
      <c r="R24" s="4">
        <f t="shared" si="6"/>
        <v>1.2100456621004567</v>
      </c>
      <c r="S24">
        <f t="shared" si="16"/>
        <v>0.06</v>
      </c>
      <c r="T24" s="10">
        <f t="shared" si="8"/>
        <v>1.2700456621004568</v>
      </c>
      <c r="U24" s="4">
        <v>0</v>
      </c>
      <c r="V24">
        <f t="shared" si="17"/>
        <v>0.3</v>
      </c>
      <c r="W24">
        <f t="shared" si="10"/>
        <v>0.3</v>
      </c>
      <c r="X24" s="7">
        <f t="shared" si="11"/>
        <v>916.49538812785397</v>
      </c>
      <c r="Z24" s="10"/>
      <c r="AE24" t="s">
        <v>62</v>
      </c>
      <c r="AF24" t="s">
        <v>63</v>
      </c>
      <c r="AG24" t="s">
        <v>64</v>
      </c>
    </row>
    <row r="25" spans="1:33" x14ac:dyDescent="0.2">
      <c r="B25" s="3">
        <v>0.875000000000001</v>
      </c>
      <c r="C25" s="4">
        <f t="shared" si="0"/>
        <v>3.0251141552511417E-2</v>
      </c>
      <c r="D25">
        <v>0</v>
      </c>
      <c r="E25">
        <v>0</v>
      </c>
      <c r="F25" s="4">
        <f>((61/1000)+(18/1000))*4</f>
        <v>0.316</v>
      </c>
      <c r="G25" s="4">
        <v>0</v>
      </c>
      <c r="H25" s="4">
        <v>0</v>
      </c>
      <c r="I25" s="4">
        <f t="shared" si="15"/>
        <v>1.95E-2</v>
      </c>
      <c r="J25" s="4">
        <v>1.04</v>
      </c>
      <c r="K25">
        <v>0</v>
      </c>
      <c r="L25" s="5">
        <f t="shared" si="3"/>
        <v>1.4057511415525115</v>
      </c>
      <c r="M25" s="5">
        <f t="shared" si="4"/>
        <v>14.057511415525115</v>
      </c>
      <c r="N25" s="5">
        <f t="shared" si="4"/>
        <v>140.57511415525116</v>
      </c>
      <c r="O25" s="5">
        <f t="shared" si="5"/>
        <v>140.57511415525116</v>
      </c>
      <c r="P25">
        <f t="shared" si="5"/>
        <v>140.57511415525116</v>
      </c>
      <c r="Q25">
        <f t="shared" si="5"/>
        <v>140.57511415525116</v>
      </c>
      <c r="R25" s="4">
        <f t="shared" si="6"/>
        <v>1.2100456621004567</v>
      </c>
      <c r="S25">
        <f t="shared" si="16"/>
        <v>0.06</v>
      </c>
      <c r="T25" s="10">
        <f t="shared" si="8"/>
        <v>1.2700456621004568</v>
      </c>
      <c r="U25" s="4">
        <v>0</v>
      </c>
      <c r="V25">
        <f t="shared" si="17"/>
        <v>0.3</v>
      </c>
      <c r="W25">
        <f t="shared" si="10"/>
        <v>0.3</v>
      </c>
      <c r="X25" s="7">
        <f t="shared" si="11"/>
        <v>423.29538812785393</v>
      </c>
      <c r="Z25" s="10"/>
      <c r="AE25" s="2" t="s">
        <v>65</v>
      </c>
      <c r="AF25" s="2" t="s">
        <v>72</v>
      </c>
      <c r="AG25" s="2" t="s">
        <v>65</v>
      </c>
    </row>
    <row r="26" spans="1:33" x14ac:dyDescent="0.2">
      <c r="B26" s="3">
        <v>0.91666666666666696</v>
      </c>
      <c r="C26" s="4">
        <f t="shared" si="0"/>
        <v>3.0251141552511417E-2</v>
      </c>
      <c r="D26">
        <v>0</v>
      </c>
      <c r="E26">
        <v>0</v>
      </c>
      <c r="F26" s="4">
        <f t="shared" ref="F26:F27" si="18">((61/1000)+(18/1000))*4</f>
        <v>0.316</v>
      </c>
      <c r="G26">
        <v>0</v>
      </c>
      <c r="H26">
        <v>0</v>
      </c>
      <c r="I26" s="4">
        <f>(0.5/1000)+(19/1000)</f>
        <v>1.95E-2</v>
      </c>
      <c r="J26" s="4">
        <v>0</v>
      </c>
      <c r="K26">
        <v>0</v>
      </c>
      <c r="L26" s="5">
        <f t="shared" si="3"/>
        <v>0.36575114155251143</v>
      </c>
      <c r="M26" s="5">
        <f t="shared" si="4"/>
        <v>3.6575114155251143</v>
      </c>
      <c r="N26" s="5">
        <f t="shared" si="4"/>
        <v>36.575114155251143</v>
      </c>
      <c r="O26" s="5">
        <f t="shared" si="5"/>
        <v>36.575114155251143</v>
      </c>
      <c r="P26">
        <f t="shared" si="5"/>
        <v>36.575114155251143</v>
      </c>
      <c r="Q26">
        <f t="shared" si="5"/>
        <v>36.575114155251143</v>
      </c>
      <c r="R26" s="4">
        <f t="shared" si="6"/>
        <v>1.2100456621004567</v>
      </c>
      <c r="S26">
        <f t="shared" si="16"/>
        <v>0.06</v>
      </c>
      <c r="T26" s="10">
        <f t="shared" si="8"/>
        <v>1.2700456621004568</v>
      </c>
      <c r="U26" s="4">
        <v>0</v>
      </c>
      <c r="V26">
        <f t="shared" si="17"/>
        <v>0.3</v>
      </c>
      <c r="W26">
        <f t="shared" si="10"/>
        <v>0.3</v>
      </c>
      <c r="X26" s="7">
        <f t="shared" si="11"/>
        <v>111.29538812785388</v>
      </c>
      <c r="Z26" s="10"/>
      <c r="AE26" s="7">
        <f>AF26*AG26</f>
        <v>12.246027397260274</v>
      </c>
      <c r="AF26">
        <v>0.6</v>
      </c>
      <c r="AG26">
        <f>SUM(R29:V29)</f>
        <v>20.410045662100458</v>
      </c>
    </row>
    <row r="27" spans="1:33" x14ac:dyDescent="0.2">
      <c r="B27" s="3">
        <v>0.95833333333333404</v>
      </c>
      <c r="C27" s="4">
        <f t="shared" si="0"/>
        <v>3.0251141552511417E-2</v>
      </c>
      <c r="D27">
        <v>0</v>
      </c>
      <c r="E27">
        <v>0</v>
      </c>
      <c r="F27" s="4">
        <f t="shared" si="18"/>
        <v>0.316</v>
      </c>
      <c r="G27">
        <v>0</v>
      </c>
      <c r="H27">
        <v>0</v>
      </c>
      <c r="I27" s="4">
        <f t="shared" si="2"/>
        <v>5.0000000000000001E-4</v>
      </c>
      <c r="J27">
        <v>0</v>
      </c>
      <c r="K27">
        <v>0</v>
      </c>
      <c r="L27" s="5">
        <f t="shared" si="3"/>
        <v>0.34675114155251141</v>
      </c>
      <c r="M27" s="5">
        <f t="shared" si="4"/>
        <v>3.4675114155251139</v>
      </c>
      <c r="N27" s="5">
        <f t="shared" si="4"/>
        <v>34.675114155251137</v>
      </c>
      <c r="O27" s="5">
        <f t="shared" si="5"/>
        <v>34.675114155251137</v>
      </c>
      <c r="P27">
        <f t="shared" si="5"/>
        <v>34.675114155251137</v>
      </c>
      <c r="Q27">
        <f t="shared" si="5"/>
        <v>34.675114155251137</v>
      </c>
      <c r="R27" s="4">
        <f t="shared" si="6"/>
        <v>1.2100456621004567</v>
      </c>
      <c r="S27">
        <f t="shared" si="16"/>
        <v>0.06</v>
      </c>
      <c r="T27" s="10">
        <f t="shared" si="8"/>
        <v>1.2700456621004568</v>
      </c>
      <c r="U27" s="4">
        <v>0</v>
      </c>
      <c r="V27">
        <f t="shared" si="17"/>
        <v>0.3</v>
      </c>
      <c r="W27">
        <f t="shared" si="10"/>
        <v>0.3</v>
      </c>
      <c r="X27" s="7">
        <f t="shared" si="11"/>
        <v>105.59538812785387</v>
      </c>
      <c r="Z27" s="10"/>
    </row>
    <row r="28" spans="1:33" x14ac:dyDescent="0.2">
      <c r="B28" s="3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D28" t="s">
        <v>143</v>
      </c>
    </row>
    <row r="29" spans="1:33" x14ac:dyDescent="0.2">
      <c r="A29" t="s">
        <v>70</v>
      </c>
      <c r="B29" s="3"/>
      <c r="C29" s="10">
        <f>C16</f>
        <v>3.0251141552511417E-2</v>
      </c>
      <c r="D29" s="10">
        <f>D12*2</f>
        <v>9.5</v>
      </c>
      <c r="E29" s="10">
        <f>E15</f>
        <v>6</v>
      </c>
      <c r="F29" s="10">
        <f>F8</f>
        <v>0.316</v>
      </c>
      <c r="G29" s="10">
        <f>G17</f>
        <v>1</v>
      </c>
      <c r="H29" s="10">
        <f>H24</f>
        <v>2</v>
      </c>
      <c r="I29" s="10">
        <f>I25</f>
        <v>1.95E-2</v>
      </c>
      <c r="J29" s="10">
        <f>J25</f>
        <v>1.04</v>
      </c>
      <c r="K29" s="10">
        <v>0</v>
      </c>
      <c r="L29" s="10"/>
      <c r="M29" s="10"/>
      <c r="N29" s="10"/>
      <c r="O29" s="10"/>
      <c r="P29" s="10"/>
      <c r="Q29" s="10"/>
      <c r="R29" s="10">
        <f>R17</f>
        <v>1.2100456621004567</v>
      </c>
      <c r="S29" s="10">
        <f>S19</f>
        <v>0.2</v>
      </c>
      <c r="T29" s="10"/>
      <c r="U29" s="10">
        <f>U18</f>
        <v>18</v>
      </c>
      <c r="V29" s="10">
        <f>V18</f>
        <v>1</v>
      </c>
      <c r="W29" s="10"/>
      <c r="X29" s="12" t="s">
        <v>19</v>
      </c>
      <c r="Y29" s="12" t="s">
        <v>75</v>
      </c>
      <c r="Z29" s="10"/>
      <c r="AE29" t="s">
        <v>62</v>
      </c>
    </row>
    <row r="30" spans="1:33" x14ac:dyDescent="0.2">
      <c r="B30" s="3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2">
        <f>SUM(X4:X27)</f>
        <v>29694.289315068498</v>
      </c>
      <c r="Y30" s="12">
        <f>X30/1000</f>
        <v>29.694289315068499</v>
      </c>
      <c r="Z30" s="10"/>
      <c r="AE30" s="2" t="s">
        <v>65</v>
      </c>
      <c r="AF30" s="2"/>
      <c r="AG30" s="2"/>
    </row>
    <row r="31" spans="1:33" x14ac:dyDescent="0.2">
      <c r="AE31" s="7">
        <v>82</v>
      </c>
    </row>
    <row r="33" spans="2:32" x14ac:dyDescent="0.2">
      <c r="B33" t="s">
        <v>22</v>
      </c>
      <c r="AD33" s="12" t="s">
        <v>61</v>
      </c>
      <c r="AE33" s="12"/>
      <c r="AF33" s="12"/>
    </row>
    <row r="34" spans="2:32" x14ac:dyDescent="0.2">
      <c r="C34" t="s">
        <v>23</v>
      </c>
      <c r="AD34" s="12"/>
      <c r="AE34" s="12">
        <f>AE26+AE21+AE16+AE10+AE31</f>
        <v>1527.4601095890412</v>
      </c>
      <c r="AF34" s="12" t="s">
        <v>32</v>
      </c>
    </row>
    <row r="35" spans="2:32" x14ac:dyDescent="0.2">
      <c r="C35" t="s">
        <v>24</v>
      </c>
      <c r="H35" s="9" t="s">
        <v>25</v>
      </c>
      <c r="Q35" t="s">
        <v>26</v>
      </c>
    </row>
    <row r="36" spans="2:32" x14ac:dyDescent="0.2">
      <c r="C36" t="s">
        <v>27</v>
      </c>
      <c r="J36" s="9" t="s">
        <v>28</v>
      </c>
    </row>
    <row r="37" spans="2:32" x14ac:dyDescent="0.2">
      <c r="J37" t="s">
        <v>25</v>
      </c>
      <c r="W37" t="s">
        <v>29</v>
      </c>
    </row>
  </sheetData>
  <hyperlinks>
    <hyperlink ref="H35" r:id="rId1" xr:uid="{0C68F5AC-EAC0-ED4B-8ABD-2160D6A0D2CF}"/>
    <hyperlink ref="J36" r:id="rId2" xr:uid="{7050BDB6-7577-C343-BB47-AB59320A7F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06830-C403-434C-8CA0-EFF27E18C5FD}">
  <dimension ref="B2:N13"/>
  <sheetViews>
    <sheetView workbookViewId="0">
      <selection activeCell="F7" sqref="F7"/>
    </sheetView>
  </sheetViews>
  <sheetFormatPr baseColWidth="10" defaultRowHeight="16" x14ac:dyDescent="0.2"/>
  <cols>
    <col min="2" max="2" width="15" bestFit="1" customWidth="1"/>
    <col min="3" max="3" width="21.6640625" bestFit="1" customWidth="1"/>
    <col min="5" max="5" width="18.6640625" bestFit="1" customWidth="1"/>
    <col min="8" max="8" width="23.6640625" bestFit="1" customWidth="1"/>
    <col min="9" max="9" width="21.6640625" bestFit="1" customWidth="1"/>
    <col min="11" max="11" width="18.6640625" bestFit="1" customWidth="1"/>
    <col min="13" max="13" width="26.83203125" bestFit="1" customWidth="1"/>
  </cols>
  <sheetData>
    <row r="2" spans="2:14" x14ac:dyDescent="0.2">
      <c r="B2" t="s">
        <v>100</v>
      </c>
      <c r="H2" t="s">
        <v>112</v>
      </c>
      <c r="M2" t="s">
        <v>113</v>
      </c>
    </row>
    <row r="3" spans="2:14" x14ac:dyDescent="0.2">
      <c r="C3" t="s">
        <v>101</v>
      </c>
      <c r="D3">
        <v>6.64</v>
      </c>
      <c r="E3" t="s">
        <v>102</v>
      </c>
      <c r="I3" t="s">
        <v>101</v>
      </c>
      <c r="J3">
        <v>6.64</v>
      </c>
      <c r="K3" t="s">
        <v>102</v>
      </c>
      <c r="M3">
        <f>Electrolysers!E19</f>
        <v>134.51513059726031</v>
      </c>
      <c r="N3" t="s">
        <v>99</v>
      </c>
    </row>
    <row r="4" spans="2:14" x14ac:dyDescent="0.2">
      <c r="C4" t="s">
        <v>103</v>
      </c>
      <c r="D4">
        <v>10000</v>
      </c>
      <c r="E4" t="s">
        <v>32</v>
      </c>
      <c r="I4" t="s">
        <v>103</v>
      </c>
      <c r="J4">
        <v>30000</v>
      </c>
      <c r="K4" t="s">
        <v>32</v>
      </c>
    </row>
    <row r="5" spans="2:14" x14ac:dyDescent="0.2">
      <c r="C5" t="s">
        <v>106</v>
      </c>
      <c r="D5">
        <v>600</v>
      </c>
      <c r="E5" t="s">
        <v>105</v>
      </c>
      <c r="I5" t="s">
        <v>106</v>
      </c>
      <c r="J5">
        <v>600</v>
      </c>
      <c r="K5" t="s">
        <v>105</v>
      </c>
    </row>
    <row r="7" spans="2:14" x14ac:dyDescent="0.2">
      <c r="C7" t="s">
        <v>107</v>
      </c>
      <c r="D7">
        <f>D4*D3</f>
        <v>66400</v>
      </c>
      <c r="E7" t="s">
        <v>85</v>
      </c>
      <c r="I7" t="s">
        <v>107</v>
      </c>
      <c r="J7">
        <f>J4*J3</f>
        <v>199200</v>
      </c>
      <c r="K7" t="s">
        <v>85</v>
      </c>
    </row>
    <row r="8" spans="2:14" x14ac:dyDescent="0.2">
      <c r="D8">
        <f>D7/1000000</f>
        <v>6.6400000000000001E-2</v>
      </c>
      <c r="E8" t="s">
        <v>108</v>
      </c>
      <c r="J8">
        <f>J7/1000000</f>
        <v>0.19919999999999999</v>
      </c>
      <c r="K8" t="s">
        <v>108</v>
      </c>
    </row>
    <row r="10" spans="2:14" x14ac:dyDescent="0.2">
      <c r="C10" t="s">
        <v>109</v>
      </c>
      <c r="D10">
        <f>D5*D4</f>
        <v>6000000</v>
      </c>
      <c r="E10" t="s">
        <v>104</v>
      </c>
      <c r="I10" t="s">
        <v>109</v>
      </c>
      <c r="J10">
        <f>J5*J4</f>
        <v>18000000</v>
      </c>
      <c r="K10" t="s">
        <v>104</v>
      </c>
    </row>
    <row r="11" spans="2:14" x14ac:dyDescent="0.2">
      <c r="D11">
        <f>D10/1000000</f>
        <v>6</v>
      </c>
      <c r="E11" t="s">
        <v>110</v>
      </c>
      <c r="J11">
        <f>J10/1000000</f>
        <v>18</v>
      </c>
      <c r="K11" t="s">
        <v>110</v>
      </c>
    </row>
    <row r="13" spans="2:14" x14ac:dyDescent="0.2">
      <c r="C13" t="s">
        <v>111</v>
      </c>
      <c r="D13" s="13">
        <v>45.514515056451621</v>
      </c>
      <c r="E13" t="s">
        <v>99</v>
      </c>
      <c r="I13" t="s">
        <v>111</v>
      </c>
      <c r="J13" s="13">
        <f>D13*3</f>
        <v>136.54354516935487</v>
      </c>
      <c r="K13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E3794-8095-2D4F-AE79-5BBBE5B54900}">
  <dimension ref="B2:K36"/>
  <sheetViews>
    <sheetView workbookViewId="0">
      <selection activeCell="E37" sqref="E37"/>
    </sheetView>
  </sheetViews>
  <sheetFormatPr baseColWidth="10" defaultRowHeight="16" x14ac:dyDescent="0.2"/>
  <cols>
    <col min="2" max="2" width="19.5" bestFit="1" customWidth="1"/>
    <col min="3" max="3" width="25.6640625" bestFit="1" customWidth="1"/>
    <col min="4" max="4" width="21.83203125" customWidth="1"/>
    <col min="5" max="5" width="15.83203125" customWidth="1"/>
    <col min="9" max="9" width="28" bestFit="1" customWidth="1"/>
  </cols>
  <sheetData>
    <row r="2" spans="2:11" x14ac:dyDescent="0.2">
      <c r="B2" t="s">
        <v>78</v>
      </c>
      <c r="D2" s="9" t="s">
        <v>79</v>
      </c>
      <c r="I2" t="s">
        <v>90</v>
      </c>
      <c r="J2">
        <f>'Energy Demand'!X30</f>
        <v>29694.289315068498</v>
      </c>
      <c r="K2" t="s">
        <v>59</v>
      </c>
    </row>
    <row r="3" spans="2:11" x14ac:dyDescent="0.2">
      <c r="C3" t="s">
        <v>80</v>
      </c>
      <c r="D3">
        <v>4.53</v>
      </c>
      <c r="E3" t="s">
        <v>81</v>
      </c>
      <c r="I3" t="s">
        <v>91</v>
      </c>
      <c r="J3">
        <f>'Fuel Cells'!D15</f>
        <v>2512.1368760547953</v>
      </c>
      <c r="K3" t="s">
        <v>49</v>
      </c>
    </row>
    <row r="4" spans="2:11" x14ac:dyDescent="0.2">
      <c r="C4" t="s">
        <v>82</v>
      </c>
      <c r="D4">
        <v>207</v>
      </c>
      <c r="E4" t="s">
        <v>83</v>
      </c>
      <c r="J4">
        <f>'Fuel Cells'!D14</f>
        <v>28750.010914849321</v>
      </c>
      <c r="K4" t="s">
        <v>47</v>
      </c>
    </row>
    <row r="5" spans="2:11" x14ac:dyDescent="0.2">
      <c r="D5">
        <v>14.375</v>
      </c>
      <c r="E5" t="s">
        <v>127</v>
      </c>
    </row>
    <row r="6" spans="2:11" x14ac:dyDescent="0.2">
      <c r="C6" t="s">
        <v>84</v>
      </c>
      <c r="D6">
        <v>160</v>
      </c>
      <c r="E6" t="s">
        <v>85</v>
      </c>
    </row>
    <row r="7" spans="2:11" x14ac:dyDescent="0.2">
      <c r="C7" t="s">
        <v>86</v>
      </c>
      <c r="D7">
        <v>4.5</v>
      </c>
      <c r="E7" t="s">
        <v>87</v>
      </c>
    </row>
    <row r="8" spans="2:11" x14ac:dyDescent="0.2">
      <c r="C8" t="s">
        <v>86</v>
      </c>
      <c r="D8">
        <v>4.5</v>
      </c>
      <c r="E8" t="s">
        <v>88</v>
      </c>
    </row>
    <row r="9" spans="2:11" x14ac:dyDescent="0.2">
      <c r="C9" t="s">
        <v>86</v>
      </c>
      <c r="D9">
        <f>D8/1000</f>
        <v>4.4999999999999997E-3</v>
      </c>
      <c r="E9" t="s">
        <v>89</v>
      </c>
    </row>
    <row r="11" spans="2:11" x14ac:dyDescent="0.2">
      <c r="B11" t="s">
        <v>92</v>
      </c>
      <c r="J11" t="s">
        <v>131</v>
      </c>
    </row>
    <row r="12" spans="2:11" x14ac:dyDescent="0.2">
      <c r="C12" t="s">
        <v>93</v>
      </c>
      <c r="J12">
        <f>D4*D3</f>
        <v>937.71</v>
      </c>
      <c r="K12" t="s">
        <v>132</v>
      </c>
    </row>
    <row r="13" spans="2:11" x14ac:dyDescent="0.2">
      <c r="D13" s="8" t="s">
        <v>94</v>
      </c>
      <c r="E13" s="8">
        <f>J3*D7</f>
        <v>11304.615942246579</v>
      </c>
      <c r="F13" s="8" t="s">
        <v>49</v>
      </c>
      <c r="G13" s="8"/>
      <c r="J13" t="s">
        <v>38</v>
      </c>
    </row>
    <row r="14" spans="2:11" x14ac:dyDescent="0.2">
      <c r="D14" s="8"/>
      <c r="E14" s="8">
        <f>E13</f>
        <v>11304.615942246579</v>
      </c>
      <c r="F14" s="8" t="s">
        <v>95</v>
      </c>
      <c r="J14">
        <v>207</v>
      </c>
      <c r="K14" t="s">
        <v>133</v>
      </c>
    </row>
    <row r="15" spans="2:11" x14ac:dyDescent="0.2">
      <c r="D15" s="8"/>
      <c r="E15" s="8">
        <f>E14/1000</f>
        <v>11.30461594224658</v>
      </c>
      <c r="F15" s="8" t="s">
        <v>96</v>
      </c>
    </row>
    <row r="16" spans="2:11" x14ac:dyDescent="0.2">
      <c r="D16" s="8"/>
      <c r="J16">
        <f>D3*D4</f>
        <v>937.71</v>
      </c>
      <c r="K16" t="s">
        <v>134</v>
      </c>
    </row>
    <row r="17" spans="3:7" x14ac:dyDescent="0.2">
      <c r="C17" t="s">
        <v>97</v>
      </c>
    </row>
    <row r="18" spans="3:7" x14ac:dyDescent="0.2">
      <c r="D18" t="s">
        <v>98</v>
      </c>
      <c r="E18">
        <f>D3*J2</f>
        <v>134515.13059726031</v>
      </c>
      <c r="F18" s="8" t="s">
        <v>59</v>
      </c>
    </row>
    <row r="19" spans="3:7" x14ac:dyDescent="0.2">
      <c r="E19">
        <f>E18/1000</f>
        <v>134.51513059726031</v>
      </c>
      <c r="F19" s="8" t="s">
        <v>99</v>
      </c>
    </row>
    <row r="21" spans="3:7" x14ac:dyDescent="0.2">
      <c r="C21" t="s">
        <v>114</v>
      </c>
    </row>
    <row r="22" spans="3:7" x14ac:dyDescent="0.2">
      <c r="D22" t="s">
        <v>115</v>
      </c>
      <c r="E22">
        <v>6</v>
      </c>
      <c r="F22" t="s">
        <v>43</v>
      </c>
    </row>
    <row r="23" spans="3:7" x14ac:dyDescent="0.2">
      <c r="D23" t="s">
        <v>116</v>
      </c>
      <c r="E23">
        <f>D4*6</f>
        <v>1242</v>
      </c>
    </row>
    <row r="24" spans="3:7" x14ac:dyDescent="0.2">
      <c r="D24" t="s">
        <v>117</v>
      </c>
      <c r="E24">
        <f>J4/E23</f>
        <v>23.148156936271594</v>
      </c>
    </row>
    <row r="25" spans="3:7" x14ac:dyDescent="0.2">
      <c r="E25" t="s">
        <v>118</v>
      </c>
    </row>
    <row r="30" spans="3:7" x14ac:dyDescent="0.2">
      <c r="D30" t="s">
        <v>135</v>
      </c>
    </row>
    <row r="31" spans="3:7" x14ac:dyDescent="0.2">
      <c r="D31" t="s">
        <v>136</v>
      </c>
      <c r="E31" t="s">
        <v>137</v>
      </c>
      <c r="G31" t="s">
        <v>142</v>
      </c>
    </row>
    <row r="32" spans="3:7" x14ac:dyDescent="0.2">
      <c r="D32">
        <v>9.9</v>
      </c>
      <c r="E32" t="s">
        <v>139</v>
      </c>
      <c r="F32" t="s">
        <v>138</v>
      </c>
      <c r="G32">
        <v>3</v>
      </c>
    </row>
    <row r="33" spans="4:7" x14ac:dyDescent="0.2">
      <c r="D33">
        <v>0.8</v>
      </c>
      <c r="E33" t="s">
        <v>139</v>
      </c>
      <c r="F33" t="s">
        <v>141</v>
      </c>
      <c r="G33">
        <v>0.5</v>
      </c>
    </row>
    <row r="34" spans="4:7" x14ac:dyDescent="0.2">
      <c r="D34">
        <v>2</v>
      </c>
      <c r="E34" t="s">
        <v>139</v>
      </c>
      <c r="F34" t="s">
        <v>140</v>
      </c>
      <c r="G34">
        <v>2</v>
      </c>
    </row>
    <row r="36" spans="4:7" x14ac:dyDescent="0.2">
      <c r="D36">
        <f>D32*D34</f>
        <v>19.8</v>
      </c>
      <c r="E36" t="s">
        <v>85</v>
      </c>
    </row>
  </sheetData>
  <hyperlinks>
    <hyperlink ref="D2" r:id="rId1" xr:uid="{B1EEB9A1-F607-C743-A1B6-2B91A4FEFE2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A73F-BDB7-6B41-BA38-1B4A434BF511}">
  <dimension ref="B2:M10"/>
  <sheetViews>
    <sheetView workbookViewId="0">
      <selection activeCell="B12" sqref="B12"/>
    </sheetView>
  </sheetViews>
  <sheetFormatPr baseColWidth="10" defaultRowHeight="16" x14ac:dyDescent="0.2"/>
  <cols>
    <col min="2" max="2" width="16.83203125" bestFit="1" customWidth="1"/>
    <col min="3" max="3" width="19.5" bestFit="1" customWidth="1"/>
    <col min="11" max="11" width="19.83203125" bestFit="1" customWidth="1"/>
  </cols>
  <sheetData>
    <row r="2" spans="2:13" x14ac:dyDescent="0.2">
      <c r="B2" t="s">
        <v>121</v>
      </c>
    </row>
    <row r="3" spans="2:13" x14ac:dyDescent="0.2">
      <c r="C3" t="s">
        <v>122</v>
      </c>
      <c r="D3" s="9" t="s">
        <v>120</v>
      </c>
      <c r="K3" t="s">
        <v>124</v>
      </c>
      <c r="L3">
        <f>'Fuel Cells'!D15</f>
        <v>2512.1368760547953</v>
      </c>
      <c r="M3" t="s">
        <v>49</v>
      </c>
    </row>
    <row r="4" spans="2:13" x14ac:dyDescent="0.2">
      <c r="C4" t="s">
        <v>84</v>
      </c>
      <c r="D4" t="s">
        <v>119</v>
      </c>
    </row>
    <row r="5" spans="2:13" x14ac:dyDescent="0.2">
      <c r="C5" t="s">
        <v>123</v>
      </c>
      <c r="D5">
        <v>500</v>
      </c>
      <c r="E5" t="s">
        <v>49</v>
      </c>
    </row>
    <row r="8" spans="2:13" x14ac:dyDescent="0.2">
      <c r="B8" t="s">
        <v>125</v>
      </c>
    </row>
    <row r="9" spans="2:13" x14ac:dyDescent="0.2">
      <c r="C9">
        <f>L3/D5</f>
        <v>5.0242737521095906</v>
      </c>
    </row>
    <row r="10" spans="2:13" x14ac:dyDescent="0.2">
      <c r="C10" t="s">
        <v>126</v>
      </c>
    </row>
  </sheetData>
  <hyperlinks>
    <hyperlink ref="D3" r:id="rId1" xr:uid="{FC35139F-D2F7-DA40-9944-9B8FE5BF122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9E72-D9F1-3C46-B365-BE1E413123DD}">
  <dimension ref="B2:J38"/>
  <sheetViews>
    <sheetView tabSelected="1" topLeftCell="A10" workbookViewId="0">
      <selection activeCell="D40" sqref="D40"/>
    </sheetView>
  </sheetViews>
  <sheetFormatPr baseColWidth="10" defaultRowHeight="16" x14ac:dyDescent="0.2"/>
  <cols>
    <col min="2" max="2" width="14" bestFit="1" customWidth="1"/>
    <col min="3" max="3" width="19.5" bestFit="1" customWidth="1"/>
    <col min="4" max="4" width="12.1640625" bestFit="1" customWidth="1"/>
    <col min="5" max="5" width="10.1640625" bestFit="1" customWidth="1"/>
    <col min="7" max="7" width="23.83203125" bestFit="1" customWidth="1"/>
  </cols>
  <sheetData>
    <row r="2" spans="2:9" x14ac:dyDescent="0.2">
      <c r="B2" t="s">
        <v>30</v>
      </c>
      <c r="G2" t="s">
        <v>58</v>
      </c>
      <c r="H2">
        <f>'Energy Demand'!X30</f>
        <v>29694.289315068498</v>
      </c>
      <c r="I2" t="s">
        <v>59</v>
      </c>
    </row>
    <row r="3" spans="2:9" x14ac:dyDescent="0.2">
      <c r="C3" t="s">
        <v>31</v>
      </c>
      <c r="D3">
        <v>200</v>
      </c>
      <c r="E3" t="s">
        <v>32</v>
      </c>
    </row>
    <row r="4" spans="2:9" x14ac:dyDescent="0.2">
      <c r="C4" t="s">
        <v>33</v>
      </c>
      <c r="D4">
        <v>4.7</v>
      </c>
      <c r="E4" t="s">
        <v>34</v>
      </c>
      <c r="G4" t="s">
        <v>77</v>
      </c>
      <c r="H4">
        <f>'Energy Demand'!AE34</f>
        <v>1527.4601095890412</v>
      </c>
      <c r="I4" t="s">
        <v>32</v>
      </c>
    </row>
    <row r="5" spans="2:9" x14ac:dyDescent="0.2">
      <c r="C5" t="s">
        <v>33</v>
      </c>
      <c r="D5">
        <f>D4/1000</f>
        <v>4.7000000000000002E-3</v>
      </c>
      <c r="E5" t="s">
        <v>35</v>
      </c>
    </row>
    <row r="6" spans="2:9" x14ac:dyDescent="0.2">
      <c r="C6" t="s">
        <v>33</v>
      </c>
      <c r="D6">
        <f>(D5/9)*103</f>
        <v>5.3788888888888886E-2</v>
      </c>
      <c r="E6" t="s">
        <v>36</v>
      </c>
    </row>
    <row r="8" spans="2:9" x14ac:dyDescent="0.2">
      <c r="B8" t="s">
        <v>37</v>
      </c>
    </row>
    <row r="9" spans="2:9" x14ac:dyDescent="0.2">
      <c r="B9" t="s">
        <v>38</v>
      </c>
    </row>
    <row r="10" spans="2:9" x14ac:dyDescent="0.2">
      <c r="B10" t="s">
        <v>39</v>
      </c>
    </row>
    <row r="11" spans="2:9" x14ac:dyDescent="0.2">
      <c r="B11" t="s">
        <v>40</v>
      </c>
    </row>
    <row r="12" spans="2:9" x14ac:dyDescent="0.2">
      <c r="B12" t="s">
        <v>41</v>
      </c>
      <c r="C12" t="s">
        <v>42</v>
      </c>
      <c r="D12">
        <f>H2/D3</f>
        <v>148.4714465753425</v>
      </c>
      <c r="E12" t="s">
        <v>43</v>
      </c>
    </row>
    <row r="13" spans="2:9" x14ac:dyDescent="0.2">
      <c r="C13" t="s">
        <v>44</v>
      </c>
      <c r="D13">
        <f>(D12*60)*60</f>
        <v>534497.20767123299</v>
      </c>
      <c r="E13" t="s">
        <v>45</v>
      </c>
    </row>
    <row r="14" spans="2:9" x14ac:dyDescent="0.2">
      <c r="C14" t="s">
        <v>46</v>
      </c>
      <c r="D14">
        <f>D6*D13</f>
        <v>28750.010914849321</v>
      </c>
      <c r="E14" t="s">
        <v>47</v>
      </c>
    </row>
    <row r="15" spans="2:9" x14ac:dyDescent="0.2">
      <c r="C15" t="s">
        <v>48</v>
      </c>
      <c r="D15">
        <f>D13*D5</f>
        <v>2512.1368760547953</v>
      </c>
      <c r="E15" t="s">
        <v>49</v>
      </c>
    </row>
    <row r="17" spans="2:10" x14ac:dyDescent="0.2">
      <c r="B17" t="s">
        <v>50</v>
      </c>
    </row>
    <row r="18" spans="2:10" x14ac:dyDescent="0.2">
      <c r="B18" t="s">
        <v>51</v>
      </c>
      <c r="I18" t="s">
        <v>130</v>
      </c>
    </row>
    <row r="19" spans="2:10" x14ac:dyDescent="0.2">
      <c r="B19" t="s">
        <v>52</v>
      </c>
    </row>
    <row r="20" spans="2:10" x14ac:dyDescent="0.2">
      <c r="B20" t="s">
        <v>53</v>
      </c>
      <c r="I20">
        <v>200</v>
      </c>
      <c r="J20" t="s">
        <v>32</v>
      </c>
    </row>
    <row r="21" spans="2:10" x14ac:dyDescent="0.2">
      <c r="B21" t="s">
        <v>54</v>
      </c>
      <c r="C21" t="s">
        <v>55</v>
      </c>
      <c r="D21">
        <f>H4/D3</f>
        <v>7.6373005479452054</v>
      </c>
      <c r="E21" t="s">
        <v>51</v>
      </c>
      <c r="I21">
        <v>1</v>
      </c>
      <c r="J21" t="s">
        <v>128</v>
      </c>
    </row>
    <row r="22" spans="2:10" x14ac:dyDescent="0.2">
      <c r="C22" t="s">
        <v>56</v>
      </c>
      <c r="D22">
        <v>8</v>
      </c>
      <c r="E22" t="s">
        <v>51</v>
      </c>
      <c r="I22">
        <f>1*60*60</f>
        <v>3600</v>
      </c>
      <c r="J22" t="s">
        <v>129</v>
      </c>
    </row>
    <row r="23" spans="2:10" x14ac:dyDescent="0.2">
      <c r="C23" t="s">
        <v>57</v>
      </c>
      <c r="D23">
        <f>D22*D3</f>
        <v>1600</v>
      </c>
      <c r="E23" t="s">
        <v>32</v>
      </c>
    </row>
    <row r="24" spans="2:10" x14ac:dyDescent="0.2">
      <c r="I24">
        <f>D6*I22</f>
        <v>193.64</v>
      </c>
      <c r="J24" t="s">
        <v>47</v>
      </c>
    </row>
    <row r="25" spans="2:10" x14ac:dyDescent="0.2">
      <c r="I25">
        <v>200</v>
      </c>
      <c r="J25" t="s">
        <v>59</v>
      </c>
    </row>
    <row r="27" spans="2:10" x14ac:dyDescent="0.2">
      <c r="C27" s="9" t="s">
        <v>144</v>
      </c>
      <c r="I27">
        <f>I24/I25</f>
        <v>0.96819999999999995</v>
      </c>
      <c r="J27" t="s">
        <v>47</v>
      </c>
    </row>
    <row r="28" spans="2:10" x14ac:dyDescent="0.2">
      <c r="C28" t="s">
        <v>145</v>
      </c>
      <c r="D28" t="s">
        <v>146</v>
      </c>
      <c r="F28">
        <v>1.2</v>
      </c>
      <c r="G28" t="s">
        <v>139</v>
      </c>
      <c r="I28">
        <f>I25/I25</f>
        <v>1</v>
      </c>
      <c r="J28" t="s">
        <v>59</v>
      </c>
    </row>
    <row r="29" spans="2:10" x14ac:dyDescent="0.2">
      <c r="C29" t="s">
        <v>147</v>
      </c>
      <c r="F29">
        <v>0.86899999999999999</v>
      </c>
      <c r="G29" t="s">
        <v>139</v>
      </c>
    </row>
    <row r="30" spans="2:10" x14ac:dyDescent="0.2">
      <c r="F30">
        <v>0.50600000000000001</v>
      </c>
      <c r="G30" t="s">
        <v>139</v>
      </c>
    </row>
    <row r="31" spans="2:10" x14ac:dyDescent="0.2">
      <c r="F31">
        <f>F28*F29</f>
        <v>1.0427999999999999</v>
      </c>
      <c r="G31" t="s">
        <v>85</v>
      </c>
    </row>
    <row r="32" spans="2:10" x14ac:dyDescent="0.2">
      <c r="F32">
        <f>F28*F29*F30</f>
        <v>0.52765679999999993</v>
      </c>
      <c r="G32" t="s">
        <v>96</v>
      </c>
    </row>
    <row r="33" spans="2:7" x14ac:dyDescent="0.2">
      <c r="F33" t="s">
        <v>148</v>
      </c>
    </row>
    <row r="34" spans="2:7" x14ac:dyDescent="0.2">
      <c r="F34">
        <f>F32*2</f>
        <v>1.0553135999999999</v>
      </c>
      <c r="G34" t="s">
        <v>96</v>
      </c>
    </row>
    <row r="35" spans="2:7" x14ac:dyDescent="0.2">
      <c r="F35">
        <f>F31*2</f>
        <v>2.0855999999999999</v>
      </c>
      <c r="G35" t="s">
        <v>85</v>
      </c>
    </row>
    <row r="38" spans="2:7" x14ac:dyDescent="0.2">
      <c r="B38" t="s">
        <v>149</v>
      </c>
      <c r="D38">
        <f>F35*D22</f>
        <v>16.684799999999999</v>
      </c>
      <c r="E38" t="s">
        <v>85</v>
      </c>
    </row>
  </sheetData>
  <hyperlinks>
    <hyperlink ref="C27" r:id="rId1" xr:uid="{69FC3AC8-08CC-B543-A41F-9128B7A140B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9C8E-09B9-D641-992E-B7969EF039D3}">
  <dimension ref="A1"/>
  <sheetViews>
    <sheetView zoomScale="86" workbookViewId="0">
      <selection activeCell="K35" sqref="K3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Energy Demand</vt:lpstr>
      <vt:lpstr>Solar Field</vt:lpstr>
      <vt:lpstr>Electrolysers</vt:lpstr>
      <vt:lpstr>H2 Stores</vt:lpstr>
      <vt:lpstr>Fuel Cells</vt:lpstr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Dodd</cp:lastModifiedBy>
  <dcterms:created xsi:type="dcterms:W3CDTF">2019-12-16T15:38:28Z</dcterms:created>
  <dcterms:modified xsi:type="dcterms:W3CDTF">2019-12-18T09:56:45Z</dcterms:modified>
</cp:coreProperties>
</file>