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jhojlunddodd/Documents/"/>
    </mc:Choice>
  </mc:AlternateContent>
  <xr:revisionPtr revIDLastSave="0" documentId="13_ncr:1_{C1B0F778-72CD-924B-9F16-E29C235EF6DF}" xr6:coauthVersionLast="45" xr6:coauthVersionMax="45" xr10:uidLastSave="{00000000-0000-0000-0000-000000000000}"/>
  <bookViews>
    <workbookView xWindow="0" yWindow="0" windowWidth="25600" windowHeight="16000" xr2:uid="{74431741-C036-D947-AF37-94BB20096B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O17" i="1" l="1"/>
  <c r="BN18" i="1"/>
  <c r="BN19" i="1"/>
  <c r="BN20" i="1"/>
  <c r="BN17" i="1"/>
  <c r="BL18" i="1"/>
  <c r="BL19" i="1"/>
  <c r="BL20" i="1"/>
  <c r="BL17" i="1"/>
  <c r="BK19" i="1"/>
  <c r="BS21" i="1" l="1"/>
  <c r="BS22" i="1"/>
  <c r="BS16" i="1"/>
  <c r="BS17" i="1" s="1"/>
  <c r="BS18" i="1"/>
  <c r="BW10" i="1"/>
  <c r="BW4" i="1"/>
  <c r="BS6" i="1"/>
  <c r="BR7" i="1"/>
  <c r="BR6" i="1" s="1"/>
  <c r="BR14" i="1"/>
  <c r="BT6" i="1"/>
  <c r="BU6" i="1"/>
  <c r="BP7" i="1"/>
  <c r="BP6" i="1"/>
  <c r="BP5" i="1"/>
  <c r="AW4" i="1"/>
  <c r="BJ51" i="1"/>
  <c r="BH51" i="1"/>
  <c r="BF51" i="1"/>
  <c r="BD51" i="1"/>
  <c r="BB51" i="1"/>
  <c r="AZ51" i="1"/>
  <c r="AX51" i="1"/>
  <c r="BG49" i="1"/>
  <c r="BE49" i="1"/>
  <c r="BC49" i="1"/>
  <c r="AW39" i="1"/>
  <c r="AW36" i="1"/>
  <c r="AW40" i="1"/>
  <c r="AW35" i="1"/>
  <c r="AW34" i="1"/>
  <c r="AW38" i="1" s="1"/>
  <c r="BA41" i="1"/>
  <c r="AY38" i="1"/>
  <c r="BA38" i="1" s="1"/>
  <c r="BC38" i="1" s="1"/>
  <c r="BE38" i="1" s="1"/>
  <c r="BG38" i="1" s="1"/>
  <c r="BI38" i="1" s="1"/>
  <c r="BK38" i="1" s="1"/>
  <c r="AY36" i="1"/>
  <c r="BA36" i="1" s="1"/>
  <c r="BC36" i="1" s="1"/>
  <c r="AY35" i="1"/>
  <c r="BA35" i="1" s="1"/>
  <c r="BA34" i="1"/>
  <c r="BK5" i="1"/>
  <c r="BI5" i="1"/>
  <c r="BG5" i="1"/>
  <c r="BE5" i="1"/>
  <c r="BC5" i="1"/>
  <c r="BC8" i="1"/>
  <c r="BE8" i="1"/>
  <c r="BG8" i="1" s="1"/>
  <c r="BI8" i="1" s="1"/>
  <c r="BK8" i="1" s="1"/>
  <c r="BC9" i="1"/>
  <c r="BE9" i="1" s="1"/>
  <c r="BG9" i="1" s="1"/>
  <c r="BI9" i="1" s="1"/>
  <c r="BK9" i="1" s="1"/>
  <c r="BC10" i="1"/>
  <c r="BE10" i="1"/>
  <c r="BG10" i="1" s="1"/>
  <c r="BI10" i="1" s="1"/>
  <c r="BK10" i="1" s="1"/>
  <c r="BA11" i="1"/>
  <c r="BA4" i="1"/>
  <c r="AY5" i="1"/>
  <c r="AY6" i="1"/>
  <c r="BA6" i="1" s="1"/>
  <c r="BC6" i="1" s="1"/>
  <c r="BE6" i="1" s="1"/>
  <c r="BG6" i="1" s="1"/>
  <c r="BI6" i="1" s="1"/>
  <c r="BK6" i="1" s="1"/>
  <c r="AY10" i="1"/>
  <c r="BA10" i="1" s="1"/>
  <c r="AY8" i="1"/>
  <c r="BA8" i="1" s="1"/>
  <c r="AW5" i="1"/>
  <c r="AW6" i="1"/>
  <c r="AW8" i="1"/>
  <c r="AW9" i="1"/>
  <c r="AW10" i="1"/>
  <c r="AR6" i="1"/>
  <c r="AP6" i="1"/>
  <c r="AP5" i="1"/>
  <c r="AR5" i="1"/>
  <c r="AP4" i="1"/>
  <c r="N5" i="1"/>
  <c r="AE15" i="1"/>
  <c r="AE12" i="1"/>
  <c r="AE9" i="1"/>
  <c r="AE10" i="1"/>
  <c r="AE8" i="1"/>
  <c r="S15" i="1"/>
  <c r="S19" i="1"/>
  <c r="S18" i="1"/>
  <c r="C37" i="1"/>
  <c r="N14" i="1"/>
  <c r="N16" i="1" s="1"/>
  <c r="N20" i="1" s="1"/>
  <c r="N44" i="1" s="1"/>
  <c r="R9" i="1"/>
  <c r="R8" i="1"/>
  <c r="R7" i="1"/>
  <c r="C41" i="1"/>
  <c r="C36" i="1"/>
  <c r="N35" i="1"/>
  <c r="N34" i="1"/>
  <c r="N33" i="1"/>
  <c r="N32" i="1"/>
  <c r="N29" i="1"/>
  <c r="N13" i="1"/>
  <c r="H23" i="1"/>
  <c r="N6" i="1"/>
  <c r="H7" i="1"/>
  <c r="H16" i="1"/>
  <c r="C20" i="1"/>
  <c r="H15" i="1"/>
  <c r="C38" i="1"/>
  <c r="C19" i="1"/>
  <c r="H26" i="1"/>
  <c r="C25" i="1"/>
  <c r="H29" i="1"/>
  <c r="C28" i="1"/>
  <c r="H28" i="1"/>
  <c r="C27" i="1"/>
  <c r="H27" i="1"/>
  <c r="C26" i="1"/>
  <c r="H10" i="1"/>
  <c r="H8" i="1"/>
  <c r="C6" i="1"/>
  <c r="BE36" i="1" l="1"/>
  <c r="BC35" i="1"/>
  <c r="AY39" i="1"/>
  <c r="BA39" i="1" s="1"/>
  <c r="BC39" i="1" s="1"/>
  <c r="BE39" i="1" s="1"/>
  <c r="BG39" i="1" s="1"/>
  <c r="BI39" i="1" s="1"/>
  <c r="BK39" i="1" s="1"/>
  <c r="AY40" i="1"/>
  <c r="BA40" i="1" s="1"/>
  <c r="BC40" i="1" s="1"/>
  <c r="BE40" i="1" s="1"/>
  <c r="BG40" i="1" s="1"/>
  <c r="BI40" i="1" s="1"/>
  <c r="BK40" i="1" s="1"/>
  <c r="AY9" i="1"/>
  <c r="BA9" i="1" s="1"/>
  <c r="N43" i="1"/>
  <c r="R43" i="1" s="1"/>
  <c r="R44" i="1"/>
  <c r="N21" i="1"/>
  <c r="N22" i="1"/>
  <c r="N48" i="1"/>
  <c r="R48" i="1" s="1"/>
  <c r="N45" i="1"/>
  <c r="BE35" i="1" l="1"/>
  <c r="BG36" i="1"/>
  <c r="BA5" i="1"/>
  <c r="BI36" i="1" l="1"/>
  <c r="BG35" i="1"/>
  <c r="BI35" i="1" l="1"/>
  <c r="BK36" i="1"/>
  <c r="BK35" i="1" s="1"/>
</calcChain>
</file>

<file path=xl/sharedStrings.xml><?xml version="1.0" encoding="utf-8"?>
<sst xmlns="http://schemas.openxmlformats.org/spreadsheetml/2006/main" count="326" uniqueCount="141">
  <si>
    <t>His System</t>
  </si>
  <si>
    <t>Residential</t>
  </si>
  <si>
    <t>kWh yr-1</t>
  </si>
  <si>
    <t>My System</t>
  </si>
  <si>
    <t>Commercial</t>
  </si>
  <si>
    <t>W</t>
  </si>
  <si>
    <t>capacity</t>
  </si>
  <si>
    <t>MWh yr^-1</t>
  </si>
  <si>
    <t>required</t>
  </si>
  <si>
    <t>modules</t>
  </si>
  <si>
    <t>module power out</t>
  </si>
  <si>
    <t>V</t>
  </si>
  <si>
    <t>VOC</t>
  </si>
  <si>
    <t>Open Circuit Voltage VOC</t>
  </si>
  <si>
    <t>Vdc</t>
  </si>
  <si>
    <t>String design</t>
  </si>
  <si>
    <t>Residential limit</t>
  </si>
  <si>
    <t>strings</t>
  </si>
  <si>
    <t>string</t>
  </si>
  <si>
    <t>Wh yr^-1</t>
  </si>
  <si>
    <t>MW</t>
  </si>
  <si>
    <t>modules needed</t>
  </si>
  <si>
    <t>modules max power out</t>
  </si>
  <si>
    <t>nr</t>
  </si>
  <si>
    <t>V / oC</t>
  </si>
  <si>
    <t>lowest temperature in area</t>
  </si>
  <si>
    <t>oC</t>
  </si>
  <si>
    <t>VOCmax</t>
  </si>
  <si>
    <t>Change in T</t>
  </si>
  <si>
    <t>module temp coefficient Kt</t>
  </si>
  <si>
    <t>Kt</t>
  </si>
  <si>
    <t>VOC at STC</t>
  </si>
  <si>
    <t>% / oC</t>
  </si>
  <si>
    <t>Vdcmax</t>
  </si>
  <si>
    <t>One string outputs</t>
  </si>
  <si>
    <t>One string can output at max</t>
  </si>
  <si>
    <t>Inverter Decision Making</t>
  </si>
  <si>
    <t>Vmax</t>
  </si>
  <si>
    <t>Maximum voltage ouputted per module</t>
  </si>
  <si>
    <t>Imax</t>
  </si>
  <si>
    <t>Max current outputted per module</t>
  </si>
  <si>
    <t>Rated power</t>
  </si>
  <si>
    <t>3 strings of 7 modules</t>
  </si>
  <si>
    <t>I</t>
  </si>
  <si>
    <t>V V max</t>
  </si>
  <si>
    <t>Amps I max</t>
  </si>
  <si>
    <t>Max short circuit current</t>
  </si>
  <si>
    <t>Max open circuit voltage</t>
  </si>
  <si>
    <t>Inverter generally acceptable…</t>
  </si>
  <si>
    <t>??</t>
  </si>
  <si>
    <t>Amps I</t>
  </si>
  <si>
    <t>Wiring decision making</t>
  </si>
  <si>
    <t>PVS800-57B-1732kW-C</t>
  </si>
  <si>
    <t>https://library.e.abb.com/public/fff378991d2442a7bef260eea80ee6c4/PVS800-57B_central_inverters_flyer_3AXD50000042985_RevB_EN_lowres.pdf?x-sign=Uwj1u2rK5DT3D7pq6eaZ76wa4MZAG6eCAH9LI3sQMm+Zbmxcexbca8oVTep6N2l9</t>
  </si>
  <si>
    <t>kW</t>
  </si>
  <si>
    <t>max power input</t>
  </si>
  <si>
    <t>Number required</t>
  </si>
  <si>
    <t>Number of inverters required</t>
  </si>
  <si>
    <t>Boundaries of Inverter Abilities</t>
  </si>
  <si>
    <t>Max Power Input</t>
  </si>
  <si>
    <t>Max Voltage Input</t>
  </si>
  <si>
    <t>Max Current Input</t>
  </si>
  <si>
    <t>Amps Imax</t>
  </si>
  <si>
    <t>In Boundaries?</t>
  </si>
  <si>
    <t>System Setup</t>
  </si>
  <si>
    <t>https://hespv.ca/blog/wire-solar-panels-parallel-vs-series/</t>
  </si>
  <si>
    <t>Proves that wiring in series has minimal current associated with it.</t>
  </si>
  <si>
    <t>Each Inverter can handle 24 input lines.</t>
  </si>
  <si>
    <t>Largest single string design compatible with inverter:</t>
  </si>
  <si>
    <t>lines</t>
  </si>
  <si>
    <t>inverter</t>
  </si>
  <si>
    <t>worth of panels can be handled.</t>
  </si>
  <si>
    <t>How many inverter stations are required in this case??</t>
  </si>
  <si>
    <t>inverter stations required</t>
  </si>
  <si>
    <t>actual number of inverter stations required</t>
  </si>
  <si>
    <t>Inverter Requirements:</t>
  </si>
  <si>
    <t>Basic Requirements:</t>
  </si>
  <si>
    <t>Inverter Production:</t>
  </si>
  <si>
    <t>Inverter Specs2:</t>
  </si>
  <si>
    <t>Max output in AC</t>
  </si>
  <si>
    <t>Max input in DC</t>
  </si>
  <si>
    <t>Nominal Voltage Vs</t>
  </si>
  <si>
    <t>Resistance of wire per 1000ft R ohms per kilofoot</t>
  </si>
  <si>
    <t>length of wire d</t>
  </si>
  <si>
    <t>current I</t>
  </si>
  <si>
    <t>Power</t>
  </si>
  <si>
    <t>Nominal Voltage</t>
  </si>
  <si>
    <t>Current</t>
  </si>
  <si>
    <t>p</t>
  </si>
  <si>
    <t>iv</t>
  </si>
  <si>
    <t>ohms m^-1</t>
  </si>
  <si>
    <t>m</t>
  </si>
  <si>
    <t>Transformer</t>
  </si>
  <si>
    <t>A</t>
  </si>
  <si>
    <t>B</t>
  </si>
  <si>
    <t>C</t>
  </si>
  <si>
    <t>D</t>
  </si>
  <si>
    <t>E</t>
  </si>
  <si>
    <t>F</t>
  </si>
  <si>
    <t>G</t>
  </si>
  <si>
    <t>H</t>
  </si>
  <si>
    <t>kV</t>
  </si>
  <si>
    <t>kA</t>
  </si>
  <si>
    <t>http://www.pkpcables.com/fa/images/Top%20Cable%20General%20Catalogue.pdf</t>
  </si>
  <si>
    <t>X-VOLT RHZ1 (S)</t>
  </si>
  <si>
    <t>mm^2</t>
  </si>
  <si>
    <t>Out</t>
  </si>
  <si>
    <t>In</t>
  </si>
  <si>
    <t>Transform down</t>
  </si>
  <si>
    <t>Powerflex RV-K</t>
  </si>
  <si>
    <t>cable</t>
  </si>
  <si>
    <t>Bury</t>
  </si>
  <si>
    <t>Overhead</t>
  </si>
  <si>
    <t>Losses Calculated in Addition to Cables</t>
  </si>
  <si>
    <t>km</t>
  </si>
  <si>
    <t>Resistance</t>
  </si>
  <si>
    <t>ohms km-1 at 50 hZ</t>
  </si>
  <si>
    <t>% Drop in V</t>
  </si>
  <si>
    <t>Electrolysers</t>
  </si>
  <si>
    <t>20kV</t>
  </si>
  <si>
    <t>50Hz</t>
  </si>
  <si>
    <t>in</t>
  </si>
  <si>
    <t>Main line</t>
  </si>
  <si>
    <t>Distribution Board</t>
  </si>
  <si>
    <t>max demand in flat</t>
  </si>
  <si>
    <t>max voltage in a flat</t>
  </si>
  <si>
    <t>722kW spread over four dstrib lines.</t>
  </si>
  <si>
    <t>flats</t>
  </si>
  <si>
    <t>Each wire serves:</t>
  </si>
  <si>
    <t>a</t>
  </si>
  <si>
    <t>floors</t>
  </si>
  <si>
    <t>flats per floor</t>
  </si>
  <si>
    <t>mm</t>
  </si>
  <si>
    <t>kg km-1</t>
  </si>
  <si>
    <t>kg</t>
  </si>
  <si>
    <t>£ kg-1</t>
  </si>
  <si>
    <t>al</t>
  </si>
  <si>
    <t>cu</t>
  </si>
  <si>
    <t>Type</t>
  </si>
  <si>
    <t>£</t>
  </si>
  <si>
    <t>euros per m2 of tarmac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</si>
</sst>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2" borderId="0" xfId="0" applyFill="1"/>
    <xf numFmtId="0" fontId="0" fillId="3" borderId="0" xfId="0" applyFill="1"/>
    <xf numFmtId="0" fontId="2" fillId="3" borderId="0" xfId="1" applyFill="1"/>
    <xf numFmtId="1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6" borderId="0" xfId="0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kpcables.com/fa/images/Top%20Cable%20General%20Catalogue.pdf" TargetMode="External"/><Relationship Id="rId2" Type="http://schemas.openxmlformats.org/officeDocument/2006/relationships/hyperlink" Target="https://hespv.ca/blog/wire-solar-panels-parallel-vs-series/" TargetMode="External"/><Relationship Id="rId1" Type="http://schemas.openxmlformats.org/officeDocument/2006/relationships/hyperlink" Target="https://library.e.abb.com/public/fff378991d2442a7bef260eea80ee6c4/PVS800-57B_central_inverters_flyer_3AXD50000042985_RevB_EN_lowres.pdf?x-sign=Uwj1u2rK5DT3D7pq6eaZ76wa4MZAG6eCAH9LI3sQMm+Zbmxcexbca8oVTep6N2l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9908-4AEA-3940-9C13-0B1D70902DE2}">
  <dimension ref="A1:BY51"/>
  <sheetViews>
    <sheetView tabSelected="1" topLeftCell="BB1" zoomScale="125" workbookViewId="0">
      <selection activeCell="BK24" sqref="BK24"/>
    </sheetView>
  </sheetViews>
  <sheetFormatPr baseColWidth="10" defaultRowHeight="16" x14ac:dyDescent="0.2"/>
  <cols>
    <col min="1" max="1" width="18.1640625" style="7" bestFit="1" customWidth="1"/>
    <col min="5" max="5" width="34.33203125" bestFit="1" customWidth="1"/>
    <col min="8" max="8" width="12.1640625" bestFit="1" customWidth="1"/>
    <col min="10" max="10" width="24.6640625" customWidth="1"/>
    <col min="12" max="12" width="20.1640625" style="2" bestFit="1" customWidth="1"/>
    <col min="14" max="14" width="45.1640625" customWidth="1"/>
    <col min="15" max="15" width="13.33203125" customWidth="1"/>
    <col min="16" max="16" width="30" customWidth="1"/>
    <col min="17" max="17" width="13.5" customWidth="1"/>
    <col min="24" max="24" width="15" customWidth="1"/>
    <col min="28" max="28" width="18" style="7" bestFit="1" customWidth="1"/>
    <col min="30" max="30" width="14.33203125" bestFit="1" customWidth="1"/>
    <col min="39" max="39" width="10.83203125" style="7"/>
    <col min="48" max="48" width="23" customWidth="1"/>
    <col min="70" max="70" width="19" customWidth="1"/>
  </cols>
  <sheetData>
    <row r="1" spans="1:77" x14ac:dyDescent="0.2">
      <c r="A1" s="7" t="s">
        <v>76</v>
      </c>
      <c r="L1" s="2" t="s">
        <v>75</v>
      </c>
      <c r="N1" s="3"/>
      <c r="O1" s="3"/>
      <c r="P1" s="3"/>
      <c r="AB1" s="7" t="s">
        <v>77</v>
      </c>
    </row>
    <row r="2" spans="1:77" x14ac:dyDescent="0.2">
      <c r="B2" t="s">
        <v>0</v>
      </c>
      <c r="G2" t="s">
        <v>3</v>
      </c>
      <c r="N2" s="4" t="s">
        <v>53</v>
      </c>
      <c r="O2" s="3"/>
      <c r="P2" s="3"/>
      <c r="AD2" t="s">
        <v>78</v>
      </c>
      <c r="AN2" t="s">
        <v>92</v>
      </c>
      <c r="AV2" t="s">
        <v>107</v>
      </c>
      <c r="AX2" t="s">
        <v>106</v>
      </c>
      <c r="BB2" t="s">
        <v>106</v>
      </c>
      <c r="BD2" t="s">
        <v>106</v>
      </c>
      <c r="BF2" t="s">
        <v>106</v>
      </c>
      <c r="BH2" t="s">
        <v>106</v>
      </c>
      <c r="BJ2" t="s">
        <v>106</v>
      </c>
      <c r="BR2" t="s">
        <v>123</v>
      </c>
      <c r="BS2" t="s">
        <v>126</v>
      </c>
    </row>
    <row r="3" spans="1:77" x14ac:dyDescent="0.2">
      <c r="C3" t="s">
        <v>1</v>
      </c>
      <c r="H3" t="s">
        <v>4</v>
      </c>
      <c r="N3" s="3" t="s">
        <v>52</v>
      </c>
      <c r="O3" s="3"/>
      <c r="P3" s="3"/>
      <c r="AE3">
        <v>2598</v>
      </c>
      <c r="AF3" t="s">
        <v>54</v>
      </c>
      <c r="AG3" t="s">
        <v>80</v>
      </c>
      <c r="AJ3">
        <v>15</v>
      </c>
      <c r="AK3" t="s">
        <v>20</v>
      </c>
      <c r="AV3" s="8" t="s">
        <v>93</v>
      </c>
      <c r="AW3" s="8"/>
      <c r="AX3" s="8" t="s">
        <v>94</v>
      </c>
      <c r="AY3" s="8"/>
      <c r="AZ3" s="8" t="s">
        <v>95</v>
      </c>
      <c r="BA3" s="8"/>
      <c r="BB3" s="8" t="s">
        <v>96</v>
      </c>
      <c r="BC3" s="8"/>
      <c r="BD3" s="8" t="s">
        <v>97</v>
      </c>
      <c r="BE3" s="8"/>
      <c r="BF3" s="8" t="s">
        <v>98</v>
      </c>
      <c r="BG3" s="8"/>
      <c r="BH3" s="8" t="s">
        <v>99</v>
      </c>
      <c r="BJ3" t="s">
        <v>100</v>
      </c>
      <c r="BP3" t="s">
        <v>122</v>
      </c>
    </row>
    <row r="4" spans="1:77" x14ac:dyDescent="0.2">
      <c r="C4">
        <v>6000</v>
      </c>
      <c r="D4" t="s">
        <v>2</v>
      </c>
      <c r="E4" t="s">
        <v>8</v>
      </c>
      <c r="H4">
        <v>10950</v>
      </c>
      <c r="I4" t="s">
        <v>7</v>
      </c>
      <c r="J4" t="s">
        <v>8</v>
      </c>
      <c r="N4" s="3">
        <v>2598</v>
      </c>
      <c r="O4" s="3" t="s">
        <v>54</v>
      </c>
      <c r="P4" s="3" t="s">
        <v>55</v>
      </c>
      <c r="AE4">
        <v>2078</v>
      </c>
      <c r="AF4" t="s">
        <v>54</v>
      </c>
      <c r="AG4" t="s">
        <v>79</v>
      </c>
      <c r="AP4">
        <f>AE9</f>
        <v>400</v>
      </c>
      <c r="AQ4" t="s">
        <v>11</v>
      </c>
      <c r="AR4">
        <v>15000</v>
      </c>
      <c r="AS4" t="s">
        <v>11</v>
      </c>
      <c r="AU4" t="s">
        <v>11</v>
      </c>
      <c r="AW4">
        <f>AR4</f>
        <v>15000</v>
      </c>
      <c r="AY4">
        <v>6000</v>
      </c>
      <c r="BA4">
        <f>AY4</f>
        <v>6000</v>
      </c>
      <c r="BC4">
        <v>6000</v>
      </c>
      <c r="BE4">
        <v>1000</v>
      </c>
      <c r="BG4">
        <v>1000</v>
      </c>
      <c r="BI4">
        <v>1000</v>
      </c>
      <c r="BK4">
        <v>1000</v>
      </c>
      <c r="BR4">
        <v>1</v>
      </c>
      <c r="BS4">
        <v>2</v>
      </c>
      <c r="BT4">
        <v>3</v>
      </c>
      <c r="BU4">
        <v>4</v>
      </c>
      <c r="BW4">
        <f>BW5*1000</f>
        <v>12000</v>
      </c>
      <c r="BX4" t="s">
        <v>5</v>
      </c>
      <c r="BY4" t="s">
        <v>124</v>
      </c>
    </row>
    <row r="5" spans="1:77" x14ac:dyDescent="0.2">
      <c r="C5">
        <v>4000</v>
      </c>
      <c r="D5" t="s">
        <v>5</v>
      </c>
      <c r="E5" t="s">
        <v>6</v>
      </c>
      <c r="H5">
        <v>10950000000</v>
      </c>
      <c r="I5" t="s">
        <v>19</v>
      </c>
      <c r="J5" t="s">
        <v>8</v>
      </c>
      <c r="N5" s="3">
        <f>H7/N4</f>
        <v>5.7736720554272516</v>
      </c>
      <c r="O5" s="3" t="s">
        <v>23</v>
      </c>
      <c r="P5" s="3" t="s">
        <v>56</v>
      </c>
      <c r="AE5">
        <v>400</v>
      </c>
      <c r="AF5" t="s">
        <v>11</v>
      </c>
      <c r="AG5" t="s">
        <v>86</v>
      </c>
      <c r="AP5">
        <f>AP6/AP4</f>
        <v>29994.226327944576</v>
      </c>
      <c r="AQ5" t="s">
        <v>43</v>
      </c>
      <c r="AR5">
        <f>AR6/AR4</f>
        <v>799.84603541185538</v>
      </c>
      <c r="AS5" t="s">
        <v>43</v>
      </c>
      <c r="AU5" t="s">
        <v>93</v>
      </c>
      <c r="AW5">
        <f>AR5</f>
        <v>799.84603541185538</v>
      </c>
      <c r="AY5">
        <f>AY6/AY4</f>
        <v>240.99333333333334</v>
      </c>
      <c r="BA5">
        <f t="shared" ref="BA5:BA10" si="0">AY5</f>
        <v>240.99333333333334</v>
      </c>
      <c r="BC5">
        <f>BC6/BC4</f>
        <v>161.49333333333334</v>
      </c>
      <c r="BE5">
        <f>BE6/BE4</f>
        <v>491.96</v>
      </c>
      <c r="BG5">
        <f>BG6/BG4</f>
        <v>489.2</v>
      </c>
      <c r="BI5">
        <f>BI6/BI4</f>
        <v>477</v>
      </c>
      <c r="BK5">
        <f>BK6/BK4</f>
        <v>0</v>
      </c>
      <c r="BP5">
        <f>BA4</f>
        <v>6000</v>
      </c>
      <c r="BQ5" t="s">
        <v>11</v>
      </c>
      <c r="BR5">
        <v>400</v>
      </c>
      <c r="BS5">
        <v>400</v>
      </c>
      <c r="BT5">
        <v>400</v>
      </c>
      <c r="BU5">
        <v>400</v>
      </c>
      <c r="BW5">
        <v>12</v>
      </c>
      <c r="BX5" t="s">
        <v>54</v>
      </c>
      <c r="BY5" t="s">
        <v>124</v>
      </c>
    </row>
    <row r="6" spans="1:77" x14ac:dyDescent="0.2">
      <c r="C6">
        <f>C5/C8</f>
        <v>20</v>
      </c>
      <c r="D6" t="s">
        <v>21</v>
      </c>
      <c r="H6">
        <v>15</v>
      </c>
      <c r="I6" t="s">
        <v>20</v>
      </c>
      <c r="J6" t="s">
        <v>6</v>
      </c>
      <c r="N6" s="5">
        <f>N5</f>
        <v>5.7736720554272516</v>
      </c>
      <c r="O6" s="3" t="s">
        <v>23</v>
      </c>
      <c r="P6" s="3" t="s">
        <v>57</v>
      </c>
      <c r="R6" t="s">
        <v>58</v>
      </c>
      <c r="W6" s="1" t="s">
        <v>65</v>
      </c>
      <c r="AP6">
        <f>(AE4/AE3)*H8</f>
        <v>11997690.53117783</v>
      </c>
      <c r="AQ6" t="s">
        <v>5</v>
      </c>
      <c r="AR6">
        <f>AP6</f>
        <v>11997690.53117783</v>
      </c>
      <c r="AS6" t="s">
        <v>5</v>
      </c>
      <c r="AU6" t="s">
        <v>5</v>
      </c>
      <c r="AW6">
        <f>AR6</f>
        <v>11997690.53117783</v>
      </c>
      <c r="AY6" s="9">
        <f>(1446000-40)</f>
        <v>1445960</v>
      </c>
      <c r="BA6">
        <f t="shared" si="0"/>
        <v>1445960</v>
      </c>
      <c r="BC6">
        <f>BA6-477000</f>
        <v>968960</v>
      </c>
      <c r="BE6">
        <f>BC6-477000</f>
        <v>491960</v>
      </c>
      <c r="BG6">
        <f>BE6-(2.76*1000)</f>
        <v>489200</v>
      </c>
      <c r="BI6">
        <f>BG6-(12.2*1000)</f>
        <v>477000</v>
      </c>
      <c r="BK6">
        <f>BI6-477000</f>
        <v>0</v>
      </c>
      <c r="BP6">
        <f>BA5</f>
        <v>240.99333333333334</v>
      </c>
      <c r="BQ6" t="s">
        <v>129</v>
      </c>
      <c r="BR6">
        <f>BR7/BR5</f>
        <v>451.25</v>
      </c>
      <c r="BS6">
        <f>BS7/BS5</f>
        <v>451.25</v>
      </c>
      <c r="BT6">
        <f>BT7/BT5</f>
        <v>451.25</v>
      </c>
      <c r="BU6">
        <f>BU7/BU5</f>
        <v>451.25</v>
      </c>
      <c r="BW6">
        <v>240</v>
      </c>
      <c r="BX6" t="s">
        <v>11</v>
      </c>
      <c r="BY6" t="s">
        <v>125</v>
      </c>
    </row>
    <row r="7" spans="1:77" x14ac:dyDescent="0.2">
      <c r="H7">
        <f>H6*1000</f>
        <v>15000</v>
      </c>
      <c r="I7" t="s">
        <v>54</v>
      </c>
      <c r="R7">
        <f>N4*1000</f>
        <v>2598000</v>
      </c>
      <c r="S7" t="s">
        <v>5</v>
      </c>
      <c r="T7" t="s">
        <v>59</v>
      </c>
      <c r="W7" t="s">
        <v>66</v>
      </c>
      <c r="AK7" t="s">
        <v>88</v>
      </c>
      <c r="AL7" t="s">
        <v>89</v>
      </c>
      <c r="BP7">
        <f>BA6</f>
        <v>1445960</v>
      </c>
      <c r="BQ7" t="s">
        <v>5</v>
      </c>
      <c r="BR7">
        <f>BR14/4</f>
        <v>180500</v>
      </c>
      <c r="BS7">
        <v>180500</v>
      </c>
      <c r="BT7">
        <v>180500</v>
      </c>
      <c r="BU7">
        <v>180500</v>
      </c>
    </row>
    <row r="8" spans="1:77" x14ac:dyDescent="0.2">
      <c r="C8">
        <v>200</v>
      </c>
      <c r="D8" t="s">
        <v>5</v>
      </c>
      <c r="E8" t="s">
        <v>10</v>
      </c>
      <c r="H8">
        <f>H6*1000000</f>
        <v>15000000</v>
      </c>
      <c r="I8" t="s">
        <v>5</v>
      </c>
      <c r="R8">
        <f>1000</f>
        <v>1000</v>
      </c>
      <c r="S8" t="s">
        <v>14</v>
      </c>
      <c r="T8" t="s">
        <v>60</v>
      </c>
      <c r="AE8">
        <f>AE4*1000</f>
        <v>2078000</v>
      </c>
      <c r="AF8" t="s">
        <v>5</v>
      </c>
      <c r="AG8" t="s">
        <v>85</v>
      </c>
      <c r="AU8" t="s">
        <v>101</v>
      </c>
      <c r="AW8">
        <f>AW4/1000</f>
        <v>15</v>
      </c>
      <c r="AY8">
        <f>AY4/1000</f>
        <v>6</v>
      </c>
      <c r="BA8">
        <f>AY8</f>
        <v>6</v>
      </c>
      <c r="BC8">
        <f t="shared" ref="BB8:BK10" si="1">BA8</f>
        <v>6</v>
      </c>
      <c r="BE8">
        <f t="shared" si="1"/>
        <v>6</v>
      </c>
      <c r="BG8">
        <f t="shared" si="1"/>
        <v>6</v>
      </c>
      <c r="BI8">
        <f t="shared" si="1"/>
        <v>6</v>
      </c>
      <c r="BK8">
        <f t="shared" si="1"/>
        <v>6</v>
      </c>
      <c r="BW8">
        <v>10</v>
      </c>
      <c r="BX8" t="s">
        <v>130</v>
      </c>
    </row>
    <row r="9" spans="1:77" x14ac:dyDescent="0.2">
      <c r="C9">
        <v>70</v>
      </c>
      <c r="D9" t="s">
        <v>11</v>
      </c>
      <c r="E9" t="s">
        <v>13</v>
      </c>
      <c r="H9">
        <v>260</v>
      </c>
      <c r="I9" t="s">
        <v>5</v>
      </c>
      <c r="J9" t="s">
        <v>22</v>
      </c>
      <c r="R9">
        <f>3700</f>
        <v>3700</v>
      </c>
      <c r="S9" t="s">
        <v>62</v>
      </c>
      <c r="T9" t="s">
        <v>61</v>
      </c>
      <c r="AE9">
        <f>AE5</f>
        <v>400</v>
      </c>
      <c r="AF9" t="s">
        <v>11</v>
      </c>
      <c r="AG9" t="s">
        <v>86</v>
      </c>
      <c r="AU9" t="s">
        <v>102</v>
      </c>
      <c r="AW9">
        <f t="shared" ref="AW9:AW10" si="2">AW5/1000</f>
        <v>0.79984603541185539</v>
      </c>
      <c r="AY9">
        <f t="shared" ref="AY9:AY11" si="3">AY5/1000</f>
        <v>0.24099333333333334</v>
      </c>
      <c r="BA9">
        <f t="shared" si="0"/>
        <v>0.24099333333333334</v>
      </c>
      <c r="BC9">
        <f t="shared" si="1"/>
        <v>0.24099333333333334</v>
      </c>
      <c r="BE9">
        <f t="shared" si="1"/>
        <v>0.24099333333333334</v>
      </c>
      <c r="BG9">
        <f t="shared" si="1"/>
        <v>0.24099333333333334</v>
      </c>
      <c r="BI9">
        <f t="shared" si="1"/>
        <v>0.24099333333333334</v>
      </c>
      <c r="BK9">
        <f t="shared" si="1"/>
        <v>0.24099333333333334</v>
      </c>
      <c r="BR9" t="s">
        <v>128</v>
      </c>
      <c r="BS9">
        <v>25</v>
      </c>
      <c r="BT9" t="s">
        <v>127</v>
      </c>
      <c r="BW9">
        <v>10</v>
      </c>
      <c r="BX9" t="s">
        <v>131</v>
      </c>
    </row>
    <row r="10" spans="1:77" x14ac:dyDescent="0.2">
      <c r="H10">
        <f>H8/H9</f>
        <v>57692.307692307695</v>
      </c>
      <c r="I10" t="s">
        <v>23</v>
      </c>
      <c r="J10" t="s">
        <v>21</v>
      </c>
      <c r="AE10">
        <f>AE8/AE9</f>
        <v>5195</v>
      </c>
      <c r="AF10" t="s">
        <v>50</v>
      </c>
      <c r="AG10" t="s">
        <v>87</v>
      </c>
      <c r="AU10" t="s">
        <v>54</v>
      </c>
      <c r="AW10">
        <f t="shared" si="2"/>
        <v>11997.69053117783</v>
      </c>
      <c r="AY10">
        <f t="shared" si="3"/>
        <v>1445.96</v>
      </c>
      <c r="BA10">
        <f t="shared" si="0"/>
        <v>1445.96</v>
      </c>
      <c r="BC10">
        <f t="shared" si="1"/>
        <v>1445.96</v>
      </c>
      <c r="BE10">
        <f t="shared" si="1"/>
        <v>1445.96</v>
      </c>
      <c r="BG10">
        <f t="shared" si="1"/>
        <v>1445.96</v>
      </c>
      <c r="BI10">
        <f t="shared" si="1"/>
        <v>1445.96</v>
      </c>
      <c r="BK10">
        <f t="shared" si="1"/>
        <v>1445.96</v>
      </c>
      <c r="BW10">
        <f>BW8*BW9</f>
        <v>100</v>
      </c>
      <c r="BX10" t="s">
        <v>127</v>
      </c>
    </row>
    <row r="11" spans="1:77" x14ac:dyDescent="0.2">
      <c r="C11">
        <v>1</v>
      </c>
      <c r="D11" t="s">
        <v>18</v>
      </c>
      <c r="E11" t="s">
        <v>15</v>
      </c>
      <c r="H11">
        <v>38.1</v>
      </c>
      <c r="I11" t="s">
        <v>11</v>
      </c>
      <c r="J11" t="s">
        <v>12</v>
      </c>
      <c r="N11" t="s">
        <v>68</v>
      </c>
      <c r="AU11" t="s">
        <v>105</v>
      </c>
      <c r="AW11">
        <v>500</v>
      </c>
      <c r="AY11">
        <v>70</v>
      </c>
      <c r="BA11">
        <f>AY11</f>
        <v>70</v>
      </c>
      <c r="BC11">
        <v>35</v>
      </c>
      <c r="BE11">
        <v>500</v>
      </c>
      <c r="BG11">
        <v>500</v>
      </c>
      <c r="BI11">
        <v>500</v>
      </c>
    </row>
    <row r="12" spans="1:77" x14ac:dyDescent="0.2">
      <c r="C12">
        <v>10</v>
      </c>
      <c r="D12" t="s">
        <v>9</v>
      </c>
      <c r="E12" t="s">
        <v>15</v>
      </c>
      <c r="N12">
        <v>0.1</v>
      </c>
      <c r="O12" t="s">
        <v>20</v>
      </c>
      <c r="P12" t="s">
        <v>6</v>
      </c>
      <c r="S12" t="s">
        <v>67</v>
      </c>
      <c r="AE12">
        <f>AE5</f>
        <v>400</v>
      </c>
      <c r="AF12" t="s">
        <v>11</v>
      </c>
      <c r="AG12" t="s">
        <v>81</v>
      </c>
      <c r="BT12" s="10"/>
    </row>
    <row r="13" spans="1:77" x14ac:dyDescent="0.2">
      <c r="C13">
        <v>700</v>
      </c>
      <c r="D13" t="s">
        <v>14</v>
      </c>
      <c r="E13" t="s">
        <v>15</v>
      </c>
      <c r="H13">
        <v>3</v>
      </c>
      <c r="I13" t="s">
        <v>17</v>
      </c>
      <c r="J13" t="s">
        <v>15</v>
      </c>
      <c r="N13">
        <f>N12*1000</f>
        <v>100</v>
      </c>
      <c r="O13" t="s">
        <v>54</v>
      </c>
      <c r="S13">
        <v>24</v>
      </c>
      <c r="T13" t="s">
        <v>69</v>
      </c>
      <c r="AF13" t="s">
        <v>90</v>
      </c>
      <c r="AG13" t="s">
        <v>82</v>
      </c>
      <c r="AW13" t="s">
        <v>112</v>
      </c>
      <c r="BD13" t="s">
        <v>108</v>
      </c>
      <c r="BR13">
        <v>722</v>
      </c>
      <c r="BS13" t="s">
        <v>54</v>
      </c>
    </row>
    <row r="14" spans="1:77" x14ac:dyDescent="0.2">
      <c r="H14">
        <v>7</v>
      </c>
      <c r="I14" t="s">
        <v>9</v>
      </c>
      <c r="J14" t="s">
        <v>15</v>
      </c>
      <c r="N14">
        <f>N12*1000000</f>
        <v>100000</v>
      </c>
      <c r="O14" t="s">
        <v>5</v>
      </c>
      <c r="S14">
        <v>1</v>
      </c>
      <c r="T14" t="s">
        <v>70</v>
      </c>
      <c r="AF14" t="s">
        <v>91</v>
      </c>
      <c r="AG14" t="s">
        <v>83</v>
      </c>
      <c r="AW14" t="s">
        <v>104</v>
      </c>
      <c r="BD14" t="s">
        <v>111</v>
      </c>
      <c r="BR14">
        <f>BR13*1000</f>
        <v>722000</v>
      </c>
      <c r="BS14" t="s">
        <v>5</v>
      </c>
    </row>
    <row r="15" spans="1:77" x14ac:dyDescent="0.2">
      <c r="C15">
        <v>600</v>
      </c>
      <c r="D15" t="s">
        <v>14</v>
      </c>
      <c r="E15" t="s">
        <v>16</v>
      </c>
      <c r="H15">
        <f>H14*H4</f>
        <v>76650</v>
      </c>
      <c r="I15" t="s">
        <v>14</v>
      </c>
      <c r="J15" t="s">
        <v>34</v>
      </c>
      <c r="N15">
        <v>260</v>
      </c>
      <c r="O15" t="s">
        <v>5</v>
      </c>
      <c r="P15" t="s">
        <v>22</v>
      </c>
      <c r="S15">
        <f>N12*S13</f>
        <v>2.4000000000000004</v>
      </c>
      <c r="T15" t="s">
        <v>20</v>
      </c>
      <c r="U15" t="s">
        <v>71</v>
      </c>
      <c r="AE15">
        <f>AE10</f>
        <v>5195</v>
      </c>
      <c r="AF15" t="s">
        <v>50</v>
      </c>
      <c r="AG15" t="s">
        <v>84</v>
      </c>
      <c r="BD15" t="s">
        <v>109</v>
      </c>
    </row>
    <row r="16" spans="1:77" x14ac:dyDescent="0.2">
      <c r="H16">
        <f>H14*H26</f>
        <v>270.70050000000003</v>
      </c>
      <c r="I16" t="s">
        <v>33</v>
      </c>
      <c r="J16" t="s">
        <v>35</v>
      </c>
      <c r="N16">
        <f>N14/N15</f>
        <v>384.61538461538464</v>
      </c>
      <c r="O16" t="s">
        <v>23</v>
      </c>
      <c r="P16" t="s">
        <v>21</v>
      </c>
      <c r="BD16" t="s">
        <v>110</v>
      </c>
      <c r="BH16" t="s">
        <v>138</v>
      </c>
      <c r="BI16" t="s">
        <v>132</v>
      </c>
      <c r="BJ16" t="s">
        <v>114</v>
      </c>
      <c r="BK16" t="s">
        <v>133</v>
      </c>
      <c r="BL16" t="s">
        <v>134</v>
      </c>
      <c r="BM16" t="s">
        <v>135</v>
      </c>
      <c r="BN16" t="s">
        <v>139</v>
      </c>
      <c r="BR16" t="s">
        <v>11</v>
      </c>
      <c r="BS16">
        <f>BR5</f>
        <v>400</v>
      </c>
    </row>
    <row r="17" spans="3:71" x14ac:dyDescent="0.2">
      <c r="C17">
        <v>3</v>
      </c>
      <c r="D17" t="s">
        <v>17</v>
      </c>
      <c r="E17" t="s">
        <v>15</v>
      </c>
      <c r="N17">
        <v>38.1</v>
      </c>
      <c r="O17" t="s">
        <v>11</v>
      </c>
      <c r="P17" t="s">
        <v>12</v>
      </c>
      <c r="S17" t="s">
        <v>72</v>
      </c>
      <c r="BH17" t="s">
        <v>136</v>
      </c>
      <c r="BI17">
        <v>500</v>
      </c>
      <c r="BJ17">
        <v>0.23</v>
      </c>
      <c r="BK17">
        <v>2480</v>
      </c>
      <c r="BL17">
        <f>BJ17*BK17</f>
        <v>570.4</v>
      </c>
      <c r="BM17">
        <v>1.33</v>
      </c>
      <c r="BN17">
        <f>BL17*BM17</f>
        <v>758.63200000000006</v>
      </c>
      <c r="BO17">
        <f>SUM(BN17:BN19)</f>
        <v>1078.7098000000001</v>
      </c>
      <c r="BR17" t="s">
        <v>129</v>
      </c>
      <c r="BS17">
        <f>BS18/BS16</f>
        <v>1805</v>
      </c>
    </row>
    <row r="18" spans="3:71" x14ac:dyDescent="0.2">
      <c r="C18">
        <v>7</v>
      </c>
      <c r="D18" t="s">
        <v>9</v>
      </c>
      <c r="E18" t="s">
        <v>15</v>
      </c>
      <c r="S18">
        <f>H6/S15</f>
        <v>6.2499999999999991</v>
      </c>
      <c r="T18" t="s">
        <v>73</v>
      </c>
      <c r="BH18" t="s">
        <v>136</v>
      </c>
      <c r="BI18">
        <v>70</v>
      </c>
      <c r="BJ18">
        <v>0.31</v>
      </c>
      <c r="BK18">
        <v>764</v>
      </c>
      <c r="BL18">
        <f t="shared" ref="BL18:BL20" si="4">BJ18*BK18</f>
        <v>236.84</v>
      </c>
      <c r="BM18">
        <v>1.33</v>
      </c>
      <c r="BN18">
        <f t="shared" ref="BN18:BN20" si="5">BL18*BM18</f>
        <v>314.99720000000002</v>
      </c>
      <c r="BR18" t="s">
        <v>5</v>
      </c>
      <c r="BS18">
        <f>BR14</f>
        <v>722000</v>
      </c>
    </row>
    <row r="19" spans="3:71" x14ac:dyDescent="0.2">
      <c r="C19">
        <f>C18*C9</f>
        <v>490</v>
      </c>
      <c r="D19" t="s">
        <v>14</v>
      </c>
      <c r="E19" t="s">
        <v>34</v>
      </c>
      <c r="N19" s="6">
        <v>15</v>
      </c>
      <c r="O19" s="6" t="s">
        <v>17</v>
      </c>
      <c r="P19" s="6" t="s">
        <v>15</v>
      </c>
      <c r="Q19" t="s">
        <v>64</v>
      </c>
      <c r="S19">
        <f>ROUNDUP(S18, 0)</f>
        <v>7</v>
      </c>
      <c r="T19" t="s">
        <v>74</v>
      </c>
      <c r="BH19" t="s">
        <v>136</v>
      </c>
      <c r="BI19">
        <v>35</v>
      </c>
      <c r="BJ19">
        <v>0.01</v>
      </c>
      <c r="BK19">
        <f>BK18/2</f>
        <v>382</v>
      </c>
      <c r="BL19">
        <f t="shared" si="4"/>
        <v>3.8200000000000003</v>
      </c>
      <c r="BM19">
        <v>1.33</v>
      </c>
      <c r="BN19">
        <f t="shared" si="5"/>
        <v>5.0806000000000004</v>
      </c>
    </row>
    <row r="20" spans="3:71" x14ac:dyDescent="0.2">
      <c r="C20">
        <f>C18*C25</f>
        <v>556.21999999999991</v>
      </c>
      <c r="D20" t="s">
        <v>33</v>
      </c>
      <c r="E20" t="s">
        <v>35</v>
      </c>
      <c r="N20" s="6">
        <f>N16/N19</f>
        <v>25.641025641025642</v>
      </c>
      <c r="O20" s="6" t="s">
        <v>9</v>
      </c>
      <c r="P20" s="6" t="s">
        <v>15</v>
      </c>
      <c r="BH20" t="s">
        <v>137</v>
      </c>
      <c r="BI20">
        <v>500</v>
      </c>
      <c r="BJ20">
        <v>0.14000000000000001</v>
      </c>
      <c r="BK20">
        <v>4.7759999999999998</v>
      </c>
      <c r="BL20">
        <f t="shared" si="4"/>
        <v>0.66864000000000001</v>
      </c>
      <c r="BM20">
        <v>4.5999999999999996</v>
      </c>
      <c r="BN20">
        <f t="shared" si="5"/>
        <v>3.0757439999999998</v>
      </c>
      <c r="BR20" t="s">
        <v>11</v>
      </c>
      <c r="BS20">
        <v>240</v>
      </c>
    </row>
    <row r="21" spans="3:71" x14ac:dyDescent="0.2">
      <c r="N21" s="6">
        <f>N20*N10</f>
        <v>0</v>
      </c>
      <c r="O21" s="6" t="s">
        <v>14</v>
      </c>
      <c r="P21" s="6" t="s">
        <v>34</v>
      </c>
      <c r="BR21" t="s">
        <v>129</v>
      </c>
      <c r="BS21">
        <f>BS22/BS20</f>
        <v>1504.1666666666667</v>
      </c>
    </row>
    <row r="22" spans="3:71" x14ac:dyDescent="0.2">
      <c r="C22">
        <v>-0.17199999999999999</v>
      </c>
      <c r="D22" t="s">
        <v>24</v>
      </c>
      <c r="E22" t="s">
        <v>29</v>
      </c>
      <c r="H22">
        <v>-0.3</v>
      </c>
      <c r="I22" t="s">
        <v>32</v>
      </c>
      <c r="J22" t="s">
        <v>29</v>
      </c>
      <c r="N22" s="6">
        <f>N20*N32</f>
        <v>991.57692307692321</v>
      </c>
      <c r="O22" s="6" t="s">
        <v>33</v>
      </c>
      <c r="P22" s="6" t="s">
        <v>35</v>
      </c>
      <c r="BR22" t="s">
        <v>5</v>
      </c>
      <c r="BS22">
        <f>BS18/2</f>
        <v>361000</v>
      </c>
    </row>
    <row r="23" spans="3:71" x14ac:dyDescent="0.2">
      <c r="C23">
        <v>-30</v>
      </c>
      <c r="D23" t="s">
        <v>26</v>
      </c>
      <c r="E23" t="s">
        <v>25</v>
      </c>
      <c r="H23">
        <f>-((H11/100)*0.3)</f>
        <v>-0.1143</v>
      </c>
      <c r="I23" t="s">
        <v>24</v>
      </c>
      <c r="J23" t="s">
        <v>29</v>
      </c>
      <c r="AT23" s="1" t="s">
        <v>103</v>
      </c>
      <c r="BJ23">
        <v>45</v>
      </c>
      <c r="BK23" t="s">
        <v>140</v>
      </c>
    </row>
    <row r="24" spans="3:71" x14ac:dyDescent="0.2">
      <c r="H24">
        <v>20</v>
      </c>
      <c r="I24" t="s">
        <v>26</v>
      </c>
      <c r="J24" t="s">
        <v>25</v>
      </c>
      <c r="AT24" t="s">
        <v>104</v>
      </c>
    </row>
    <row r="25" spans="3:71" x14ac:dyDescent="0.2">
      <c r="C25">
        <f>(C26*C27)+C28</f>
        <v>79.459999999999994</v>
      </c>
      <c r="D25" t="s">
        <v>11</v>
      </c>
      <c r="E25" t="s">
        <v>27</v>
      </c>
    </row>
    <row r="26" spans="3:71" x14ac:dyDescent="0.2">
      <c r="C26">
        <f>(C23-25)</f>
        <v>-55</v>
      </c>
      <c r="D26" t="s">
        <v>26</v>
      </c>
      <c r="E26" t="s">
        <v>28</v>
      </c>
      <c r="H26">
        <f>(H27*H28)+H29</f>
        <v>38.671500000000002</v>
      </c>
      <c r="I26" t="s">
        <v>11</v>
      </c>
      <c r="J26" t="s">
        <v>27</v>
      </c>
    </row>
    <row r="27" spans="3:71" x14ac:dyDescent="0.2">
      <c r="C27">
        <f>C22</f>
        <v>-0.17199999999999999</v>
      </c>
      <c r="D27" t="s">
        <v>24</v>
      </c>
      <c r="E27" t="s">
        <v>30</v>
      </c>
      <c r="H27">
        <f>H24-25</f>
        <v>-5</v>
      </c>
      <c r="I27" t="s">
        <v>26</v>
      </c>
      <c r="J27" t="s">
        <v>28</v>
      </c>
    </row>
    <row r="28" spans="3:71" x14ac:dyDescent="0.2">
      <c r="C28">
        <f>C9</f>
        <v>70</v>
      </c>
      <c r="D28" t="s">
        <v>11</v>
      </c>
      <c r="E28" t="s">
        <v>31</v>
      </c>
      <c r="H28">
        <f>H23</f>
        <v>-0.1143</v>
      </c>
      <c r="I28" t="s">
        <v>24</v>
      </c>
      <c r="J28" t="s">
        <v>30</v>
      </c>
      <c r="N28">
        <v>-0.3</v>
      </c>
      <c r="O28" t="s">
        <v>32</v>
      </c>
      <c r="P28" t="s">
        <v>29</v>
      </c>
    </row>
    <row r="29" spans="3:71" x14ac:dyDescent="0.2">
      <c r="H29">
        <f>H11</f>
        <v>38.1</v>
      </c>
      <c r="I29" t="s">
        <v>11</v>
      </c>
      <c r="J29" t="s">
        <v>31</v>
      </c>
      <c r="N29">
        <f>-((N17/100)*0.3)</f>
        <v>-0.1143</v>
      </c>
      <c r="O29" t="s">
        <v>24</v>
      </c>
      <c r="P29" t="s">
        <v>29</v>
      </c>
      <c r="AX29" t="s">
        <v>120</v>
      </c>
    </row>
    <row r="30" spans="3:71" x14ac:dyDescent="0.2">
      <c r="C30" t="s">
        <v>36</v>
      </c>
      <c r="N30">
        <v>20</v>
      </c>
      <c r="O30" t="s">
        <v>26</v>
      </c>
      <c r="P30" t="s">
        <v>25</v>
      </c>
      <c r="AU30" t="s">
        <v>113</v>
      </c>
      <c r="AX30" t="s">
        <v>119</v>
      </c>
    </row>
    <row r="31" spans="3:71" x14ac:dyDescent="0.2">
      <c r="H31" t="s">
        <v>36</v>
      </c>
      <c r="AX31" t="s">
        <v>118</v>
      </c>
    </row>
    <row r="32" spans="3:71" x14ac:dyDescent="0.2">
      <c r="C32">
        <v>55.8</v>
      </c>
      <c r="D32" t="s">
        <v>44</v>
      </c>
      <c r="E32" t="s">
        <v>38</v>
      </c>
      <c r="N32">
        <f>(N33*N34)+N35</f>
        <v>38.671500000000002</v>
      </c>
      <c r="O32" t="s">
        <v>11</v>
      </c>
      <c r="P32" t="s">
        <v>27</v>
      </c>
      <c r="AV32" t="s">
        <v>107</v>
      </c>
      <c r="AX32" t="s">
        <v>106</v>
      </c>
      <c r="AZ32" t="s">
        <v>121</v>
      </c>
      <c r="BB32" t="s">
        <v>106</v>
      </c>
      <c r="BD32" t="s">
        <v>106</v>
      </c>
      <c r="BF32" t="s">
        <v>106</v>
      </c>
      <c r="BH32" t="s">
        <v>106</v>
      </c>
      <c r="BJ32" t="s">
        <v>106</v>
      </c>
    </row>
    <row r="33" spans="2:63" x14ac:dyDescent="0.2">
      <c r="C33">
        <v>3.59</v>
      </c>
      <c r="D33" t="s">
        <v>45</v>
      </c>
      <c r="E33" t="s">
        <v>40</v>
      </c>
      <c r="H33">
        <v>31.1</v>
      </c>
      <c r="I33" t="s">
        <v>37</v>
      </c>
      <c r="J33" t="s">
        <v>38</v>
      </c>
      <c r="N33">
        <f>N30-25</f>
        <v>-5</v>
      </c>
      <c r="O33" t="s">
        <v>26</v>
      </c>
      <c r="P33" t="s">
        <v>28</v>
      </c>
      <c r="AV33" s="8" t="s">
        <v>93</v>
      </c>
      <c r="AW33" s="8"/>
      <c r="AX33" s="8" t="s">
        <v>94</v>
      </c>
      <c r="AY33" s="8"/>
      <c r="AZ33" s="8" t="s">
        <v>95</v>
      </c>
      <c r="BA33" s="8"/>
      <c r="BB33" s="8" t="s">
        <v>96</v>
      </c>
      <c r="BC33" s="8"/>
      <c r="BD33" s="8" t="s">
        <v>97</v>
      </c>
      <c r="BE33" s="8"/>
      <c r="BF33" s="8" t="s">
        <v>98</v>
      </c>
      <c r="BG33" s="8"/>
      <c r="BH33" s="8" t="s">
        <v>99</v>
      </c>
      <c r="BJ33" t="s">
        <v>100</v>
      </c>
    </row>
    <row r="34" spans="2:63" x14ac:dyDescent="0.2">
      <c r="C34">
        <v>200</v>
      </c>
      <c r="D34" t="s">
        <v>5</v>
      </c>
      <c r="E34" t="s">
        <v>41</v>
      </c>
      <c r="H34">
        <v>8.3699999999999992</v>
      </c>
      <c r="I34" t="s">
        <v>39</v>
      </c>
      <c r="J34" t="s">
        <v>40</v>
      </c>
      <c r="N34">
        <f>N29</f>
        <v>-0.1143</v>
      </c>
      <c r="O34" t="s">
        <v>24</v>
      </c>
      <c r="P34" t="s">
        <v>30</v>
      </c>
      <c r="AU34" t="s">
        <v>11</v>
      </c>
      <c r="AW34">
        <f>AR4</f>
        <v>15000</v>
      </c>
      <c r="AY34">
        <v>6000</v>
      </c>
      <c r="BA34">
        <f>AY34</f>
        <v>6000</v>
      </c>
      <c r="BC34">
        <v>6000</v>
      </c>
      <c r="BE34">
        <v>1000</v>
      </c>
      <c r="BG34">
        <v>1000</v>
      </c>
      <c r="BI34">
        <v>1000</v>
      </c>
      <c r="BK34">
        <v>1000</v>
      </c>
    </row>
    <row r="35" spans="2:63" x14ac:dyDescent="0.2">
      <c r="H35">
        <v>260</v>
      </c>
      <c r="I35" t="s">
        <v>5</v>
      </c>
      <c r="J35" t="s">
        <v>41</v>
      </c>
      <c r="N35">
        <f>N17</f>
        <v>38.1</v>
      </c>
      <c r="O35" t="s">
        <v>11</v>
      </c>
      <c r="P35" t="s">
        <v>31</v>
      </c>
      <c r="AU35" t="s">
        <v>93</v>
      </c>
      <c r="AW35">
        <f>AR5</f>
        <v>799.84603541185538</v>
      </c>
      <c r="AY35">
        <f>AY36/AY34</f>
        <v>240.99333333333334</v>
      </c>
      <c r="BA35">
        <f t="shared" ref="BA35:BA40" si="6">AY35</f>
        <v>240.99333333333334</v>
      </c>
      <c r="BC35">
        <f>BC36/BC34</f>
        <v>161.49333333333334</v>
      </c>
      <c r="BE35">
        <f>BE36/BE34</f>
        <v>491.96</v>
      </c>
      <c r="BG35">
        <f>BG36/BG34</f>
        <v>489.2</v>
      </c>
      <c r="BI35">
        <f>BI36/BI34</f>
        <v>477</v>
      </c>
      <c r="BK35">
        <f>BK36/BK34</f>
        <v>0</v>
      </c>
    </row>
    <row r="36" spans="2:63" x14ac:dyDescent="0.2">
      <c r="C36">
        <f>(C34*C18)*C17</f>
        <v>4200</v>
      </c>
      <c r="D36" t="s">
        <v>5</v>
      </c>
      <c r="E36" t="s">
        <v>42</v>
      </c>
      <c r="AU36" t="s">
        <v>5</v>
      </c>
      <c r="AW36">
        <f>AR6</f>
        <v>11997690.53117783</v>
      </c>
      <c r="AY36" s="9">
        <f>(1446000-40)</f>
        <v>1445960</v>
      </c>
      <c r="BA36">
        <f t="shared" si="6"/>
        <v>1445960</v>
      </c>
      <c r="BC36">
        <f>BA36-477000</f>
        <v>968960</v>
      </c>
      <c r="BE36">
        <f>BC36-477000</f>
        <v>491960</v>
      </c>
      <c r="BG36">
        <f>BE36-(2.76*1000)</f>
        <v>489200</v>
      </c>
      <c r="BI36">
        <f>BG36-(12.2*1000)</f>
        <v>477000</v>
      </c>
      <c r="BK36">
        <f>BI36-477000</f>
        <v>0</v>
      </c>
    </row>
    <row r="37" spans="2:63" x14ac:dyDescent="0.2">
      <c r="C37">
        <f>(C33*C18)*C17</f>
        <v>75.39</v>
      </c>
      <c r="D37" t="s">
        <v>43</v>
      </c>
      <c r="E37" t="s">
        <v>42</v>
      </c>
      <c r="N37" t="s">
        <v>36</v>
      </c>
    </row>
    <row r="38" spans="2:63" x14ac:dyDescent="0.2">
      <c r="C38">
        <f>C32*C18</f>
        <v>390.59999999999997</v>
      </c>
      <c r="D38" t="s">
        <v>11</v>
      </c>
      <c r="E38" t="s">
        <v>42</v>
      </c>
      <c r="AU38" t="s">
        <v>101</v>
      </c>
      <c r="AW38">
        <f>AW34/1000</f>
        <v>15</v>
      </c>
      <c r="AY38">
        <f>AY34/1000</f>
        <v>6</v>
      </c>
      <c r="BA38">
        <f>AY38</f>
        <v>6</v>
      </c>
      <c r="BC38">
        <f t="shared" ref="BC38:BC40" si="7">BA38</f>
        <v>6</v>
      </c>
      <c r="BE38">
        <f t="shared" ref="BE38:BE40" si="8">BC38</f>
        <v>6</v>
      </c>
      <c r="BG38">
        <f t="shared" ref="BG38:BG40" si="9">BE38</f>
        <v>6</v>
      </c>
      <c r="BI38">
        <f t="shared" ref="BI38:BI40" si="10">BG38</f>
        <v>6</v>
      </c>
      <c r="BK38">
        <f t="shared" ref="BK38:BK40" si="11">BI38</f>
        <v>6</v>
      </c>
    </row>
    <row r="39" spans="2:63" x14ac:dyDescent="0.2">
      <c r="N39">
        <v>31.1</v>
      </c>
      <c r="O39" t="s">
        <v>44</v>
      </c>
      <c r="P39" t="s">
        <v>38</v>
      </c>
      <c r="AU39" t="s">
        <v>102</v>
      </c>
      <c r="AW39">
        <f>AW35/1000</f>
        <v>0.79984603541185539</v>
      </c>
      <c r="AY39">
        <f t="shared" ref="AY39:AY40" si="12">AY35/1000</f>
        <v>0.24099333333333334</v>
      </c>
      <c r="BA39">
        <f t="shared" ref="BA39:BA44" si="13">AY39</f>
        <v>0.24099333333333334</v>
      </c>
      <c r="BC39">
        <f t="shared" si="7"/>
        <v>0.24099333333333334</v>
      </c>
      <c r="BE39">
        <f t="shared" si="8"/>
        <v>0.24099333333333334</v>
      </c>
      <c r="BG39">
        <f t="shared" si="9"/>
        <v>0.24099333333333334</v>
      </c>
      <c r="BI39">
        <f t="shared" si="10"/>
        <v>0.24099333333333334</v>
      </c>
      <c r="BK39">
        <f t="shared" si="11"/>
        <v>0.24099333333333334</v>
      </c>
    </row>
    <row r="40" spans="2:63" x14ac:dyDescent="0.2">
      <c r="C40" t="s">
        <v>49</v>
      </c>
      <c r="D40" t="s">
        <v>50</v>
      </c>
      <c r="E40" t="s">
        <v>46</v>
      </c>
      <c r="N40">
        <v>8.3699999999999992</v>
      </c>
      <c r="O40" t="s">
        <v>45</v>
      </c>
      <c r="P40" t="s">
        <v>40</v>
      </c>
      <c r="AU40" t="s">
        <v>54</v>
      </c>
      <c r="AW40">
        <f t="shared" ref="AW40" si="14">AW36/1000</f>
        <v>11997.69053117783</v>
      </c>
      <c r="AY40">
        <f t="shared" si="12"/>
        <v>1445.96</v>
      </c>
      <c r="BA40">
        <f t="shared" si="13"/>
        <v>1445.96</v>
      </c>
      <c r="BC40">
        <f t="shared" si="7"/>
        <v>1445.96</v>
      </c>
      <c r="BE40">
        <f t="shared" si="8"/>
        <v>1445.96</v>
      </c>
      <c r="BG40">
        <f t="shared" si="9"/>
        <v>1445.96</v>
      </c>
      <c r="BI40">
        <f t="shared" si="10"/>
        <v>1445.96</v>
      </c>
      <c r="BK40">
        <f t="shared" si="11"/>
        <v>1445.96</v>
      </c>
    </row>
    <row r="41" spans="2:63" x14ac:dyDescent="0.2">
      <c r="C41">
        <f>C18*C25</f>
        <v>556.21999999999991</v>
      </c>
      <c r="D41" t="s">
        <v>33</v>
      </c>
      <c r="E41" t="s">
        <v>47</v>
      </c>
      <c r="N41">
        <v>260</v>
      </c>
      <c r="O41" t="s">
        <v>5</v>
      </c>
      <c r="P41" t="s">
        <v>41</v>
      </c>
      <c r="AU41" t="s">
        <v>105</v>
      </c>
      <c r="AW41">
        <v>500</v>
      </c>
      <c r="AY41">
        <v>70</v>
      </c>
      <c r="BA41">
        <f>AY41</f>
        <v>70</v>
      </c>
      <c r="BC41">
        <v>35</v>
      </c>
      <c r="BE41">
        <v>500</v>
      </c>
      <c r="BG41">
        <v>500</v>
      </c>
      <c r="BI41">
        <v>500</v>
      </c>
    </row>
    <row r="43" spans="2:63" x14ac:dyDescent="0.2">
      <c r="C43">
        <v>4000</v>
      </c>
      <c r="D43" t="s">
        <v>5</v>
      </c>
      <c r="E43" t="s">
        <v>48</v>
      </c>
      <c r="N43">
        <f>(N41*N20)*N19</f>
        <v>100000</v>
      </c>
      <c r="O43" t="s">
        <v>5</v>
      </c>
      <c r="P43" t="s">
        <v>64</v>
      </c>
      <c r="Q43" t="s">
        <v>63</v>
      </c>
      <c r="R43" s="7" t="str">
        <f>IF(N43&lt;R7, "Yes", "No")</f>
        <v>Yes</v>
      </c>
      <c r="AW43" t="s">
        <v>112</v>
      </c>
      <c r="BD43" t="s">
        <v>108</v>
      </c>
    </row>
    <row r="44" spans="2:63" x14ac:dyDescent="0.2">
      <c r="N44">
        <f>(N40*N20)*N19</f>
        <v>3219.2307692307691</v>
      </c>
      <c r="O44" t="s">
        <v>43</v>
      </c>
      <c r="P44" t="s">
        <v>64</v>
      </c>
      <c r="Q44" t="s">
        <v>63</v>
      </c>
      <c r="R44" s="7" t="str">
        <f>IF(N44&lt;R9, "Yes", "No")</f>
        <v>Yes</v>
      </c>
      <c r="AW44" t="s">
        <v>104</v>
      </c>
      <c r="BD44" t="s">
        <v>111</v>
      </c>
    </row>
    <row r="45" spans="2:63" x14ac:dyDescent="0.2">
      <c r="N45">
        <f>N39*N20</f>
        <v>797.43589743589746</v>
      </c>
      <c r="O45" t="s">
        <v>11</v>
      </c>
      <c r="P45" t="s">
        <v>64</v>
      </c>
      <c r="BD45" t="s">
        <v>109</v>
      </c>
    </row>
    <row r="46" spans="2:63" x14ac:dyDescent="0.2">
      <c r="B46" t="s">
        <v>51</v>
      </c>
      <c r="AX46" t="s">
        <v>108</v>
      </c>
      <c r="BD46" t="s">
        <v>110</v>
      </c>
    </row>
    <row r="47" spans="2:63" x14ac:dyDescent="0.2">
      <c r="N47" t="s">
        <v>49</v>
      </c>
      <c r="O47" t="s">
        <v>50</v>
      </c>
      <c r="P47" t="s">
        <v>46</v>
      </c>
    </row>
    <row r="48" spans="2:63" x14ac:dyDescent="0.2">
      <c r="N48">
        <f>N20*N32</f>
        <v>991.57692307692321</v>
      </c>
      <c r="O48" t="s">
        <v>33</v>
      </c>
      <c r="P48" t="s">
        <v>47</v>
      </c>
      <c r="Q48" t="s">
        <v>63</v>
      </c>
      <c r="R48" s="7" t="str">
        <f>IF(N48&lt;R8, "Yes", "No")</f>
        <v>Yes</v>
      </c>
    </row>
    <row r="49" spans="14:62" x14ac:dyDescent="0.2">
      <c r="AU49" t="s">
        <v>114</v>
      </c>
      <c r="AW49">
        <v>0.23</v>
      </c>
      <c r="AY49">
        <v>0.13</v>
      </c>
      <c r="BA49">
        <v>0.18</v>
      </c>
      <c r="BC49">
        <f>0.01</f>
        <v>0.01</v>
      </c>
      <c r="BE49">
        <f>0.07</f>
        <v>7.0000000000000007E-2</v>
      </c>
      <c r="BG49">
        <f>0.01</f>
        <v>0.01</v>
      </c>
      <c r="BI49">
        <v>0.06</v>
      </c>
    </row>
    <row r="50" spans="14:62" x14ac:dyDescent="0.2">
      <c r="N50">
        <v>4000</v>
      </c>
      <c r="O50" t="s">
        <v>5</v>
      </c>
      <c r="P50" t="s">
        <v>48</v>
      </c>
      <c r="AU50" t="s">
        <v>115</v>
      </c>
      <c r="AV50" t="s">
        <v>116</v>
      </c>
      <c r="AW50">
        <v>9.0999999999999998E-2</v>
      </c>
      <c r="AY50">
        <v>0.12</v>
      </c>
      <c r="BA50">
        <v>0.12</v>
      </c>
      <c r="BC50">
        <v>0.13</v>
      </c>
      <c r="BE50">
        <v>8.5000000000000006E-2</v>
      </c>
      <c r="BG50">
        <v>8.5000000000000006E-2</v>
      </c>
      <c r="BI50">
        <v>8.5000000000000006E-2</v>
      </c>
    </row>
    <row r="51" spans="14:62" x14ac:dyDescent="0.2">
      <c r="AU51" t="s">
        <v>117</v>
      </c>
      <c r="AX51">
        <f>(0.2*(AW35*(AW49/AW34)))*AW50</f>
        <v>2.2321036694893513E-4</v>
      </c>
      <c r="AZ51">
        <f>(0.2*(AY35*(AY49/AY34)))*AY50</f>
        <v>1.2531653333333335E-4</v>
      </c>
      <c r="BB51">
        <f>(0.2*(BA35*(BA49/BA34)))*BA50</f>
        <v>1.735152E-4</v>
      </c>
      <c r="BD51">
        <f>(0.2*(BC35*(BC49/BC34)))*BC50</f>
        <v>6.9980444444444463E-6</v>
      </c>
      <c r="BF51">
        <f>(0.2*(BE35*(BE49/BE34)))*BE50</f>
        <v>5.8543240000000012E-4</v>
      </c>
      <c r="BH51">
        <f>(0.2*(BG35*(BG49/BG34)))*BG50</f>
        <v>8.3164000000000019E-5</v>
      </c>
      <c r="BJ51">
        <f>(0.2*(BI35*(BI49/BI34)))*BI50</f>
        <v>4.8654000000000004E-4</v>
      </c>
    </row>
  </sheetData>
  <hyperlinks>
    <hyperlink ref="N2" r:id="rId1" xr:uid="{101DD436-5AB8-AF41-A4A2-1CBE13A57C91}"/>
    <hyperlink ref="W6" r:id="rId2" xr:uid="{13416204-BB37-E148-A934-9446CB7BBBDA}"/>
    <hyperlink ref="AT23" r:id="rId3" display="http://www.pkpcables.com/fa/images/Top Cable General Catalogue.pdf" xr:uid="{E0D4B116-F4CC-9B40-9202-3EA426A0E4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2019-12-18T16:25:55Z</dcterms:created>
  <dcterms:modified xsi:type="dcterms:W3CDTF">2019-12-20T06:53:26Z</dcterms:modified>
</cp:coreProperties>
</file>